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harts/chart30.xml" ContentType="application/vnd.openxmlformats-officedocument.drawingml.chart+xml"/>
  <Override PartName="/xl/drawings/drawing7.xml" ContentType="application/vnd.openxmlformats-officedocument.drawingml.chartshapes+xml"/>
  <Override PartName="/xl/charts/chart31.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2.xml" ContentType="application/vnd.openxmlformats-officedocument.drawingml.chart+xml"/>
  <Override PartName="/xl/drawings/drawing10.xml" ContentType="application/vnd.openxmlformats-officedocument.drawingml.chartshapes+xml"/>
  <Override PartName="/xl/charts/chart33.xml" ContentType="application/vnd.openxmlformats-officedocument.drawingml.chart+xml"/>
  <Override PartName="/xl/drawings/drawing11.xml" ContentType="application/vnd.openxmlformats-officedocument.drawingml.chartshapes+xml"/>
  <Override PartName="/xl/charts/chart34.xml" ContentType="application/vnd.openxmlformats-officedocument.drawingml.chart+xml"/>
  <Override PartName="/xl/drawings/drawing1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13.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1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16.xml" ContentType="application/vnd.openxmlformats-officedocument.drawing+xml"/>
  <Override PartName="/xl/charts/chart45.xml" ContentType="application/vnd.openxmlformats-officedocument.drawingml.chart+xml"/>
  <Override PartName="/xl/drawings/drawing1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8.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19.xml" ContentType="application/vnd.openxmlformats-officedocument.drawing+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21.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drawings/drawing23.xml" ContentType="application/vnd.openxmlformats-officedocument.drawing+xml"/>
  <Override PartName="/xl/charts/chart58.xml" ContentType="application/vnd.openxmlformats-officedocument.drawingml.chart+xml"/>
  <Override PartName="/xl/drawings/drawing24.xml" ContentType="application/vnd.openxmlformats-officedocument.drawing+xml"/>
  <Override PartName="/xl/charts/chart59.xml" ContentType="application/vnd.openxmlformats-officedocument.drawingml.chart+xml"/>
  <Override PartName="/xl/drawings/drawing25.xml" ContentType="application/vnd.openxmlformats-officedocument.drawing+xml"/>
  <Override PartName="/xl/charts/chart60.xml" ContentType="application/vnd.openxmlformats-officedocument.drawingml.chart+xml"/>
  <Override PartName="/xl/drawings/drawing26.xml" ContentType="application/vnd.openxmlformats-officedocument.drawing+xml"/>
  <Override PartName="/xl/charts/chart61.xml" ContentType="application/vnd.openxmlformats-officedocument.drawingml.chart+xml"/>
  <Override PartName="/xl/drawings/drawing27.xml" ContentType="application/vnd.openxmlformats-officedocument.drawing+xml"/>
  <Override PartName="/xl/charts/chart62.xml" ContentType="application/vnd.openxmlformats-officedocument.drawingml.chart+xml"/>
  <Override PartName="/xl/drawings/drawing28.xml" ContentType="application/vnd.openxmlformats-officedocument.drawing+xml"/>
  <Override PartName="/xl/charts/chart63.xml" ContentType="application/vnd.openxmlformats-officedocument.drawingml.chart+xml"/>
  <Override PartName="/xl/drawings/drawing29.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30.xml" ContentType="application/vnd.openxmlformats-officedocument.drawing+xml"/>
  <Override PartName="/xl/charts/chart66.xml" ContentType="application/vnd.openxmlformats-officedocument.drawingml.chart+xml"/>
  <Override PartName="/xl/drawings/drawing31.xml" ContentType="application/vnd.openxmlformats-officedocument.drawing+xml"/>
  <Override PartName="/xl/charts/chart67.xml" ContentType="application/vnd.openxmlformats-officedocument.drawingml.chart+xml"/>
  <Override PartName="/xl/drawings/drawing32.xml" ContentType="application/vnd.openxmlformats-officedocument.drawing+xml"/>
  <Override PartName="/xl/charts/chart68.xml" ContentType="application/vnd.openxmlformats-officedocument.drawingml.chart+xml"/>
  <Override PartName="/xl/drawings/drawing33.xml" ContentType="application/vnd.openxmlformats-officedocument.drawing+xml"/>
  <Override PartName="/xl/charts/chart69.xml" ContentType="application/vnd.openxmlformats-officedocument.drawingml.chart+xml"/>
  <Override PartName="/xl/drawings/drawing34.xml" ContentType="application/vnd.openxmlformats-officedocument.drawing+xml"/>
  <Override PartName="/xl/charts/chart70.xml" ContentType="application/vnd.openxmlformats-officedocument.drawingml.chart+xml"/>
  <Override PartName="/xl/drawings/drawing35.xml" ContentType="application/vnd.openxmlformats-officedocument.drawing+xml"/>
  <Override PartName="/xl/charts/chart71.xml" ContentType="application/vnd.openxmlformats-officedocument.drawingml.chart+xml"/>
  <Override PartName="/xl/drawings/drawing36.xml" ContentType="application/vnd.openxmlformats-officedocument.drawing+xml"/>
  <Override PartName="/xl/charts/chart72.xml" ContentType="application/vnd.openxmlformats-officedocument.drawingml.chart+xml"/>
  <Override PartName="/xl/drawings/drawing37.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38.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drawings/drawing39.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drawings/drawing40.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41.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drawings/drawing42.xml" ContentType="application/vnd.openxmlformats-officedocument.drawing+xml"/>
  <Override PartName="/xl/charts/chart89.xml" ContentType="application/vnd.openxmlformats-officedocument.drawingml.chart+xml"/>
  <Override PartName="/xl/drawings/drawing43.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RNC Consulting LLC\Documents\BCWA Working\BCWA Watershed Plan Working\MSD-Year P1 P4 Master Spreadsheets\"/>
    </mc:Choice>
  </mc:AlternateContent>
  <bookViews>
    <workbookView xWindow="-430" yWindow="0" windowWidth="6700" windowHeight="4060" tabRatio="884" firstSheet="8" activeTab="17" xr2:uid="{00000000-000D-0000-FFFF-FFFF00000000}"/>
  </bookViews>
  <sheets>
    <sheet name="Reservoir Sample Sites" sheetId="30" r:id="rId1"/>
    <sheet name="2010 Trophic" sheetId="19" r:id="rId2"/>
    <sheet name="Annual Reservoir Trends" sheetId="24" r:id="rId3"/>
    <sheet name="Nitrate Trends" sheetId="23" r:id="rId4"/>
    <sheet name="Phosphorus Trends" sheetId="22" r:id="rId5"/>
    <sheet name="Loading" sheetId="21" r:id="rId6"/>
    <sheet name="Carlson" sheetId="20" r:id="rId7"/>
    <sheet name="Walker" sheetId="25" r:id="rId8"/>
    <sheet name="Monthly Discharge" sheetId="26" r:id="rId9"/>
    <sheet name="Temperature" sheetId="13" r:id="rId10"/>
    <sheet name="Conductance" sheetId="1" r:id="rId11"/>
    <sheet name="pH" sheetId="7" r:id="rId12"/>
    <sheet name="Oxygen" sheetId="8" r:id="rId13"/>
    <sheet name="T &amp; Diss Phosphorus" sheetId="3" r:id="rId14"/>
    <sheet name="Nitrate &amp; T Nitrogen" sheetId="15" r:id="rId15"/>
    <sheet name="TSS" sheetId="12" r:id="rId16"/>
    <sheet name="Chlsecchi" sheetId="14" r:id="rId17"/>
    <sheet name="Phytoplankton" sheetId="18" r:id="rId18"/>
    <sheet name="1-25-10" sheetId="29" r:id="rId19"/>
    <sheet name="2-22-10" sheetId="32" r:id="rId20"/>
    <sheet name="3-29-10" sheetId="35" r:id="rId21"/>
    <sheet name="4-26-10" sheetId="36" r:id="rId22"/>
    <sheet name="5-24-10" sheetId="37" r:id="rId23"/>
    <sheet name="6-29-10" sheetId="38" r:id="rId24"/>
    <sheet name="7-13-10" sheetId="39" r:id="rId25"/>
    <sheet name="WS 7-8-10" sheetId="55" r:id="rId26"/>
    <sheet name="7-26-10" sheetId="40" r:id="rId27"/>
    <sheet name="8-9-10" sheetId="41" r:id="rId28"/>
    <sheet name="8-23-10" sheetId="42" r:id="rId29"/>
    <sheet name="9-07-10" sheetId="43" r:id="rId30"/>
    <sheet name="9-27-10" sheetId="44" r:id="rId31"/>
    <sheet name="10-25-10" sheetId="45" r:id="rId32"/>
    <sheet name="11-15-10" sheetId="46" r:id="rId33"/>
    <sheet name="12-2-10" sheetId="47" r:id="rId34"/>
    <sheet name="Field Sheet" sheetId="31" r:id="rId35"/>
    <sheet name="WS 2010 Data" sheetId="56" r:id="rId36"/>
    <sheet name="Monthly Chemistry" sheetId="34" r:id="rId37"/>
    <sheet name="Temp DO Comp" sheetId="49" r:id="rId38"/>
    <sheet name="Aeartion Log" sheetId="50" r:id="rId39"/>
    <sheet name="2010 Fishery Data" sheetId="52" r:id="rId40"/>
    <sheet name="NO3 review" sheetId="53" r:id="rId41"/>
    <sheet name="Kerr Swede" sheetId="54" r:id="rId42"/>
    <sheet name="Sediment" sheetId="57" r:id="rId43"/>
    <sheet name="Grain Size" sheetId="58" r:id="rId44"/>
    <sheet name="T Standards" sheetId="59" r:id="rId45"/>
    <sheet name="Rec Use" sheetId="60" r:id="rId46"/>
  </sheets>
  <externalReferences>
    <externalReference r:id="rId47"/>
  </externalReferences>
  <definedNames>
    <definedName name="_xlnm.Print_Area" localSheetId="6">Carlson!$M$52:$Y$93</definedName>
    <definedName name="_xlnm.Print_Area" localSheetId="16">Chlsecchi!$A$1:$P$58</definedName>
    <definedName name="_xlnm.Print_Area" localSheetId="10">Conductance!$A$1:$P$22</definedName>
    <definedName name="_xlnm.Print_Area" localSheetId="34">'Field Sheet'!$A$1:$H$53</definedName>
    <definedName name="_xlnm.Print_Area" localSheetId="41">'Kerr Swede'!$A$1:$L$13</definedName>
    <definedName name="_xlnm.Print_Area" localSheetId="5">Loading!$A$58:$N$87</definedName>
    <definedName name="_xlnm.Print_Area" localSheetId="36">'Monthly Chemistry'!$A$1:$M$26</definedName>
    <definedName name="_xlnm.Print_Area" localSheetId="14">'Nitrate &amp; T Nitrogen'!#REF!</definedName>
    <definedName name="_xlnm.Print_Area" localSheetId="12">Oxygen!$A$1:$P$24</definedName>
    <definedName name="_xlnm.Print_Area" localSheetId="11">pH!$A$1:$P$10</definedName>
    <definedName name="_xlnm.Print_Area" localSheetId="13">'T &amp; Diss Phosphorus'!#REF!</definedName>
    <definedName name="_xlnm.Print_Area" localSheetId="37">'Temp DO Comp'!$R$1:$AH$8</definedName>
    <definedName name="_xlnm.Print_Area" localSheetId="9">Temperature!$A$1:$P$21</definedName>
    <definedName name="_xlnm.Print_Area" localSheetId="15">TSS!$A$1:$T$21</definedName>
    <definedName name="_xlnm.Print_Area" localSheetId="7">Walker!$M$50:$AI$86</definedName>
    <definedName name="_xlnm.Print_Area" localSheetId="35">'WS 2010 Data'!$W$1:$AA$25</definedName>
    <definedName name="_xlnm.Print_Titles" localSheetId="17">Phytoplankton!#REF!</definedName>
  </definedNames>
  <calcPr calcId="171027"/>
</workbook>
</file>

<file path=xl/calcChain.xml><?xml version="1.0" encoding="utf-8"?>
<calcChain xmlns="http://schemas.openxmlformats.org/spreadsheetml/2006/main">
  <c r="A35" i="18" l="1"/>
  <c r="B8" i="18"/>
  <c r="E32" i="21" l="1"/>
  <c r="I32" i="21"/>
  <c r="M32" i="21"/>
  <c r="C20" i="21"/>
  <c r="D20" i="21"/>
  <c r="E20" i="21"/>
  <c r="F20" i="21"/>
  <c r="G20" i="21"/>
  <c r="H20" i="21"/>
  <c r="I20" i="21"/>
  <c r="J20" i="21"/>
  <c r="K20" i="21"/>
  <c r="L20" i="21"/>
  <c r="M20" i="21"/>
  <c r="B20" i="21"/>
  <c r="N20" i="21" s="1"/>
  <c r="C31" i="21"/>
  <c r="D31" i="21"/>
  <c r="E31" i="21"/>
  <c r="F31" i="21"/>
  <c r="G31" i="21"/>
  <c r="H31" i="21"/>
  <c r="I31" i="21"/>
  <c r="J31" i="21"/>
  <c r="K31" i="21"/>
  <c r="L31" i="21"/>
  <c r="M31" i="21"/>
  <c r="B31" i="21"/>
  <c r="N25" i="21"/>
  <c r="N7" i="21"/>
  <c r="C22" i="1"/>
  <c r="D22" i="1"/>
  <c r="E22" i="1"/>
  <c r="F22" i="1"/>
  <c r="G22" i="1"/>
  <c r="H22" i="1"/>
  <c r="I22" i="1"/>
  <c r="J22" i="1"/>
  <c r="K22" i="1"/>
  <c r="L22" i="1"/>
  <c r="M22" i="1"/>
  <c r="N22" i="1"/>
  <c r="O22" i="1"/>
  <c r="P22" i="1"/>
  <c r="B22" i="1"/>
  <c r="G46" i="52"/>
  <c r="F46" i="52"/>
  <c r="E46" i="52"/>
  <c r="D46" i="52"/>
  <c r="G41" i="52"/>
  <c r="F41" i="52"/>
  <c r="E41" i="52"/>
  <c r="D41" i="52"/>
  <c r="G36" i="52"/>
  <c r="F36" i="52"/>
  <c r="E36" i="52"/>
  <c r="D36" i="52"/>
  <c r="G31" i="52"/>
  <c r="F31" i="52"/>
  <c r="E31" i="52"/>
  <c r="D31" i="52"/>
  <c r="G26" i="52"/>
  <c r="F26" i="52"/>
  <c r="E26" i="52"/>
  <c r="D26" i="52"/>
  <c r="G21" i="52"/>
  <c r="F21" i="52"/>
  <c r="E21" i="52"/>
  <c r="D21" i="52"/>
  <c r="G16" i="52"/>
  <c r="F16" i="52"/>
  <c r="E16" i="52"/>
  <c r="D16" i="52"/>
  <c r="G11" i="52"/>
  <c r="F11" i="52"/>
  <c r="E11" i="52"/>
  <c r="D11" i="52"/>
  <c r="D58" i="18"/>
  <c r="E58" i="18"/>
  <c r="F58" i="18"/>
  <c r="K58" i="18"/>
  <c r="L58" i="18"/>
  <c r="M58" i="18"/>
  <c r="N58" i="18"/>
  <c r="O58" i="18"/>
  <c r="P58" i="18"/>
  <c r="Q58" i="18"/>
  <c r="R58" i="18"/>
  <c r="S58" i="18"/>
  <c r="T58" i="18"/>
  <c r="U58" i="18"/>
  <c r="V58" i="18"/>
  <c r="W58" i="18"/>
  <c r="X58" i="18"/>
  <c r="Y58" i="18"/>
  <c r="Z58" i="18"/>
  <c r="D39" i="18"/>
  <c r="E39" i="18"/>
  <c r="F39" i="18"/>
  <c r="G39" i="18"/>
  <c r="H39" i="18"/>
  <c r="I39" i="18"/>
  <c r="J39" i="18"/>
  <c r="K39" i="18"/>
  <c r="L39" i="18"/>
  <c r="M39" i="18"/>
  <c r="N39" i="18"/>
  <c r="O39" i="18"/>
  <c r="P39" i="18"/>
  <c r="Q39" i="18"/>
  <c r="R39" i="18"/>
  <c r="W39" i="18"/>
  <c r="X39" i="18"/>
  <c r="Y39" i="18"/>
  <c r="Z39" i="18"/>
  <c r="C39" i="18"/>
  <c r="B4" i="18" s="1"/>
  <c r="C58" i="18"/>
  <c r="B5" i="18" s="1"/>
  <c r="D35" i="18"/>
  <c r="E35" i="18"/>
  <c r="F35" i="18"/>
  <c r="G35" i="18"/>
  <c r="H35" i="18"/>
  <c r="I35" i="18"/>
  <c r="J35" i="18"/>
  <c r="K35" i="18"/>
  <c r="L35" i="18"/>
  <c r="M35" i="18"/>
  <c r="N35" i="18"/>
  <c r="O35" i="18"/>
  <c r="P35" i="18"/>
  <c r="Q35" i="18"/>
  <c r="R35" i="18"/>
  <c r="S35" i="18"/>
  <c r="T35" i="18"/>
  <c r="U35" i="18"/>
  <c r="V35" i="18"/>
  <c r="W35" i="18"/>
  <c r="X35" i="18"/>
  <c r="Y35" i="18"/>
  <c r="Z35" i="18"/>
  <c r="C35" i="18"/>
  <c r="D30" i="18"/>
  <c r="E30" i="18"/>
  <c r="F30" i="18"/>
  <c r="G30" i="18"/>
  <c r="H30" i="18"/>
  <c r="I30" i="18"/>
  <c r="J30" i="18"/>
  <c r="K30" i="18"/>
  <c r="L30" i="18"/>
  <c r="M30" i="18"/>
  <c r="N30" i="18"/>
  <c r="O30" i="18"/>
  <c r="P30" i="18"/>
  <c r="Q30" i="18"/>
  <c r="R30" i="18"/>
  <c r="S30" i="18"/>
  <c r="T30" i="18"/>
  <c r="U30" i="18"/>
  <c r="V30" i="18"/>
  <c r="W30" i="18"/>
  <c r="X30" i="18"/>
  <c r="Y30" i="18"/>
  <c r="Z30" i="18"/>
  <c r="C30" i="18"/>
  <c r="B2" i="18" s="1"/>
  <c r="B3" i="18" s="1"/>
  <c r="E49" i="15"/>
  <c r="AR26" i="25"/>
  <c r="AR27" i="25" s="1"/>
  <c r="AR23" i="25"/>
  <c r="AR24" i="25" s="1"/>
  <c r="AR20" i="25"/>
  <c r="AR21" i="25" s="1"/>
  <c r="AR17" i="25"/>
  <c r="AR18" i="25" s="1"/>
  <c r="AR9" i="25"/>
  <c r="AR10" i="25" s="1"/>
  <c r="AR6" i="25"/>
  <c r="AR7" i="25" s="1"/>
  <c r="AR3" i="25"/>
  <c r="AR4" i="25" s="1"/>
  <c r="AR12" i="25" s="1"/>
  <c r="V19" i="20"/>
  <c r="V20" i="20" s="1"/>
  <c r="V22" i="20"/>
  <c r="V23" i="20" s="1"/>
  <c r="V25" i="20"/>
  <c r="V26" i="20" s="1"/>
  <c r="V30" i="20"/>
  <c r="V31" i="20" s="1"/>
  <c r="V36" i="20"/>
  <c r="V37" i="20" s="1"/>
  <c r="V33" i="20"/>
  <c r="V34" i="20" s="1"/>
  <c r="C109" i="23"/>
  <c r="G108" i="23" s="1"/>
  <c r="G88" i="22"/>
  <c r="G110" i="22" s="1"/>
  <c r="AA6" i="24"/>
  <c r="AA7" i="24"/>
  <c r="AA9" i="24"/>
  <c r="AA11" i="24"/>
  <c r="AA13" i="24"/>
  <c r="AA15" i="24"/>
  <c r="AA17" i="24"/>
  <c r="AA19" i="24"/>
  <c r="AA4" i="24"/>
  <c r="AB8" i="24"/>
  <c r="AB16" i="24"/>
  <c r="AB4" i="24"/>
  <c r="W19" i="24"/>
  <c r="AB19" i="24" s="1"/>
  <c r="W4" i="24"/>
  <c r="S7" i="13"/>
  <c r="S8" i="13"/>
  <c r="S10" i="13"/>
  <c r="S11" i="13"/>
  <c r="S12" i="13"/>
  <c r="S13" i="13"/>
  <c r="S14" i="13"/>
  <c r="S15" i="13"/>
  <c r="S16" i="13"/>
  <c r="S17" i="13"/>
  <c r="S18" i="13"/>
  <c r="S19" i="13"/>
  <c r="S20" i="13"/>
  <c r="S6" i="13"/>
  <c r="L16" i="12"/>
  <c r="M16" i="12"/>
  <c r="L17" i="12"/>
  <c r="M17" i="12"/>
  <c r="L18" i="12"/>
  <c r="M18" i="12"/>
  <c r="L19" i="12"/>
  <c r="M19" i="12"/>
  <c r="L20" i="12"/>
  <c r="M20" i="12"/>
  <c r="K17" i="12"/>
  <c r="K18" i="12"/>
  <c r="K19" i="12"/>
  <c r="K20" i="12"/>
  <c r="K16" i="12"/>
  <c r="C16" i="12"/>
  <c r="D16" i="12"/>
  <c r="E16" i="12"/>
  <c r="F16" i="12"/>
  <c r="G16" i="12"/>
  <c r="C17" i="12"/>
  <c r="D17" i="12"/>
  <c r="E17" i="12"/>
  <c r="F17" i="12"/>
  <c r="G17" i="12"/>
  <c r="C18" i="12"/>
  <c r="D18" i="12"/>
  <c r="E18" i="12"/>
  <c r="F18" i="12"/>
  <c r="G18" i="12"/>
  <c r="C19" i="12"/>
  <c r="D19" i="12"/>
  <c r="E19" i="12"/>
  <c r="F19" i="12"/>
  <c r="G19" i="12"/>
  <c r="C20" i="12"/>
  <c r="D20" i="12"/>
  <c r="E20" i="12"/>
  <c r="F20" i="12"/>
  <c r="G20" i="12"/>
  <c r="B17" i="12"/>
  <c r="B18" i="12"/>
  <c r="B19" i="12"/>
  <c r="B20" i="12"/>
  <c r="B16" i="12"/>
  <c r="L14" i="14"/>
  <c r="M14" i="14"/>
  <c r="K14" i="14"/>
  <c r="C14" i="14"/>
  <c r="D14" i="14"/>
  <c r="E14" i="14"/>
  <c r="F14" i="14"/>
  <c r="G14" i="14"/>
  <c r="B14" i="14"/>
  <c r="L55" i="3"/>
  <c r="M55" i="3"/>
  <c r="L56" i="3"/>
  <c r="M56" i="3"/>
  <c r="L57" i="3"/>
  <c r="M57" i="3"/>
  <c r="L58" i="3"/>
  <c r="M58" i="3"/>
  <c r="L59" i="3"/>
  <c r="M59" i="3"/>
  <c r="K56" i="3"/>
  <c r="K57" i="3"/>
  <c r="K58" i="3"/>
  <c r="K59" i="3"/>
  <c r="K55" i="3"/>
  <c r="C55" i="3"/>
  <c r="D55" i="3"/>
  <c r="E55" i="3"/>
  <c r="F55" i="3"/>
  <c r="G55" i="3"/>
  <c r="C56" i="3"/>
  <c r="D56" i="3"/>
  <c r="E56" i="3"/>
  <c r="F56" i="3"/>
  <c r="G56" i="3"/>
  <c r="C57" i="3"/>
  <c r="D57" i="3"/>
  <c r="E57" i="3"/>
  <c r="F57" i="3"/>
  <c r="G57" i="3"/>
  <c r="C58" i="3"/>
  <c r="D58" i="3"/>
  <c r="E58" i="3"/>
  <c r="F58" i="3"/>
  <c r="G58" i="3"/>
  <c r="C59" i="3"/>
  <c r="D59" i="3"/>
  <c r="E59" i="3"/>
  <c r="F59" i="3"/>
  <c r="G59" i="3"/>
  <c r="B56" i="3"/>
  <c r="B57" i="3"/>
  <c r="B58" i="3"/>
  <c r="B59" i="3"/>
  <c r="B55" i="3"/>
  <c r="L15" i="3"/>
  <c r="M15" i="3"/>
  <c r="L16" i="3"/>
  <c r="M16" i="3"/>
  <c r="L17" i="3"/>
  <c r="M17" i="3"/>
  <c r="L18" i="3"/>
  <c r="M18" i="3"/>
  <c r="L19" i="3"/>
  <c r="M19" i="3"/>
  <c r="K16" i="3"/>
  <c r="K17" i="3"/>
  <c r="K18" i="3"/>
  <c r="K19" i="3"/>
  <c r="K15" i="3"/>
  <c r="C15" i="3"/>
  <c r="D15" i="3"/>
  <c r="E15" i="3"/>
  <c r="F15" i="3"/>
  <c r="G15" i="3"/>
  <c r="C16" i="3"/>
  <c r="D16" i="3"/>
  <c r="E16" i="3"/>
  <c r="F16" i="3"/>
  <c r="G16" i="3"/>
  <c r="C17" i="3"/>
  <c r="D17" i="3"/>
  <c r="E17" i="3"/>
  <c r="F17" i="3"/>
  <c r="G17" i="3"/>
  <c r="C18" i="3"/>
  <c r="D18" i="3"/>
  <c r="E18" i="3"/>
  <c r="F18" i="3"/>
  <c r="G18" i="3"/>
  <c r="C19" i="3"/>
  <c r="D19" i="3"/>
  <c r="E19" i="3"/>
  <c r="F19" i="3"/>
  <c r="G19" i="3"/>
  <c r="B16" i="3"/>
  <c r="B17" i="3"/>
  <c r="B18" i="3"/>
  <c r="B19" i="3"/>
  <c r="B15" i="3"/>
  <c r="L16" i="15"/>
  <c r="M16" i="15"/>
  <c r="L17" i="15"/>
  <c r="M17" i="15"/>
  <c r="L18" i="15"/>
  <c r="M18" i="15"/>
  <c r="L19" i="15"/>
  <c r="M19" i="15"/>
  <c r="L20" i="15"/>
  <c r="M20" i="15"/>
  <c r="K17" i="15"/>
  <c r="K18" i="15"/>
  <c r="K19" i="15"/>
  <c r="K20" i="15"/>
  <c r="K16" i="15"/>
  <c r="C16" i="15"/>
  <c r="D16" i="15"/>
  <c r="E16" i="15"/>
  <c r="F16" i="15"/>
  <c r="G16" i="15"/>
  <c r="C17" i="15"/>
  <c r="D17" i="15"/>
  <c r="E17" i="15"/>
  <c r="F17" i="15"/>
  <c r="G17" i="15"/>
  <c r="C18" i="15"/>
  <c r="D18" i="15"/>
  <c r="E18" i="15"/>
  <c r="F18" i="15"/>
  <c r="G18" i="15"/>
  <c r="C19" i="15"/>
  <c r="D19" i="15"/>
  <c r="E19" i="15"/>
  <c r="F19" i="15"/>
  <c r="G19" i="15"/>
  <c r="C20" i="15"/>
  <c r="D20" i="15"/>
  <c r="E20" i="15"/>
  <c r="F20" i="15"/>
  <c r="G20" i="15"/>
  <c r="B17" i="15"/>
  <c r="B18" i="15"/>
  <c r="B19" i="15"/>
  <c r="B20" i="15"/>
  <c r="B16" i="15"/>
  <c r="J22" i="15"/>
  <c r="J23" i="15"/>
  <c r="I22" i="15"/>
  <c r="I23" i="15"/>
  <c r="V18" i="24"/>
  <c r="AA18" i="24" s="1"/>
  <c r="V14" i="24"/>
  <c r="AA14" i="24" s="1"/>
  <c r="V10" i="24"/>
  <c r="AA10" i="24" s="1"/>
  <c r="V6" i="24"/>
  <c r="M14" i="26"/>
  <c r="M19" i="26" s="1"/>
  <c r="M27" i="26" s="1"/>
  <c r="L14" i="26"/>
  <c r="L19" i="26" s="1"/>
  <c r="L27" i="26" s="1"/>
  <c r="K14" i="26"/>
  <c r="K19" i="26" s="1"/>
  <c r="K27" i="26" s="1"/>
  <c r="J14" i="26"/>
  <c r="J19" i="26" s="1"/>
  <c r="J27" i="26" s="1"/>
  <c r="I14" i="26"/>
  <c r="I19" i="26" s="1"/>
  <c r="I27" i="26" s="1"/>
  <c r="H14" i="26"/>
  <c r="H19" i="26" s="1"/>
  <c r="H27" i="26" s="1"/>
  <c r="G14" i="26"/>
  <c r="G19" i="26" s="1"/>
  <c r="G27" i="26" s="1"/>
  <c r="F14" i="26"/>
  <c r="F19" i="26" s="1"/>
  <c r="F27" i="26" s="1"/>
  <c r="E19" i="26"/>
  <c r="E27" i="26" s="1"/>
  <c r="D14" i="26"/>
  <c r="D19" i="26" s="1"/>
  <c r="D27" i="26" s="1"/>
  <c r="C14" i="26"/>
  <c r="C19" i="26" s="1"/>
  <c r="C27" i="26" s="1"/>
  <c r="B14" i="26"/>
  <c r="B19" i="26" s="1"/>
  <c r="B27" i="26" s="1"/>
  <c r="M18" i="26"/>
  <c r="L18" i="26"/>
  <c r="K18" i="26"/>
  <c r="J13" i="26"/>
  <c r="J18" i="26" s="1"/>
  <c r="I13" i="26"/>
  <c r="I18" i="26" s="1"/>
  <c r="H13" i="26"/>
  <c r="H18" i="26" s="1"/>
  <c r="G18" i="26"/>
  <c r="F18" i="26"/>
  <c r="E18" i="26"/>
  <c r="D18" i="26"/>
  <c r="C18" i="26"/>
  <c r="B18" i="26"/>
  <c r="M12" i="26"/>
  <c r="M17" i="26" s="1"/>
  <c r="M24" i="26" s="1"/>
  <c r="M26" i="26" s="1"/>
  <c r="L12" i="26"/>
  <c r="L17" i="26" s="1"/>
  <c r="L24" i="26" s="1"/>
  <c r="L26" i="26" s="1"/>
  <c r="K12" i="26"/>
  <c r="K17" i="26" s="1"/>
  <c r="K24" i="26" s="1"/>
  <c r="K26" i="26" s="1"/>
  <c r="J12" i="26"/>
  <c r="J17" i="26" s="1"/>
  <c r="J24" i="26" s="1"/>
  <c r="J26" i="26" s="1"/>
  <c r="I12" i="26"/>
  <c r="I17" i="26" s="1"/>
  <c r="I24" i="26" s="1"/>
  <c r="I26" i="26" s="1"/>
  <c r="H12" i="26"/>
  <c r="H17" i="26" s="1"/>
  <c r="H24" i="26" s="1"/>
  <c r="H26" i="26" s="1"/>
  <c r="G12" i="26"/>
  <c r="G17" i="26" s="1"/>
  <c r="G24" i="26" s="1"/>
  <c r="G26" i="26" s="1"/>
  <c r="F12" i="26"/>
  <c r="F17" i="26" s="1"/>
  <c r="F24" i="26" s="1"/>
  <c r="F26" i="26" s="1"/>
  <c r="E17" i="26"/>
  <c r="E24" i="26" s="1"/>
  <c r="E26" i="26" s="1"/>
  <c r="D12" i="26"/>
  <c r="D17" i="26" s="1"/>
  <c r="D24" i="26" s="1"/>
  <c r="D26" i="26" s="1"/>
  <c r="C12" i="26"/>
  <c r="C17" i="26" s="1"/>
  <c r="C24" i="26" s="1"/>
  <c r="C26" i="26" s="1"/>
  <c r="B12" i="26"/>
  <c r="B17" i="26" s="1"/>
  <c r="B24" i="26" s="1"/>
  <c r="AQ26" i="25"/>
  <c r="AQ27" i="25" s="1"/>
  <c r="AP26" i="25"/>
  <c r="AP27" i="25" s="1"/>
  <c r="AO26" i="25"/>
  <c r="AO27" i="25" s="1"/>
  <c r="AN26" i="25"/>
  <c r="AN27" i="25" s="1"/>
  <c r="AM26" i="25"/>
  <c r="AM27" i="25" s="1"/>
  <c r="AL26" i="25"/>
  <c r="AL27" i="25" s="1"/>
  <c r="AK26" i="25"/>
  <c r="AK27" i="25" s="1"/>
  <c r="AJ26" i="25"/>
  <c r="AJ27" i="25" s="1"/>
  <c r="AI26" i="25"/>
  <c r="AI27" i="25" s="1"/>
  <c r="AH26" i="25"/>
  <c r="AH27" i="25" s="1"/>
  <c r="AG26" i="25"/>
  <c r="AG27" i="25" s="1"/>
  <c r="AF26" i="25"/>
  <c r="AF27" i="25" s="1"/>
  <c r="AE26" i="25"/>
  <c r="AE27" i="25" s="1"/>
  <c r="AD26" i="25"/>
  <c r="AD27" i="25" s="1"/>
  <c r="AC26" i="25"/>
  <c r="AC27" i="25" s="1"/>
  <c r="AB26" i="25"/>
  <c r="AB27" i="25" s="1"/>
  <c r="AA26" i="25"/>
  <c r="AA27" i="25" s="1"/>
  <c r="Z26" i="25"/>
  <c r="Z27" i="25" s="1"/>
  <c r="Y26" i="25"/>
  <c r="Y27" i="25" s="1"/>
  <c r="AQ23" i="25"/>
  <c r="AQ24" i="25" s="1"/>
  <c r="AP23" i="25"/>
  <c r="AP24" i="25" s="1"/>
  <c r="AO23" i="25"/>
  <c r="AO24" i="25" s="1"/>
  <c r="AN23" i="25"/>
  <c r="AN24" i="25" s="1"/>
  <c r="AM23" i="25"/>
  <c r="AM24" i="25" s="1"/>
  <c r="AL23" i="25"/>
  <c r="AL24" i="25" s="1"/>
  <c r="AK23" i="25"/>
  <c r="AK24" i="25" s="1"/>
  <c r="AJ23" i="25"/>
  <c r="AJ24" i="25" s="1"/>
  <c r="AI23" i="25"/>
  <c r="AI24" i="25" s="1"/>
  <c r="AH23" i="25"/>
  <c r="AH24" i="25" s="1"/>
  <c r="AG23" i="25"/>
  <c r="AG24" i="25" s="1"/>
  <c r="AF23" i="25"/>
  <c r="AF24" i="25" s="1"/>
  <c r="AE23" i="25"/>
  <c r="AE24" i="25" s="1"/>
  <c r="AD23" i="25"/>
  <c r="AD24" i="25" s="1"/>
  <c r="AC23" i="25"/>
  <c r="AC24" i="25" s="1"/>
  <c r="AB23" i="25"/>
  <c r="AB24" i="25" s="1"/>
  <c r="AA23" i="25"/>
  <c r="AA24" i="25" s="1"/>
  <c r="Z23" i="25"/>
  <c r="Z24" i="25" s="1"/>
  <c r="Y23" i="25"/>
  <c r="Y24" i="25" s="1"/>
  <c r="AQ20" i="25"/>
  <c r="AQ21" i="25" s="1"/>
  <c r="AP20" i="25"/>
  <c r="AP21" i="25" s="1"/>
  <c r="AO20" i="25"/>
  <c r="AO21" i="25" s="1"/>
  <c r="AN20" i="25"/>
  <c r="AN21" i="25" s="1"/>
  <c r="AM20" i="25"/>
  <c r="AM21" i="25" s="1"/>
  <c r="AL20" i="25"/>
  <c r="AL21" i="25" s="1"/>
  <c r="AK20" i="25"/>
  <c r="AK21" i="25" s="1"/>
  <c r="AJ20" i="25"/>
  <c r="AJ21" i="25" s="1"/>
  <c r="AI20" i="25"/>
  <c r="AI21" i="25" s="1"/>
  <c r="AH20" i="25"/>
  <c r="AH21" i="25" s="1"/>
  <c r="AG20" i="25"/>
  <c r="AG21" i="25" s="1"/>
  <c r="AF20" i="25"/>
  <c r="AF21" i="25" s="1"/>
  <c r="AE20" i="25"/>
  <c r="AE21" i="25" s="1"/>
  <c r="AD20" i="25"/>
  <c r="AD21" i="25" s="1"/>
  <c r="AC20" i="25"/>
  <c r="AC21" i="25" s="1"/>
  <c r="AB20" i="25"/>
  <c r="AB21" i="25" s="1"/>
  <c r="AA20" i="25"/>
  <c r="AA21" i="25" s="1"/>
  <c r="Z20" i="25"/>
  <c r="Z21" i="25" s="1"/>
  <c r="Y20" i="25"/>
  <c r="Y21" i="25" s="1"/>
  <c r="AQ17" i="25"/>
  <c r="AQ18" i="25" s="1"/>
  <c r="AP17" i="25"/>
  <c r="AP18" i="25" s="1"/>
  <c r="AO17" i="25"/>
  <c r="AO18" i="25" s="1"/>
  <c r="AN17" i="25"/>
  <c r="AN18" i="25" s="1"/>
  <c r="AN29" i="25" s="1"/>
  <c r="AM17" i="25"/>
  <c r="AM18" i="25" s="1"/>
  <c r="AM29" i="25" s="1"/>
  <c r="AL17" i="25"/>
  <c r="AL18" i="25" s="1"/>
  <c r="AK17" i="25"/>
  <c r="AK18" i="25" s="1"/>
  <c r="AJ17" i="25"/>
  <c r="AJ18" i="25" s="1"/>
  <c r="AJ29" i="25" s="1"/>
  <c r="AI17" i="25"/>
  <c r="AI18" i="25" s="1"/>
  <c r="AI29" i="25" s="1"/>
  <c r="AH17" i="25"/>
  <c r="AH18" i="25" s="1"/>
  <c r="AG17" i="25"/>
  <c r="AG18" i="25" s="1"/>
  <c r="AF17" i="25"/>
  <c r="AF18" i="25" s="1"/>
  <c r="AF29" i="25" s="1"/>
  <c r="AE17" i="25"/>
  <c r="AE18" i="25" s="1"/>
  <c r="AE29" i="25" s="1"/>
  <c r="AD17" i="25"/>
  <c r="AD18" i="25" s="1"/>
  <c r="AC17" i="25"/>
  <c r="AC18" i="25" s="1"/>
  <c r="AB17" i="25"/>
  <c r="AB18" i="25" s="1"/>
  <c r="AB29" i="25" s="1"/>
  <c r="AA17" i="25"/>
  <c r="AA18" i="25" s="1"/>
  <c r="AA29" i="25" s="1"/>
  <c r="Z17" i="25"/>
  <c r="Z18" i="25" s="1"/>
  <c r="Y17" i="25"/>
  <c r="Y18" i="25" s="1"/>
  <c r="AQ9" i="25"/>
  <c r="AQ10" i="25" s="1"/>
  <c r="AP9" i="25"/>
  <c r="AP10" i="25" s="1"/>
  <c r="AO9" i="25"/>
  <c r="AO10" i="25" s="1"/>
  <c r="AN9" i="25"/>
  <c r="AN10" i="25" s="1"/>
  <c r="AM9" i="25"/>
  <c r="AM10" i="25" s="1"/>
  <c r="AL9" i="25"/>
  <c r="AL10" i="25" s="1"/>
  <c r="AK9" i="25"/>
  <c r="AK10" i="25" s="1"/>
  <c r="AJ9" i="25"/>
  <c r="AJ10" i="25" s="1"/>
  <c r="AI9" i="25"/>
  <c r="AI10" i="25" s="1"/>
  <c r="AH9" i="25"/>
  <c r="AH10" i="25" s="1"/>
  <c r="AG9" i="25"/>
  <c r="AG10" i="25" s="1"/>
  <c r="AF9" i="25"/>
  <c r="AF10" i="25" s="1"/>
  <c r="AE9" i="25"/>
  <c r="AE10" i="25" s="1"/>
  <c r="AD9" i="25"/>
  <c r="AD10" i="25" s="1"/>
  <c r="AC9" i="25"/>
  <c r="AC10" i="25" s="1"/>
  <c r="AB9" i="25"/>
  <c r="AB10" i="25" s="1"/>
  <c r="AA9" i="25"/>
  <c r="AA10" i="25" s="1"/>
  <c r="Z9" i="25"/>
  <c r="Z10" i="25" s="1"/>
  <c r="Y9" i="25"/>
  <c r="Y10" i="25" s="1"/>
  <c r="X9" i="25"/>
  <c r="X10" i="25" s="1"/>
  <c r="AQ6" i="25"/>
  <c r="AQ7" i="25" s="1"/>
  <c r="AP6" i="25"/>
  <c r="AP7" i="25" s="1"/>
  <c r="AO6" i="25"/>
  <c r="AO7" i="25" s="1"/>
  <c r="AN6" i="25"/>
  <c r="AN7" i="25" s="1"/>
  <c r="AM6" i="25"/>
  <c r="AM7" i="25" s="1"/>
  <c r="AL6" i="25"/>
  <c r="AL7" i="25" s="1"/>
  <c r="AK6" i="25"/>
  <c r="AK7" i="25" s="1"/>
  <c r="AJ6" i="25"/>
  <c r="AJ7" i="25" s="1"/>
  <c r="AI6" i="25"/>
  <c r="AI7" i="25" s="1"/>
  <c r="AH6" i="25"/>
  <c r="AH7" i="25" s="1"/>
  <c r="AG6" i="25"/>
  <c r="AG7" i="25" s="1"/>
  <c r="AF6" i="25"/>
  <c r="AF7" i="25" s="1"/>
  <c r="AE6" i="25"/>
  <c r="AE7" i="25" s="1"/>
  <c r="AD6" i="25"/>
  <c r="AD7" i="25" s="1"/>
  <c r="AC6" i="25"/>
  <c r="AC7" i="25" s="1"/>
  <c r="AB6" i="25"/>
  <c r="AB7" i="25" s="1"/>
  <c r="AA6" i="25"/>
  <c r="AA7" i="25" s="1"/>
  <c r="Z6" i="25"/>
  <c r="Z7" i="25" s="1"/>
  <c r="Y6" i="25"/>
  <c r="Y7" i="25" s="1"/>
  <c r="X6" i="25"/>
  <c r="X7" i="25" s="1"/>
  <c r="AQ3" i="25"/>
  <c r="AQ4" i="25" s="1"/>
  <c r="AQ12" i="25" s="1"/>
  <c r="AP3" i="25"/>
  <c r="AP4" i="25" s="1"/>
  <c r="AP12" i="25" s="1"/>
  <c r="AO3" i="25"/>
  <c r="AO4" i="25" s="1"/>
  <c r="AO12" i="25" s="1"/>
  <c r="AN3" i="25"/>
  <c r="AN4" i="25" s="1"/>
  <c r="AN12" i="25" s="1"/>
  <c r="AM3" i="25"/>
  <c r="AM4" i="25" s="1"/>
  <c r="AM12" i="25" s="1"/>
  <c r="AL3" i="25"/>
  <c r="AL4" i="25" s="1"/>
  <c r="AL12" i="25" s="1"/>
  <c r="AK3" i="25"/>
  <c r="AK4" i="25" s="1"/>
  <c r="AK12" i="25" s="1"/>
  <c r="AJ3" i="25"/>
  <c r="AJ4" i="25" s="1"/>
  <c r="AJ12" i="25" s="1"/>
  <c r="AI3" i="25"/>
  <c r="AI4" i="25" s="1"/>
  <c r="AI12" i="25" s="1"/>
  <c r="AH3" i="25"/>
  <c r="AH4" i="25" s="1"/>
  <c r="AH12" i="25" s="1"/>
  <c r="AG3" i="25"/>
  <c r="AG4" i="25" s="1"/>
  <c r="AG12" i="25" s="1"/>
  <c r="AF3" i="25"/>
  <c r="AF4" i="25" s="1"/>
  <c r="AF12" i="25" s="1"/>
  <c r="AE3" i="25"/>
  <c r="AE4" i="25" s="1"/>
  <c r="AE12" i="25" s="1"/>
  <c r="AD3" i="25"/>
  <c r="AD4" i="25" s="1"/>
  <c r="AD12" i="25" s="1"/>
  <c r="AC3" i="25"/>
  <c r="AC4" i="25" s="1"/>
  <c r="AC12" i="25" s="1"/>
  <c r="AB3" i="25"/>
  <c r="AB4" i="25" s="1"/>
  <c r="AB12" i="25" s="1"/>
  <c r="AA3" i="25"/>
  <c r="AA4" i="25" s="1"/>
  <c r="AA12" i="25" s="1"/>
  <c r="Z3" i="25"/>
  <c r="Z4" i="25" s="1"/>
  <c r="Z12" i="25" s="1"/>
  <c r="Y3" i="25"/>
  <c r="Y4" i="25" s="1"/>
  <c r="Y12" i="25" s="1"/>
  <c r="X3" i="25"/>
  <c r="X4" i="25" s="1"/>
  <c r="X12" i="25" s="1"/>
  <c r="U36" i="20"/>
  <c r="U37" i="20" s="1"/>
  <c r="T36" i="20"/>
  <c r="T37" i="20" s="1"/>
  <c r="S36" i="20"/>
  <c r="S37" i="20" s="1"/>
  <c r="R36" i="20"/>
  <c r="R37" i="20" s="1"/>
  <c r="Q36" i="20"/>
  <c r="Q37" i="20" s="1"/>
  <c r="P36" i="20"/>
  <c r="P37" i="20" s="1"/>
  <c r="O36" i="20"/>
  <c r="O37" i="20" s="1"/>
  <c r="N36" i="20"/>
  <c r="N37" i="20" s="1"/>
  <c r="M36" i="20"/>
  <c r="M37" i="20" s="1"/>
  <c r="L36" i="20"/>
  <c r="L37" i="20" s="1"/>
  <c r="K36" i="20"/>
  <c r="K37" i="20" s="1"/>
  <c r="J36" i="20"/>
  <c r="J37" i="20" s="1"/>
  <c r="I36" i="20"/>
  <c r="I37" i="20" s="1"/>
  <c r="H36" i="20"/>
  <c r="H37" i="20" s="1"/>
  <c r="G36" i="20"/>
  <c r="G37" i="20" s="1"/>
  <c r="F36" i="20"/>
  <c r="F37" i="20" s="1"/>
  <c r="E36" i="20"/>
  <c r="E37" i="20" s="1"/>
  <c r="D36" i="20"/>
  <c r="D37" i="20" s="1"/>
  <c r="C36" i="20"/>
  <c r="C37" i="20" s="1"/>
  <c r="U33" i="20"/>
  <c r="U34" i="20" s="1"/>
  <c r="T33" i="20"/>
  <c r="T34" i="20" s="1"/>
  <c r="S33" i="20"/>
  <c r="S34" i="20" s="1"/>
  <c r="R33" i="20"/>
  <c r="R34" i="20" s="1"/>
  <c r="Q33" i="20"/>
  <c r="Q34" i="20" s="1"/>
  <c r="P33" i="20"/>
  <c r="P34" i="20" s="1"/>
  <c r="O33" i="20"/>
  <c r="O34" i="20" s="1"/>
  <c r="N33" i="20"/>
  <c r="N34" i="20" s="1"/>
  <c r="M33" i="20"/>
  <c r="M34" i="20" s="1"/>
  <c r="L33" i="20"/>
  <c r="L34" i="20" s="1"/>
  <c r="K33" i="20"/>
  <c r="K34" i="20" s="1"/>
  <c r="J33" i="20"/>
  <c r="J34" i="20" s="1"/>
  <c r="I33" i="20"/>
  <c r="I34" i="20" s="1"/>
  <c r="H33" i="20"/>
  <c r="H34" i="20" s="1"/>
  <c r="G33" i="20"/>
  <c r="G34" i="20" s="1"/>
  <c r="F33" i="20"/>
  <c r="F34" i="20" s="1"/>
  <c r="E33" i="20"/>
  <c r="E34" i="20" s="1"/>
  <c r="D33" i="20"/>
  <c r="D34" i="20" s="1"/>
  <c r="C33" i="20"/>
  <c r="C34" i="20" s="1"/>
  <c r="U30" i="20"/>
  <c r="U31" i="20" s="1"/>
  <c r="T30" i="20"/>
  <c r="T31" i="20" s="1"/>
  <c r="S30" i="20"/>
  <c r="S31" i="20" s="1"/>
  <c r="R30" i="20"/>
  <c r="R31" i="20" s="1"/>
  <c r="Q30" i="20"/>
  <c r="Q31" i="20" s="1"/>
  <c r="P30" i="20"/>
  <c r="P31" i="20" s="1"/>
  <c r="O30" i="20"/>
  <c r="O31" i="20" s="1"/>
  <c r="N30" i="20"/>
  <c r="N31" i="20" s="1"/>
  <c r="M30" i="20"/>
  <c r="M31" i="20" s="1"/>
  <c r="L30" i="20"/>
  <c r="L31" i="20" s="1"/>
  <c r="K30" i="20"/>
  <c r="K31" i="20" s="1"/>
  <c r="J30" i="20"/>
  <c r="J31" i="20" s="1"/>
  <c r="I30" i="20"/>
  <c r="I31" i="20" s="1"/>
  <c r="H30" i="20"/>
  <c r="H31" i="20" s="1"/>
  <c r="G30" i="20"/>
  <c r="G31" i="20" s="1"/>
  <c r="F30" i="20"/>
  <c r="F31" i="20" s="1"/>
  <c r="E30" i="20"/>
  <c r="E31" i="20" s="1"/>
  <c r="D30" i="20"/>
  <c r="D31" i="20" s="1"/>
  <c r="C30" i="20"/>
  <c r="C31" i="20" s="1"/>
  <c r="U25" i="20"/>
  <c r="U26" i="20" s="1"/>
  <c r="T25" i="20"/>
  <c r="T26" i="20" s="1"/>
  <c r="S25" i="20"/>
  <c r="S26" i="20" s="1"/>
  <c r="R25" i="20"/>
  <c r="R26" i="20" s="1"/>
  <c r="Q25" i="20"/>
  <c r="Q26" i="20" s="1"/>
  <c r="P25" i="20"/>
  <c r="P26" i="20" s="1"/>
  <c r="O25" i="20"/>
  <c r="O26" i="20" s="1"/>
  <c r="N25" i="20"/>
  <c r="N26" i="20" s="1"/>
  <c r="M25" i="20"/>
  <c r="M26" i="20" s="1"/>
  <c r="L25" i="20"/>
  <c r="L26" i="20" s="1"/>
  <c r="K25" i="20"/>
  <c r="K26" i="20" s="1"/>
  <c r="J25" i="20"/>
  <c r="J26" i="20" s="1"/>
  <c r="I25" i="20"/>
  <c r="I26" i="20" s="1"/>
  <c r="H25" i="20"/>
  <c r="H26" i="20" s="1"/>
  <c r="G25" i="20"/>
  <c r="G26" i="20" s="1"/>
  <c r="F25" i="20"/>
  <c r="F26" i="20" s="1"/>
  <c r="E25" i="20"/>
  <c r="E26" i="20" s="1"/>
  <c r="D25" i="20"/>
  <c r="D26" i="20" s="1"/>
  <c r="C25" i="20"/>
  <c r="C26" i="20" s="1"/>
  <c r="B25" i="20"/>
  <c r="B26" i="20" s="1"/>
  <c r="U22" i="20"/>
  <c r="U23" i="20" s="1"/>
  <c r="T22" i="20"/>
  <c r="T23" i="20" s="1"/>
  <c r="S22" i="20"/>
  <c r="S23" i="20" s="1"/>
  <c r="R22" i="20"/>
  <c r="R23" i="20" s="1"/>
  <c r="Q22" i="20"/>
  <c r="Q23" i="20" s="1"/>
  <c r="P22" i="20"/>
  <c r="P23" i="20" s="1"/>
  <c r="O22" i="20"/>
  <c r="O23" i="20" s="1"/>
  <c r="N22" i="20"/>
  <c r="N23" i="20" s="1"/>
  <c r="M22" i="20"/>
  <c r="M23" i="20" s="1"/>
  <c r="L22" i="20"/>
  <c r="L23" i="20" s="1"/>
  <c r="K22" i="20"/>
  <c r="K23" i="20" s="1"/>
  <c r="J22" i="20"/>
  <c r="J23" i="20" s="1"/>
  <c r="I22" i="20"/>
  <c r="I23" i="20" s="1"/>
  <c r="H22" i="20"/>
  <c r="H23" i="20" s="1"/>
  <c r="G22" i="20"/>
  <c r="G23" i="20" s="1"/>
  <c r="F22" i="20"/>
  <c r="F23" i="20" s="1"/>
  <c r="E22" i="20"/>
  <c r="E23" i="20" s="1"/>
  <c r="D22" i="20"/>
  <c r="D23" i="20" s="1"/>
  <c r="C22" i="20"/>
  <c r="C23" i="20" s="1"/>
  <c r="B22" i="20"/>
  <c r="B23" i="20" s="1"/>
  <c r="U19" i="20"/>
  <c r="U20" i="20" s="1"/>
  <c r="T19" i="20"/>
  <c r="T20" i="20" s="1"/>
  <c r="S19" i="20"/>
  <c r="S20" i="20" s="1"/>
  <c r="R19" i="20"/>
  <c r="R20" i="20" s="1"/>
  <c r="Q19" i="20"/>
  <c r="Q20" i="20" s="1"/>
  <c r="P19" i="20"/>
  <c r="P20" i="20" s="1"/>
  <c r="O19" i="20"/>
  <c r="O20" i="20" s="1"/>
  <c r="N19" i="20"/>
  <c r="N20" i="20" s="1"/>
  <c r="M19" i="20"/>
  <c r="M20" i="20" s="1"/>
  <c r="L19" i="20"/>
  <c r="L20" i="20" s="1"/>
  <c r="K19" i="20"/>
  <c r="K20" i="20" s="1"/>
  <c r="J19" i="20"/>
  <c r="J20" i="20" s="1"/>
  <c r="I19" i="20"/>
  <c r="I20" i="20" s="1"/>
  <c r="H19" i="20"/>
  <c r="H20" i="20" s="1"/>
  <c r="G19" i="20"/>
  <c r="G20" i="20" s="1"/>
  <c r="F19" i="20"/>
  <c r="F20" i="20" s="1"/>
  <c r="E19" i="20"/>
  <c r="E20" i="20" s="1"/>
  <c r="D19" i="20"/>
  <c r="D20" i="20" s="1"/>
  <c r="C19" i="20"/>
  <c r="C20" i="20" s="1"/>
  <c r="B19" i="20"/>
  <c r="B20" i="20" s="1"/>
  <c r="M40" i="21"/>
  <c r="L40" i="21"/>
  <c r="K40" i="21"/>
  <c r="J40" i="21"/>
  <c r="I40" i="21"/>
  <c r="H40" i="21"/>
  <c r="G40" i="21"/>
  <c r="F40" i="21"/>
  <c r="E40" i="21"/>
  <c r="D40" i="21"/>
  <c r="C40" i="21"/>
  <c r="B40" i="21"/>
  <c r="M39" i="21"/>
  <c r="M41" i="21" s="1"/>
  <c r="L39" i="21"/>
  <c r="L41" i="21" s="1"/>
  <c r="K39" i="21"/>
  <c r="K41" i="21" s="1"/>
  <c r="J39" i="21"/>
  <c r="J41" i="21" s="1"/>
  <c r="I39" i="21"/>
  <c r="I41" i="21" s="1"/>
  <c r="H39" i="21"/>
  <c r="H41" i="21" s="1"/>
  <c r="G39" i="21"/>
  <c r="G41" i="21" s="1"/>
  <c r="F39" i="21"/>
  <c r="F41" i="21" s="1"/>
  <c r="E39" i="21"/>
  <c r="E41" i="21" s="1"/>
  <c r="D39" i="21"/>
  <c r="D41" i="21" s="1"/>
  <c r="C39" i="21"/>
  <c r="C41" i="21" s="1"/>
  <c r="B39" i="21"/>
  <c r="B41" i="21" s="1"/>
  <c r="N36" i="21"/>
  <c r="N35" i="21"/>
  <c r="M29" i="21"/>
  <c r="L29" i="21"/>
  <c r="K29" i="21"/>
  <c r="J29" i="21"/>
  <c r="I29" i="21"/>
  <c r="H29" i="21"/>
  <c r="G29" i="21"/>
  <c r="F29" i="21"/>
  <c r="E29" i="21"/>
  <c r="D29" i="21"/>
  <c r="C29" i="21"/>
  <c r="B29" i="21"/>
  <c r="M28" i="21"/>
  <c r="M30" i="21" s="1"/>
  <c r="L28" i="21"/>
  <c r="L30" i="21" s="1"/>
  <c r="L32" i="21" s="1"/>
  <c r="K28" i="21"/>
  <c r="K30" i="21" s="1"/>
  <c r="K32" i="21" s="1"/>
  <c r="J28" i="21"/>
  <c r="J30" i="21" s="1"/>
  <c r="J32" i="21" s="1"/>
  <c r="I28" i="21"/>
  <c r="I30" i="21" s="1"/>
  <c r="H28" i="21"/>
  <c r="H30" i="21" s="1"/>
  <c r="H32" i="21" s="1"/>
  <c r="G28" i="21"/>
  <c r="G30" i="21" s="1"/>
  <c r="G32" i="21" s="1"/>
  <c r="F28" i="21"/>
  <c r="F30" i="21" s="1"/>
  <c r="F32" i="21" s="1"/>
  <c r="E28" i="21"/>
  <c r="E30" i="21" s="1"/>
  <c r="D28" i="21"/>
  <c r="D30" i="21" s="1"/>
  <c r="D32" i="21" s="1"/>
  <c r="C28" i="21"/>
  <c r="C30" i="21" s="1"/>
  <c r="C32" i="21" s="1"/>
  <c r="B28" i="21"/>
  <c r="B30" i="21" s="1"/>
  <c r="B32" i="21" s="1"/>
  <c r="N32" i="21" s="1"/>
  <c r="N24" i="21"/>
  <c r="N23" i="21"/>
  <c r="M18" i="21"/>
  <c r="L18" i="21"/>
  <c r="K18" i="21"/>
  <c r="J18" i="21"/>
  <c r="I18" i="21"/>
  <c r="H18" i="21"/>
  <c r="G18" i="21"/>
  <c r="F18" i="21"/>
  <c r="E18" i="21"/>
  <c r="D18" i="21"/>
  <c r="C18" i="21"/>
  <c r="B18" i="21"/>
  <c r="M17" i="21"/>
  <c r="M19" i="21" s="1"/>
  <c r="L17" i="21"/>
  <c r="L19" i="21" s="1"/>
  <c r="K17" i="21"/>
  <c r="K19" i="21" s="1"/>
  <c r="J17" i="21"/>
  <c r="J19" i="21" s="1"/>
  <c r="I17" i="21"/>
  <c r="I19" i="21" s="1"/>
  <c r="H17" i="21"/>
  <c r="H19" i="21" s="1"/>
  <c r="G17" i="21"/>
  <c r="G19" i="21" s="1"/>
  <c r="F17" i="21"/>
  <c r="F19" i="21" s="1"/>
  <c r="E17" i="21"/>
  <c r="E19" i="21" s="1"/>
  <c r="D17" i="21"/>
  <c r="D19" i="21" s="1"/>
  <c r="C17" i="21"/>
  <c r="C19" i="21" s="1"/>
  <c r="B17" i="21"/>
  <c r="B19" i="21" s="1"/>
  <c r="N11" i="21"/>
  <c r="N10" i="21"/>
  <c r="N5" i="21"/>
  <c r="N4" i="21"/>
  <c r="C104" i="22"/>
  <c r="C103" i="22"/>
  <c r="C102" i="22"/>
  <c r="C101" i="22"/>
  <c r="C100" i="22"/>
  <c r="C99" i="22"/>
  <c r="C98" i="22"/>
  <c r="C97" i="22"/>
  <c r="C96" i="22"/>
  <c r="C95" i="22"/>
  <c r="C94" i="22"/>
  <c r="C93" i="22"/>
  <c r="C92" i="22"/>
  <c r="C91" i="22"/>
  <c r="C90" i="22"/>
  <c r="G87" i="22"/>
  <c r="G109" i="22" s="1"/>
  <c r="G86" i="22"/>
  <c r="G108" i="22" s="1"/>
  <c r="G85" i="22"/>
  <c r="G107" i="22" s="1"/>
  <c r="G84" i="22"/>
  <c r="G106" i="22" s="1"/>
  <c r="G83" i="22"/>
  <c r="G105" i="22" s="1"/>
  <c r="G82" i="22"/>
  <c r="G104" i="22" s="1"/>
  <c r="G81" i="22"/>
  <c r="G103" i="22" s="1"/>
  <c r="G80" i="22"/>
  <c r="G102" i="22" s="1"/>
  <c r="G79" i="22"/>
  <c r="G101" i="22" s="1"/>
  <c r="G78" i="22"/>
  <c r="G100" i="22" s="1"/>
  <c r="G77" i="22"/>
  <c r="G99" i="22" s="1"/>
  <c r="G76" i="22"/>
  <c r="G98" i="22" s="1"/>
  <c r="G75" i="22"/>
  <c r="G97" i="22" s="1"/>
  <c r="G74" i="22"/>
  <c r="G96" i="22" s="1"/>
  <c r="G73" i="22"/>
  <c r="G95" i="22" s="1"/>
  <c r="G72" i="22"/>
  <c r="G94" i="22" s="1"/>
  <c r="G71" i="22"/>
  <c r="G93" i="22" s="1"/>
  <c r="G70" i="22"/>
  <c r="G92" i="22" s="1"/>
  <c r="G69" i="22"/>
  <c r="G91" i="22" s="1"/>
  <c r="G68" i="22"/>
  <c r="G90" i="22" s="1"/>
  <c r="C108" i="23"/>
  <c r="G107" i="23" s="1"/>
  <c r="C107" i="23"/>
  <c r="G106" i="23" s="1"/>
  <c r="C106" i="23"/>
  <c r="G105" i="23" s="1"/>
  <c r="C105" i="23"/>
  <c r="G104" i="23" s="1"/>
  <c r="C104" i="23"/>
  <c r="G103" i="23" s="1"/>
  <c r="C103" i="23"/>
  <c r="G102" i="23" s="1"/>
  <c r="C102" i="23"/>
  <c r="G101" i="23" s="1"/>
  <c r="C101" i="23"/>
  <c r="G100" i="23" s="1"/>
  <c r="C100" i="23"/>
  <c r="G99" i="23" s="1"/>
  <c r="C99" i="23"/>
  <c r="G98" i="23" s="1"/>
  <c r="C98" i="23"/>
  <c r="G97" i="23" s="1"/>
  <c r="C97" i="23"/>
  <c r="G96" i="23" s="1"/>
  <c r="C96" i="23"/>
  <c r="G95" i="23" s="1"/>
  <c r="C95" i="23"/>
  <c r="G94" i="23" s="1"/>
  <c r="C94" i="23"/>
  <c r="G93" i="23" s="1"/>
  <c r="C93" i="23"/>
  <c r="G92" i="23" s="1"/>
  <c r="C92" i="23"/>
  <c r="G91" i="23" s="1"/>
  <c r="C91" i="23"/>
  <c r="G90" i="23" s="1"/>
  <c r="C90" i="23"/>
  <c r="G89" i="23" s="1"/>
  <c r="C80" i="23"/>
  <c r="C79" i="23"/>
  <c r="C78" i="23"/>
  <c r="C77" i="23"/>
  <c r="C76" i="23"/>
  <c r="C75" i="23"/>
  <c r="C74" i="23"/>
  <c r="C73" i="23"/>
  <c r="C72" i="23"/>
  <c r="C71" i="23"/>
  <c r="C70" i="23"/>
  <c r="C69" i="23"/>
  <c r="U18" i="24"/>
  <c r="T18" i="24"/>
  <c r="S18" i="24"/>
  <c r="Q18" i="24"/>
  <c r="P18" i="24"/>
  <c r="O18" i="24"/>
  <c r="N18" i="24"/>
  <c r="K18" i="24"/>
  <c r="J18" i="24"/>
  <c r="I18" i="24"/>
  <c r="H18" i="24"/>
  <c r="G18" i="24"/>
  <c r="F18" i="24"/>
  <c r="E18" i="24"/>
  <c r="D18" i="24"/>
  <c r="C18" i="24"/>
  <c r="R17" i="24"/>
  <c r="W17" i="24" s="1"/>
  <c r="AB17" i="24" s="1"/>
  <c r="W16" i="24"/>
  <c r="R16" i="24"/>
  <c r="R15" i="24"/>
  <c r="R18" i="24" s="1"/>
  <c r="U14" i="24"/>
  <c r="T14" i="24"/>
  <c r="S14" i="24"/>
  <c r="R14" i="24"/>
  <c r="Q14" i="24"/>
  <c r="P14" i="24"/>
  <c r="O14" i="24"/>
  <c r="N14" i="24"/>
  <c r="K14" i="24"/>
  <c r="J14" i="24"/>
  <c r="I14" i="24"/>
  <c r="H14" i="24"/>
  <c r="G14" i="24"/>
  <c r="F14" i="24"/>
  <c r="E14" i="24"/>
  <c r="D14" i="24"/>
  <c r="W14" i="24" s="1"/>
  <c r="AB14" i="24" s="1"/>
  <c r="C14" i="24"/>
  <c r="R13" i="24"/>
  <c r="W13" i="24" s="1"/>
  <c r="AB13" i="24" s="1"/>
  <c r="W12" i="24"/>
  <c r="AB12" i="24" s="1"/>
  <c r="R12" i="24"/>
  <c r="R11" i="24"/>
  <c r="W11" i="24" s="1"/>
  <c r="AB11" i="24" s="1"/>
  <c r="U10" i="24"/>
  <c r="T10" i="24"/>
  <c r="S10" i="24"/>
  <c r="R10" i="24"/>
  <c r="Q10" i="24"/>
  <c r="P10" i="24"/>
  <c r="O10" i="24"/>
  <c r="N10" i="24"/>
  <c r="K10" i="24"/>
  <c r="J10" i="24"/>
  <c r="I10" i="24"/>
  <c r="H10" i="24"/>
  <c r="G10" i="24"/>
  <c r="F10" i="24"/>
  <c r="E10" i="24"/>
  <c r="D10" i="24"/>
  <c r="C10" i="24"/>
  <c r="W9" i="24"/>
  <c r="AB9" i="24" s="1"/>
  <c r="W8" i="24"/>
  <c r="W7" i="24"/>
  <c r="AB7" i="24" s="1"/>
  <c r="U6" i="24"/>
  <c r="T6" i="24"/>
  <c r="S6" i="24"/>
  <c r="R6" i="24"/>
  <c r="Q6" i="24"/>
  <c r="P6" i="24"/>
  <c r="O6" i="24"/>
  <c r="N6" i="24"/>
  <c r="M6" i="24"/>
  <c r="L6" i="24"/>
  <c r="K6" i="24"/>
  <c r="J6" i="24"/>
  <c r="I6" i="24"/>
  <c r="H6" i="24"/>
  <c r="G6" i="24"/>
  <c r="F6" i="24"/>
  <c r="E6" i="24"/>
  <c r="D6" i="24"/>
  <c r="C6" i="24"/>
  <c r="W5" i="24"/>
  <c r="AB5" i="24" s="1"/>
  <c r="W10" i="24" l="1"/>
  <c r="AB10" i="24" s="1"/>
  <c r="W15" i="24"/>
  <c r="AB15" i="24" s="1"/>
  <c r="Y29" i="25"/>
  <c r="AC29" i="25"/>
  <c r="AG29" i="25"/>
  <c r="AK29" i="25"/>
  <c r="AO29" i="25"/>
  <c r="W6" i="24"/>
  <c r="AB6" i="24" s="1"/>
  <c r="Z29" i="25"/>
  <c r="AD29" i="25"/>
  <c r="AH29" i="25"/>
  <c r="AQ29" i="25" s="1"/>
  <c r="AL29" i="25"/>
  <c r="N31" i="21"/>
  <c r="N6" i="21"/>
  <c r="N18" i="21"/>
  <c r="N29" i="21"/>
  <c r="N40" i="21"/>
  <c r="B26" i="26"/>
  <c r="N26" i="26" s="1"/>
  <c r="O26" i="26" s="1"/>
  <c r="N24" i="26"/>
  <c r="N25" i="26"/>
  <c r="N27" i="26"/>
  <c r="N17" i="21"/>
  <c r="N19" i="21" s="1"/>
  <c r="N39" i="21"/>
  <c r="N28" i="21"/>
  <c r="N30" i="21" s="1"/>
  <c r="W18" i="24"/>
  <c r="AB18" i="24" s="1"/>
  <c r="AR29" i="25" l="1"/>
  <c r="AP29" i="25"/>
  <c r="N41" i="21"/>
  <c r="V7" i="60"/>
  <c r="AF7" i="60" s="1"/>
  <c r="X8" i="60"/>
  <c r="Y8" i="60"/>
  <c r="Z8" i="60"/>
  <c r="AA8" i="60"/>
  <c r="AB8" i="60"/>
  <c r="W8" i="60"/>
  <c r="Y12" i="60"/>
  <c r="Z12" i="60"/>
  <c r="AA12" i="60"/>
  <c r="AB12" i="60"/>
  <c r="X12" i="60"/>
  <c r="Z10" i="60"/>
  <c r="AF10" i="60" s="1"/>
  <c r="AA10" i="60"/>
  <c r="AB10" i="60"/>
  <c r="Y10" i="60"/>
  <c r="X11" i="60"/>
  <c r="AF11" i="60" s="1"/>
  <c r="Y11" i="60"/>
  <c r="Z11" i="60"/>
  <c r="AA11" i="60"/>
  <c r="AB11" i="60"/>
  <c r="AC11" i="60"/>
  <c r="W11" i="60"/>
  <c r="N31" i="36"/>
  <c r="K42" i="41"/>
  <c r="M41" i="44"/>
  <c r="K44" i="40"/>
  <c r="AJ12" i="54"/>
  <c r="AJ16" i="54"/>
  <c r="AJ17" i="54"/>
  <c r="AJ18" i="54"/>
  <c r="AJ15" i="54"/>
  <c r="AK27" i="54"/>
  <c r="AK26" i="54"/>
  <c r="AK25" i="54"/>
  <c r="AK24" i="54"/>
  <c r="AK23" i="54"/>
  <c r="M26" i="39"/>
  <c r="O32" i="38"/>
  <c r="N31" i="37"/>
  <c r="N30" i="35"/>
  <c r="M30" i="32"/>
  <c r="M26" i="29"/>
  <c r="N31" i="47"/>
  <c r="O31" i="47" s="1"/>
  <c r="R32" i="54"/>
  <c r="R31" i="54"/>
  <c r="R30" i="54"/>
  <c r="Q50" i="54"/>
  <c r="R50" i="54"/>
  <c r="S50" i="54"/>
  <c r="T50" i="54"/>
  <c r="U50" i="54"/>
  <c r="V50" i="54"/>
  <c r="W50" i="54"/>
  <c r="Q49" i="54"/>
  <c r="R49" i="54"/>
  <c r="S49" i="54"/>
  <c r="T49" i="54"/>
  <c r="U49" i="54"/>
  <c r="V49" i="54"/>
  <c r="W49" i="54"/>
  <c r="P50" i="54"/>
  <c r="P49" i="54"/>
  <c r="Q48" i="54"/>
  <c r="R48" i="54"/>
  <c r="S48" i="54"/>
  <c r="T48" i="54"/>
  <c r="U48" i="54"/>
  <c r="V48" i="54"/>
  <c r="W48" i="54"/>
  <c r="P48" i="54"/>
  <c r="Q47" i="54"/>
  <c r="R47" i="54"/>
  <c r="S47" i="54"/>
  <c r="T47" i="54"/>
  <c r="U47" i="54"/>
  <c r="V47" i="54"/>
  <c r="W47" i="54"/>
  <c r="P47" i="54"/>
  <c r="AF8" i="60"/>
  <c r="AF12" i="60"/>
  <c r="Z4" i="60"/>
  <c r="AA4" i="60"/>
  <c r="AB4" i="60"/>
  <c r="Z5" i="60"/>
  <c r="AA5" i="60"/>
  <c r="AB5" i="60"/>
  <c r="Z6" i="60"/>
  <c r="AA6" i="60"/>
  <c r="AB6" i="60"/>
  <c r="Z9" i="60"/>
  <c r="AA9" i="60"/>
  <c r="AB9" i="60"/>
  <c r="Z13" i="60"/>
  <c r="AA13" i="60"/>
  <c r="AB13" i="60"/>
  <c r="Z14" i="60"/>
  <c r="AA14" i="60"/>
  <c r="AB14" i="60"/>
  <c r="AA3" i="60"/>
  <c r="AB3" i="60"/>
  <c r="Z3" i="60"/>
  <c r="T4" i="60"/>
  <c r="U4" i="60"/>
  <c r="V4" i="60"/>
  <c r="W4" i="60"/>
  <c r="AF4" i="60" s="1"/>
  <c r="X4" i="60"/>
  <c r="Y4" i="60"/>
  <c r="AC4" i="60"/>
  <c r="AD4" i="60"/>
  <c r="AE4" i="60"/>
  <c r="T5" i="60"/>
  <c r="AF5" i="60" s="1"/>
  <c r="U5" i="60"/>
  <c r="V5" i="60"/>
  <c r="W5" i="60"/>
  <c r="X5" i="60"/>
  <c r="Y5" i="60"/>
  <c r="AC5" i="60"/>
  <c r="AE5" i="60"/>
  <c r="T6" i="60"/>
  <c r="AF6" i="60" s="1"/>
  <c r="U6" i="60"/>
  <c r="V6" i="60"/>
  <c r="W6" i="60"/>
  <c r="X6" i="60"/>
  <c r="Y6" i="60"/>
  <c r="AC6" i="60"/>
  <c r="AD6" i="60"/>
  <c r="AE6" i="60"/>
  <c r="T9" i="60"/>
  <c r="AF9" i="60" s="1"/>
  <c r="U9" i="60"/>
  <c r="V9" i="60"/>
  <c r="W9" i="60"/>
  <c r="X9" i="60"/>
  <c r="Y9" i="60"/>
  <c r="AC9" i="60"/>
  <c r="AD9" i="60"/>
  <c r="AE9" i="60"/>
  <c r="Y13" i="60"/>
  <c r="AF13" i="60" s="1"/>
  <c r="AE13" i="60"/>
  <c r="Y14" i="60"/>
  <c r="AF14" i="60" s="1"/>
  <c r="W3" i="60"/>
  <c r="AF3" i="60" s="1"/>
  <c r="X3" i="60"/>
  <c r="Y3" i="60"/>
  <c r="AC3" i="60"/>
  <c r="Q4" i="60"/>
  <c r="Q5" i="60"/>
  <c r="Q6" i="60"/>
  <c r="Q7" i="60"/>
  <c r="Q8" i="60"/>
  <c r="Q9" i="60"/>
  <c r="Q10" i="60"/>
  <c r="Q11" i="60"/>
  <c r="Q12" i="60"/>
  <c r="Q13" i="60"/>
  <c r="Q14" i="60"/>
  <c r="Q3" i="60"/>
  <c r="I10" i="47"/>
  <c r="I61" i="47"/>
  <c r="I57" i="47"/>
  <c r="I52" i="47"/>
  <c r="I44" i="47"/>
  <c r="J61" i="47"/>
  <c r="J57" i="47"/>
  <c r="J52" i="47"/>
  <c r="J44" i="47"/>
  <c r="N33" i="47"/>
  <c r="N34" i="47"/>
  <c r="N35" i="47"/>
  <c r="N36" i="47"/>
  <c r="N32" i="47"/>
  <c r="N37" i="47"/>
  <c r="O37" i="47" s="1"/>
  <c r="J10" i="46"/>
  <c r="O34" i="46"/>
  <c r="O41" i="46"/>
  <c r="P41" i="46" s="1"/>
  <c r="O40" i="46"/>
  <c r="P40" i="46" s="1"/>
  <c r="N31" i="45"/>
  <c r="N34" i="45"/>
  <c r="N39" i="45"/>
  <c r="O39" i="45" s="1"/>
  <c r="R4" i="34"/>
  <c r="R5" i="34"/>
  <c r="R6" i="34"/>
  <c r="R7" i="34"/>
  <c r="R8" i="34"/>
  <c r="R9" i="34"/>
  <c r="R10" i="34"/>
  <c r="R11" i="34"/>
  <c r="R12" i="34"/>
  <c r="R13" i="34"/>
  <c r="R14" i="34"/>
  <c r="R15" i="34"/>
  <c r="R16" i="34"/>
  <c r="R17" i="34"/>
  <c r="R18" i="34"/>
  <c r="R19" i="34"/>
  <c r="R20" i="34"/>
  <c r="R21" i="34"/>
  <c r="R22" i="34"/>
  <c r="R23" i="34"/>
  <c r="R24" i="34"/>
  <c r="R25" i="34"/>
  <c r="R26" i="34"/>
  <c r="R3" i="34"/>
  <c r="M26" i="44"/>
  <c r="M27" i="44"/>
  <c r="M31" i="44"/>
  <c r="M32" i="44"/>
  <c r="M33" i="44"/>
  <c r="J10" i="44"/>
  <c r="J9" i="44"/>
  <c r="AO9" i="54" l="1"/>
  <c r="AR9" i="54"/>
  <c r="AQ9" i="54"/>
  <c r="AP9" i="54"/>
  <c r="AP12" i="54"/>
  <c r="AQ12" i="54"/>
  <c r="AR12" i="54"/>
  <c r="AO12" i="54"/>
  <c r="X48" i="54"/>
  <c r="X49" i="54"/>
  <c r="AQ11" i="54"/>
  <c r="AR11" i="54"/>
  <c r="AO11" i="54"/>
  <c r="AP11" i="54"/>
  <c r="AQ22" i="54"/>
  <c r="AR22" i="54"/>
  <c r="AO22" i="54"/>
  <c r="AP22" i="54"/>
  <c r="X50" i="54"/>
  <c r="AR10" i="54"/>
  <c r="AO10" i="54"/>
  <c r="AP10" i="54"/>
  <c r="AQ10" i="54"/>
  <c r="AP20" i="54"/>
  <c r="AR20" i="54"/>
  <c r="AO20" i="54"/>
  <c r="AQ20" i="54"/>
  <c r="AR21" i="54"/>
  <c r="AO21" i="54"/>
  <c r="AQ21" i="54"/>
  <c r="AP21" i="54"/>
  <c r="AP23" i="54"/>
  <c r="AQ23" i="54"/>
  <c r="AR23" i="54"/>
  <c r="AO23" i="54"/>
  <c r="X47" i="54"/>
  <c r="J12" i="43"/>
  <c r="F19" i="43"/>
  <c r="M26" i="43"/>
  <c r="M31" i="43"/>
  <c r="N31" i="43" s="1"/>
  <c r="M32" i="43"/>
  <c r="N32" i="43" s="1"/>
  <c r="M33" i="43"/>
  <c r="N33" i="43" s="1"/>
  <c r="M30" i="43"/>
  <c r="M29" i="43"/>
  <c r="E19" i="43"/>
  <c r="M26" i="42"/>
  <c r="M31" i="42"/>
  <c r="N31" i="42" s="1"/>
  <c r="M32" i="42"/>
  <c r="N32" i="42" s="1"/>
  <c r="M33" i="42"/>
  <c r="N33" i="42" s="1"/>
  <c r="M34" i="42"/>
  <c r="N34" i="42" s="1"/>
  <c r="M30" i="42"/>
  <c r="N30" i="42" s="1"/>
  <c r="D21" i="58"/>
  <c r="E21" i="58"/>
  <c r="F21" i="58"/>
  <c r="G21" i="58"/>
  <c r="C21" i="58"/>
  <c r="H5" i="58"/>
  <c r="H6" i="58"/>
  <c r="H7" i="58"/>
  <c r="H8" i="58"/>
  <c r="H9" i="58"/>
  <c r="H10" i="58"/>
  <c r="H11" i="58"/>
  <c r="H12" i="58"/>
  <c r="H13" i="58"/>
  <c r="H14" i="58"/>
  <c r="H15" i="58"/>
  <c r="H16" i="58"/>
  <c r="H17" i="58"/>
  <c r="H18" i="58"/>
  <c r="H19" i="58"/>
  <c r="H20" i="58"/>
  <c r="H4" i="58"/>
  <c r="P8" i="57" l="1"/>
  <c r="P9" i="57"/>
  <c r="M6" i="57"/>
  <c r="Q6" i="57" s="1"/>
  <c r="M7" i="57"/>
  <c r="Q7" i="57" s="1"/>
  <c r="M8" i="57"/>
  <c r="Q8" i="57" s="1"/>
  <c r="M9" i="57"/>
  <c r="Q9" i="57" s="1"/>
  <c r="M10" i="57"/>
  <c r="Q10" i="57" s="1"/>
  <c r="M11" i="57"/>
  <c r="M12" i="57"/>
  <c r="M13" i="57"/>
  <c r="M14" i="57"/>
  <c r="M15" i="57"/>
  <c r="M16" i="57"/>
  <c r="M17" i="57"/>
  <c r="M18" i="57"/>
  <c r="M19" i="57"/>
  <c r="M20" i="57"/>
  <c r="M21" i="57"/>
  <c r="M5" i="57"/>
  <c r="Q5" i="57" s="1"/>
  <c r="V6" i="57"/>
  <c r="V7" i="57"/>
  <c r="V8" i="57"/>
  <c r="V9" i="57"/>
  <c r="V5" i="57"/>
  <c r="U6" i="57"/>
  <c r="U7" i="57"/>
  <c r="W7" i="57" s="1"/>
  <c r="U8" i="57"/>
  <c r="W8" i="57" s="1"/>
  <c r="U9" i="57"/>
  <c r="W9" i="57" s="1"/>
  <c r="U5" i="57"/>
  <c r="E19" i="41"/>
  <c r="M34" i="41"/>
  <c r="N34" i="41" s="1"/>
  <c r="M30" i="41"/>
  <c r="N30" i="41" s="1"/>
  <c r="M31" i="41"/>
  <c r="N31" i="41" s="1"/>
  <c r="M32" i="41"/>
  <c r="N32" i="41" s="1"/>
  <c r="M33" i="41"/>
  <c r="N33" i="41" s="1"/>
  <c r="F19" i="41"/>
  <c r="D19" i="41"/>
  <c r="I17" i="41"/>
  <c r="I16" i="41"/>
  <c r="I65" i="40"/>
  <c r="M27" i="40"/>
  <c r="M34" i="40"/>
  <c r="N34" i="40"/>
  <c r="M32" i="40"/>
  <c r="N32" i="40" s="1"/>
  <c r="M33" i="40"/>
  <c r="N33" i="40" s="1"/>
  <c r="M31" i="40"/>
  <c r="P11" i="57" l="1"/>
  <c r="Q11" i="57"/>
  <c r="P18" i="57"/>
  <c r="Q18" i="57"/>
  <c r="Q14" i="57"/>
  <c r="P14" i="57"/>
  <c r="Q19" i="57"/>
  <c r="P19" i="57"/>
  <c r="P21" i="57"/>
  <c r="Q21" i="57"/>
  <c r="Q17" i="57"/>
  <c r="P17" i="57"/>
  <c r="P13" i="57"/>
  <c r="Q13" i="57"/>
  <c r="P5" i="57"/>
  <c r="P7" i="57"/>
  <c r="Q15" i="57"/>
  <c r="P15" i="57"/>
  <c r="W5" i="57"/>
  <c r="W6" i="57"/>
  <c r="P20" i="57"/>
  <c r="Q20" i="57"/>
  <c r="P16" i="57"/>
  <c r="Q16" i="57"/>
  <c r="P12" i="57"/>
  <c r="Q12" i="57"/>
  <c r="Q22" i="57" s="1"/>
  <c r="P10" i="57"/>
  <c r="P6" i="57"/>
  <c r="D19" i="40"/>
  <c r="E19" i="40"/>
  <c r="F19" i="40"/>
  <c r="I14" i="39"/>
  <c r="J16" i="37"/>
  <c r="J15" i="37"/>
  <c r="J16" i="38"/>
  <c r="J14" i="38"/>
  <c r="M34" i="39"/>
  <c r="N34" i="39" s="1"/>
  <c r="M32" i="39"/>
  <c r="N32" i="39" s="1"/>
  <c r="M33" i="39"/>
  <c r="N33" i="39" s="1"/>
  <c r="J12" i="38"/>
  <c r="J13" i="38"/>
  <c r="J12" i="37"/>
  <c r="O38" i="38"/>
  <c r="P38" i="38" s="1"/>
  <c r="O39" i="38"/>
  <c r="P39" i="38" s="1"/>
  <c r="O40" i="38"/>
  <c r="P40" i="38" s="1"/>
  <c r="O37" i="38"/>
  <c r="S31" i="54" l="1"/>
  <c r="S30" i="54"/>
  <c r="R35" i="54"/>
  <c r="S35" i="54" s="1"/>
  <c r="S34" i="54"/>
  <c r="R34" i="54"/>
  <c r="R33" i="54"/>
  <c r="S33" i="54" s="1"/>
  <c r="S32" i="54"/>
  <c r="N32" i="37"/>
  <c r="N33" i="37"/>
  <c r="N39" i="37"/>
  <c r="N36" i="37"/>
  <c r="N37" i="37"/>
  <c r="N38" i="37"/>
  <c r="N34" i="37"/>
  <c r="O38" i="37"/>
  <c r="O37" i="37"/>
  <c r="O39" i="37"/>
  <c r="N40" i="37"/>
  <c r="O40" i="37" s="1"/>
  <c r="N41" i="37"/>
  <c r="O41" i="37" s="1"/>
  <c r="D15" i="53"/>
  <c r="D7" i="53"/>
  <c r="D4" i="53"/>
  <c r="D5" i="53"/>
  <c r="D3" i="53"/>
  <c r="N32" i="36"/>
  <c r="N33" i="36"/>
  <c r="I14" i="36"/>
  <c r="J45" i="36"/>
  <c r="J53" i="36"/>
  <c r="J60" i="36"/>
  <c r="J67" i="36"/>
  <c r="N38" i="35"/>
  <c r="O38" i="35" s="1"/>
  <c r="N39" i="35"/>
  <c r="O39" i="35" s="1"/>
  <c r="J14" i="32"/>
  <c r="E17" i="29"/>
  <c r="J52" i="29"/>
  <c r="J42" i="29"/>
  <c r="J9" i="32"/>
  <c r="J12" i="32"/>
  <c r="M34" i="32"/>
  <c r="M35" i="32"/>
  <c r="M36" i="32"/>
  <c r="M37" i="32"/>
  <c r="M31" i="32"/>
  <c r="M27" i="29"/>
  <c r="M29" i="29"/>
  <c r="N29" i="29" s="1"/>
  <c r="M30" i="29"/>
  <c r="N30" i="29" s="1"/>
  <c r="M31" i="29"/>
  <c r="N31" i="29" s="1"/>
  <c r="M32" i="29"/>
  <c r="N32" i="29" s="1"/>
  <c r="M33" i="29"/>
  <c r="N33" i="29" s="1"/>
  <c r="M34" i="29"/>
  <c r="N34" i="29" s="1"/>
  <c r="M35" i="29"/>
  <c r="N35" i="29" s="1"/>
  <c r="D17" i="29"/>
  <c r="J9" i="47"/>
  <c r="J46" i="46"/>
  <c r="J54" i="46"/>
  <c r="J60" i="46"/>
  <c r="J65" i="46"/>
  <c r="E19" i="46"/>
  <c r="J64" i="46"/>
  <c r="J59" i="46"/>
  <c r="J53" i="46"/>
  <c r="J45" i="46"/>
  <c r="O42" i="46"/>
  <c r="P42" i="46" s="1"/>
  <c r="O39" i="46"/>
  <c r="P39" i="46" s="1"/>
  <c r="O38" i="46"/>
  <c r="N38" i="47"/>
  <c r="O38" i="47" s="1"/>
  <c r="O36" i="47"/>
  <c r="S38" i="54" l="1"/>
  <c r="O35" i="47"/>
  <c r="O34" i="47"/>
  <c r="O33" i="47"/>
  <c r="O32" i="47"/>
  <c r="D19" i="47"/>
  <c r="I9" i="47"/>
  <c r="J9" i="46"/>
  <c r="D19" i="46"/>
  <c r="J10" i="45"/>
  <c r="N36" i="45"/>
  <c r="O36" i="45" s="1"/>
  <c r="N37" i="45"/>
  <c r="O37" i="45" s="1"/>
  <c r="N38" i="45"/>
  <c r="O38" i="45" s="1"/>
  <c r="J61" i="45"/>
  <c r="K60" i="45"/>
  <c r="J60" i="45"/>
  <c r="J56" i="45"/>
  <c r="K55" i="45"/>
  <c r="J55" i="45"/>
  <c r="J50" i="45"/>
  <c r="K49" i="45"/>
  <c r="J49" i="45"/>
  <c r="J44" i="45"/>
  <c r="K43" i="45"/>
  <c r="J43" i="45"/>
  <c r="J9" i="45"/>
  <c r="K8" i="45"/>
  <c r="J8" i="45"/>
  <c r="K8" i="44"/>
  <c r="J8" i="44"/>
  <c r="J62" i="44"/>
  <c r="K61" i="44"/>
  <c r="J61" i="44"/>
  <c r="J58" i="44"/>
  <c r="K57" i="44"/>
  <c r="J57" i="44"/>
  <c r="J52" i="44"/>
  <c r="K51" i="44"/>
  <c r="J51" i="44"/>
  <c r="K42" i="44"/>
  <c r="J43" i="44"/>
  <c r="J42" i="44"/>
  <c r="N31" i="44"/>
  <c r="N32" i="44"/>
  <c r="N33" i="44"/>
  <c r="M29" i="44"/>
  <c r="N29" i="44" s="1"/>
  <c r="M30" i="44"/>
  <c r="N30" i="44" s="1"/>
  <c r="N27" i="44"/>
  <c r="I62" i="43"/>
  <c r="I58" i="43"/>
  <c r="I52" i="43"/>
  <c r="I42" i="43"/>
  <c r="D19" i="43"/>
  <c r="F19" i="42"/>
  <c r="E19" i="42"/>
  <c r="D19" i="42"/>
  <c r="I11" i="42"/>
  <c r="I62" i="42"/>
  <c r="I57" i="42"/>
  <c r="I51" i="42"/>
  <c r="I42" i="42"/>
  <c r="J10" i="42"/>
  <c r="I67" i="41"/>
  <c r="I61" i="41"/>
  <c r="I51" i="41"/>
  <c r="I43" i="41"/>
  <c r="M26" i="41"/>
  <c r="O40" i="47" l="1"/>
  <c r="I61" i="40"/>
  <c r="I55" i="40"/>
  <c r="I46" i="40"/>
  <c r="I19" i="40"/>
  <c r="I18" i="40"/>
  <c r="N31" i="40"/>
  <c r="M28" i="40"/>
  <c r="K10" i="40"/>
  <c r="I13" i="39" l="1"/>
  <c r="I12" i="39"/>
  <c r="J15" i="38"/>
  <c r="J14" i="37"/>
  <c r="I16" i="36"/>
  <c r="I15" i="36"/>
  <c r="K15" i="35"/>
  <c r="K14" i="35"/>
  <c r="K13" i="35"/>
  <c r="J13" i="32"/>
  <c r="D18" i="29"/>
  <c r="I61" i="39"/>
  <c r="I57" i="39"/>
  <c r="I51" i="39"/>
  <c r="I42" i="39"/>
  <c r="I10" i="39"/>
  <c r="N26" i="39"/>
  <c r="M31" i="39"/>
  <c r="M29" i="39"/>
  <c r="N29" i="39" s="1"/>
  <c r="N31" i="39"/>
  <c r="M30" i="39"/>
  <c r="N30" i="39" s="1"/>
  <c r="M28" i="39"/>
  <c r="N28" i="39" s="1"/>
  <c r="M27" i="39"/>
  <c r="N27" i="39" s="1"/>
  <c r="J69" i="38"/>
  <c r="J63" i="38"/>
  <c r="J55" i="38"/>
  <c r="J46" i="38"/>
  <c r="P37" i="38"/>
  <c r="O36" i="38"/>
  <c r="P36" i="38" s="1"/>
  <c r="O35" i="38"/>
  <c r="P35" i="38" s="1"/>
  <c r="O34" i="38"/>
  <c r="P34" i="38" s="1"/>
  <c r="O33" i="38"/>
  <c r="P33" i="38" s="1"/>
  <c r="P32" i="38"/>
  <c r="J67" i="37"/>
  <c r="J62" i="37"/>
  <c r="J57" i="37"/>
  <c r="J47" i="37"/>
  <c r="J11" i="36"/>
  <c r="K62" i="35"/>
  <c r="K57" i="35"/>
  <c r="K52" i="35"/>
  <c r="K43" i="35"/>
  <c r="K12" i="35"/>
  <c r="J53" i="32"/>
  <c r="J42" i="32"/>
  <c r="J9" i="29"/>
  <c r="O31" i="37"/>
  <c r="O36" i="37"/>
  <c r="N35" i="37"/>
  <c r="O35" i="37" s="1"/>
  <c r="O34" i="37"/>
  <c r="O33" i="37"/>
  <c r="O32" i="37"/>
  <c r="O31" i="36"/>
  <c r="N36" i="36"/>
  <c r="O36" i="36" s="1"/>
  <c r="N35" i="36"/>
  <c r="O35" i="36" s="1"/>
  <c r="N34" i="36"/>
  <c r="O34" i="36" s="1"/>
  <c r="O33" i="36"/>
  <c r="O32" i="36"/>
  <c r="O30" i="35"/>
  <c r="N35" i="35"/>
  <c r="O35" i="35" s="1"/>
  <c r="N36" i="35"/>
  <c r="O36" i="35" s="1"/>
  <c r="N37" i="35"/>
  <c r="O37" i="35" s="1"/>
  <c r="N34" i="35"/>
  <c r="O34" i="35" s="1"/>
  <c r="N33" i="35"/>
  <c r="O33" i="35" s="1"/>
  <c r="N31" i="35"/>
  <c r="O31" i="35" s="1"/>
  <c r="N32" i="35"/>
  <c r="O32" i="35" s="1"/>
  <c r="M33" i="32"/>
  <c r="N33" i="32" s="1"/>
  <c r="N30" i="32"/>
  <c r="M32" i="32"/>
  <c r="N32" i="32" s="1"/>
  <c r="N31" i="32"/>
  <c r="N27" i="29"/>
  <c r="M28" i="29"/>
  <c r="N28" i="29" s="1"/>
  <c r="N26" i="29"/>
  <c r="N36" i="29" l="1"/>
  <c r="N35" i="39"/>
  <c r="P42" i="38"/>
  <c r="O42" i="37"/>
  <c r="N38" i="32"/>
  <c r="O40" i="36"/>
  <c r="O40" i="35"/>
  <c r="P38" i="46" l="1"/>
  <c r="O37" i="46"/>
  <c r="P37" i="46" s="1"/>
  <c r="O36" i="46"/>
  <c r="O35" i="46"/>
  <c r="P34" i="46" s="1"/>
  <c r="N35" i="45"/>
  <c r="N33" i="45"/>
  <c r="N32" i="45"/>
  <c r="O32" i="45" s="1"/>
  <c r="M28" i="44"/>
  <c r="N28" i="44" s="1"/>
  <c r="N26" i="44"/>
  <c r="N30" i="43"/>
  <c r="N29" i="43"/>
  <c r="M28" i="43"/>
  <c r="N28" i="43" s="1"/>
  <c r="M27" i="43"/>
  <c r="N27" i="43" s="1"/>
  <c r="O33" i="45" l="1"/>
  <c r="N34" i="44"/>
  <c r="P35" i="46"/>
  <c r="P36" i="46"/>
  <c r="O31" i="45"/>
  <c r="O34" i="45"/>
  <c r="N26" i="43"/>
  <c r="N34" i="43" s="1"/>
  <c r="M29" i="42"/>
  <c r="N29" i="42" s="1"/>
  <c r="M28" i="42"/>
  <c r="M27" i="42"/>
  <c r="M29" i="41"/>
  <c r="M28" i="41"/>
  <c r="M27" i="41"/>
  <c r="M30" i="40"/>
  <c r="M29" i="40"/>
  <c r="P43" i="46" l="1"/>
  <c r="N28" i="42"/>
  <c r="N27" i="42"/>
  <c r="N27" i="41"/>
  <c r="N26" i="42"/>
  <c r="N28" i="40"/>
  <c r="N26" i="41"/>
  <c r="N28" i="41"/>
  <c r="N27" i="40"/>
  <c r="N29" i="40"/>
  <c r="J14" i="14"/>
  <c r="I14" i="14"/>
  <c r="H14" i="14"/>
  <c r="P10" i="14"/>
  <c r="M15" i="14" s="1"/>
  <c r="O10" i="14"/>
  <c r="L15" i="14" s="1"/>
  <c r="N10" i="14"/>
  <c r="K15" i="14" s="1"/>
  <c r="M10" i="14"/>
  <c r="L10" i="14"/>
  <c r="K10" i="14"/>
  <c r="J10" i="14"/>
  <c r="I10" i="14"/>
  <c r="H10" i="14"/>
  <c r="G10" i="14"/>
  <c r="G15" i="14" s="1"/>
  <c r="F10" i="14"/>
  <c r="F15" i="14" s="1"/>
  <c r="E10" i="14"/>
  <c r="E15" i="14" s="1"/>
  <c r="D10" i="14"/>
  <c r="D15" i="14" s="1"/>
  <c r="C10" i="14"/>
  <c r="C15" i="14" s="1"/>
  <c r="B10" i="14"/>
  <c r="B15" i="14" s="1"/>
  <c r="R9" i="14"/>
  <c r="Q9" i="14"/>
  <c r="S5" i="14"/>
  <c r="R5" i="14"/>
  <c r="Q5" i="14"/>
  <c r="J20" i="12"/>
  <c r="I20" i="12"/>
  <c r="H20" i="12"/>
  <c r="J19" i="12"/>
  <c r="I19" i="12"/>
  <c r="H19" i="12"/>
  <c r="J18" i="12"/>
  <c r="I18" i="12"/>
  <c r="H18" i="12"/>
  <c r="J17" i="12"/>
  <c r="I17" i="12"/>
  <c r="H17" i="12"/>
  <c r="J16" i="12"/>
  <c r="I16" i="12"/>
  <c r="H16" i="12"/>
  <c r="S10" i="12"/>
  <c r="R10" i="12"/>
  <c r="Q10" i="12"/>
  <c r="S9" i="12"/>
  <c r="R9" i="12"/>
  <c r="Q9" i="12"/>
  <c r="S8" i="12"/>
  <c r="R8" i="12"/>
  <c r="Q8" i="12"/>
  <c r="S7" i="12"/>
  <c r="R7" i="12"/>
  <c r="Q7" i="12"/>
  <c r="U6" i="12"/>
  <c r="T6" i="12"/>
  <c r="S6" i="12"/>
  <c r="R6" i="12"/>
  <c r="Q6" i="12"/>
  <c r="J20" i="15"/>
  <c r="I20" i="15"/>
  <c r="H20" i="15"/>
  <c r="J19" i="15"/>
  <c r="I19" i="15"/>
  <c r="H19" i="15"/>
  <c r="J18" i="15"/>
  <c r="I18" i="15"/>
  <c r="H18" i="15"/>
  <c r="J17" i="15"/>
  <c r="I17" i="15"/>
  <c r="H17" i="15"/>
  <c r="J16" i="15"/>
  <c r="I16" i="15"/>
  <c r="H16" i="15"/>
  <c r="S10" i="15"/>
  <c r="R10" i="15"/>
  <c r="Q10" i="15"/>
  <c r="S9" i="15"/>
  <c r="R9" i="15"/>
  <c r="Q9" i="15"/>
  <c r="S8" i="15"/>
  <c r="R8" i="15"/>
  <c r="Q8" i="15"/>
  <c r="S7" i="15"/>
  <c r="R7" i="15"/>
  <c r="Q7" i="15"/>
  <c r="U6" i="15"/>
  <c r="T6" i="15"/>
  <c r="S6" i="15"/>
  <c r="R6" i="15"/>
  <c r="Q6" i="15"/>
  <c r="J59" i="3"/>
  <c r="I59" i="3"/>
  <c r="H59" i="3"/>
  <c r="J58" i="3"/>
  <c r="I58" i="3"/>
  <c r="H58" i="3"/>
  <c r="J57" i="3"/>
  <c r="I57" i="3"/>
  <c r="H57" i="3"/>
  <c r="J56" i="3"/>
  <c r="I56" i="3"/>
  <c r="H56" i="3"/>
  <c r="J55" i="3"/>
  <c r="I55" i="3"/>
  <c r="H55" i="3"/>
  <c r="S51" i="3"/>
  <c r="R51" i="3"/>
  <c r="Q51" i="3"/>
  <c r="S50" i="3"/>
  <c r="R50" i="3"/>
  <c r="Q50" i="3"/>
  <c r="S49" i="3"/>
  <c r="R49" i="3"/>
  <c r="Q49" i="3"/>
  <c r="S48" i="3"/>
  <c r="R48" i="3"/>
  <c r="Q48" i="3"/>
  <c r="U47" i="3"/>
  <c r="T47" i="3"/>
  <c r="S47" i="3"/>
  <c r="R47" i="3"/>
  <c r="Q47" i="3"/>
  <c r="J19" i="3"/>
  <c r="I19" i="3"/>
  <c r="H19" i="3"/>
  <c r="J18" i="3"/>
  <c r="I18" i="3"/>
  <c r="H18" i="3"/>
  <c r="J17" i="3"/>
  <c r="I17" i="3"/>
  <c r="H17" i="3"/>
  <c r="J16" i="3"/>
  <c r="I16" i="3"/>
  <c r="H16" i="3"/>
  <c r="J15" i="3"/>
  <c r="I15" i="3"/>
  <c r="H15" i="3"/>
  <c r="S9" i="3"/>
  <c r="R9" i="3"/>
  <c r="Q9" i="3"/>
  <c r="S8" i="3"/>
  <c r="R8" i="3"/>
  <c r="Q8" i="3"/>
  <c r="S7" i="3"/>
  <c r="R7" i="3"/>
  <c r="Q7" i="3"/>
  <c r="S6" i="3"/>
  <c r="R6" i="3"/>
  <c r="Q6" i="3"/>
  <c r="U5" i="3"/>
  <c r="T5" i="3"/>
  <c r="S5" i="3"/>
  <c r="R5" i="3"/>
  <c r="Q5" i="3"/>
  <c r="R20" i="8"/>
  <c r="Q20" i="8"/>
  <c r="R19" i="8"/>
  <c r="Q19" i="8"/>
  <c r="R18" i="8"/>
  <c r="Q18" i="8"/>
  <c r="R17" i="8"/>
  <c r="Q17" i="8"/>
  <c r="R16" i="8"/>
  <c r="Q16" i="8"/>
  <c r="R15" i="8"/>
  <c r="Q15" i="8"/>
  <c r="R14" i="8"/>
  <c r="Q14" i="8"/>
  <c r="R13" i="8"/>
  <c r="Q13" i="8"/>
  <c r="R12" i="8"/>
  <c r="Q12" i="8"/>
  <c r="R11" i="8"/>
  <c r="Q11" i="8"/>
  <c r="R10" i="8"/>
  <c r="Q10" i="8"/>
  <c r="R8" i="8"/>
  <c r="Q8" i="8"/>
  <c r="R7" i="8"/>
  <c r="Q7" i="8"/>
  <c r="R6" i="8"/>
  <c r="Q6" i="8"/>
  <c r="S19" i="7"/>
  <c r="R19" i="7"/>
  <c r="Q19" i="7"/>
  <c r="S18" i="7"/>
  <c r="R18" i="7"/>
  <c r="Q18" i="7"/>
  <c r="S17" i="7"/>
  <c r="R17" i="7"/>
  <c r="Q17" i="7"/>
  <c r="S16" i="7"/>
  <c r="R16" i="7"/>
  <c r="Q16" i="7"/>
  <c r="S15" i="7"/>
  <c r="R15" i="7"/>
  <c r="Q15" i="7"/>
  <c r="S14" i="7"/>
  <c r="R14" i="7"/>
  <c r="Q14" i="7"/>
  <c r="S13" i="7"/>
  <c r="R13" i="7"/>
  <c r="Q13" i="7"/>
  <c r="S12" i="7"/>
  <c r="R12" i="7"/>
  <c r="Q12" i="7"/>
  <c r="S11" i="7"/>
  <c r="R11" i="7"/>
  <c r="Q11" i="7"/>
  <c r="S10" i="7"/>
  <c r="R10" i="7"/>
  <c r="Q10" i="7"/>
  <c r="S9" i="7"/>
  <c r="R9" i="7"/>
  <c r="Q9" i="7"/>
  <c r="S7" i="7"/>
  <c r="R7" i="7"/>
  <c r="Q7" i="7"/>
  <c r="S6" i="7"/>
  <c r="R6" i="7"/>
  <c r="Q6" i="7"/>
  <c r="S5" i="7"/>
  <c r="R5" i="7"/>
  <c r="Q5" i="7"/>
  <c r="R19" i="1"/>
  <c r="Q19" i="1"/>
  <c r="S18" i="1"/>
  <c r="R18" i="1"/>
  <c r="Q18" i="1"/>
  <c r="S17" i="1"/>
  <c r="R17" i="1"/>
  <c r="Q17" i="1"/>
  <c r="S16" i="1"/>
  <c r="R16" i="1"/>
  <c r="Q16" i="1"/>
  <c r="S15" i="1"/>
  <c r="R15" i="1"/>
  <c r="Q15" i="1"/>
  <c r="S14" i="1"/>
  <c r="R14" i="1"/>
  <c r="Q14" i="1"/>
  <c r="S13" i="1"/>
  <c r="R13" i="1"/>
  <c r="Q13" i="1"/>
  <c r="S12" i="1"/>
  <c r="R12" i="1"/>
  <c r="Q12" i="1"/>
  <c r="S11" i="1"/>
  <c r="R11" i="1"/>
  <c r="Q11" i="1"/>
  <c r="S10" i="1"/>
  <c r="R10" i="1"/>
  <c r="Q10" i="1"/>
  <c r="S9" i="1"/>
  <c r="R9" i="1"/>
  <c r="Q9" i="1"/>
  <c r="S7" i="1"/>
  <c r="R7" i="1"/>
  <c r="Q7" i="1"/>
  <c r="S6" i="1"/>
  <c r="R6" i="1"/>
  <c r="Q6" i="1"/>
  <c r="S5" i="1"/>
  <c r="R5" i="1"/>
  <c r="Q5" i="1"/>
  <c r="Q20" i="13"/>
  <c r="Q19" i="13"/>
  <c r="Q18" i="13"/>
  <c r="Q17" i="13"/>
  <c r="Q16" i="13"/>
  <c r="Q15" i="13"/>
  <c r="Q14" i="13"/>
  <c r="Q13" i="13"/>
  <c r="Q12" i="13"/>
  <c r="Q11" i="13"/>
  <c r="Q10" i="13"/>
  <c r="Q8" i="13"/>
  <c r="Q7" i="13"/>
  <c r="Q6" i="13"/>
  <c r="H15" i="14" l="1"/>
  <c r="R17" i="13"/>
  <c r="R18" i="13"/>
  <c r="R19" i="13"/>
  <c r="R6" i="13"/>
  <c r="R7" i="13"/>
  <c r="R8" i="13"/>
  <c r="R10" i="13"/>
  <c r="R11" i="13"/>
  <c r="R12" i="13"/>
  <c r="R13" i="13"/>
  <c r="R14" i="13"/>
  <c r="R15" i="13"/>
  <c r="R16" i="13"/>
  <c r="R20" i="13"/>
  <c r="Q10" i="14"/>
  <c r="R10" i="14"/>
  <c r="J15" i="14"/>
  <c r="I15" i="14" s="1"/>
  <c r="N35" i="42"/>
  <c r="N30" i="40" l="1"/>
  <c r="N35" i="40" s="1"/>
  <c r="N29" i="41"/>
  <c r="N35" i="41" s="1"/>
  <c r="O35" i="45"/>
  <c r="O40" i="45" s="1"/>
</calcChain>
</file>

<file path=xl/sharedStrings.xml><?xml version="1.0" encoding="utf-8"?>
<sst xmlns="http://schemas.openxmlformats.org/spreadsheetml/2006/main" count="4339" uniqueCount="895">
  <si>
    <t>Chlorophyll a and Secchi</t>
  </si>
  <si>
    <t>Chlorophyll, ug/L</t>
  </si>
  <si>
    <t>SITE</t>
  </si>
  <si>
    <t>Bear Creek Reservoir Monitoring Program</t>
  </si>
  <si>
    <t>Conductance, uS/cm</t>
  </si>
  <si>
    <t>Nitrate-nitrogen, ug/L</t>
  </si>
  <si>
    <t>Dissolved Oxygen, mg/L</t>
  </si>
  <si>
    <t>Total Suspended Solids, mg/L</t>
  </si>
  <si>
    <t>Secchi Depth, m</t>
  </si>
  <si>
    <t>pH, s.u.</t>
  </si>
  <si>
    <t>Notes:</t>
  </si>
  <si>
    <t>Notes</t>
  </si>
  <si>
    <t>Asterionella formosa</t>
  </si>
  <si>
    <t>Stephanodiscus niagarae</t>
  </si>
  <si>
    <t>Synedra cyclopum</t>
  </si>
  <si>
    <t>CRYPTOPHYTA</t>
  </si>
  <si>
    <t>Trophic Indicator</t>
  </si>
  <si>
    <t xml:space="preserve"> Reservoir</t>
  </si>
  <si>
    <t>Average Growing Season Chlorophyll-a [ug/l (surface waters only)]</t>
  </si>
  <si>
    <t>Peak Chlorophyll-a [ug/l]</t>
  </si>
  <si>
    <t>Phytoplankton Species Co-dominant Species</t>
  </si>
  <si>
    <t>Peak Phytoplankton Density</t>
  </si>
  <si>
    <t>Parameter</t>
  </si>
  <si>
    <t>Site</t>
  </si>
  <si>
    <t>Chlorophyll-a (ug/L)</t>
  </si>
  <si>
    <t>Nitrate-Nitrogen (ug/L)</t>
  </si>
  <si>
    <t xml:space="preserve">Total Phosphorus (ug/L) </t>
  </si>
  <si>
    <t>Total Suspended Solids (mg/L)</t>
  </si>
  <si>
    <t>Secchi Depth (m)</t>
  </si>
  <si>
    <t>Average</t>
  </si>
  <si>
    <t>Reservoir Average</t>
  </si>
  <si>
    <t>Turkey Creek Inflow</t>
  </si>
  <si>
    <t>Bear Creek Inflow</t>
  </si>
  <si>
    <t>Bear Creek Outflow</t>
  </si>
  <si>
    <t>Lower Bear Creek</t>
  </si>
  <si>
    <t>Total Inflow</t>
  </si>
  <si>
    <t>Reservoir Top</t>
  </si>
  <si>
    <t>Reservoir Middle</t>
  </si>
  <si>
    <t>Reservoir Bottom</t>
  </si>
  <si>
    <t>Secchi</t>
  </si>
  <si>
    <t>Reservoir Outflow</t>
  </si>
  <si>
    <t>TP</t>
  </si>
  <si>
    <t>TN</t>
  </si>
  <si>
    <t>Chl</t>
  </si>
  <si>
    <t>Chl-peak</t>
  </si>
  <si>
    <t>Seasonal Means</t>
  </si>
  <si>
    <t>XSD</t>
  </si>
  <si>
    <t>XCA</t>
  </si>
  <si>
    <t>XTP</t>
  </si>
  <si>
    <t>Annual Means</t>
  </si>
  <si>
    <t>Carlson's Annual</t>
  </si>
  <si>
    <t xml:space="preserve">Carlson's Seasonal </t>
  </si>
  <si>
    <t>lca</t>
  </si>
  <si>
    <t>ltp</t>
  </si>
  <si>
    <t>lsd</t>
  </si>
  <si>
    <t>lw</t>
  </si>
  <si>
    <t>hyper</t>
  </si>
  <si>
    <t>eu</t>
  </si>
  <si>
    <t>Walker Model - Annual Averages</t>
  </si>
  <si>
    <t>Walker Model - Seasonal Averages</t>
  </si>
  <si>
    <t>year</t>
  </si>
  <si>
    <t>Conc</t>
  </si>
  <si>
    <t xml:space="preserve">Year </t>
  </si>
  <si>
    <t>Nitrate-nitrogen ug/l</t>
  </si>
  <si>
    <t>Retained in Reservoir</t>
  </si>
  <si>
    <t>Average Inflow</t>
  </si>
  <si>
    <t>Retained In Reservoir</t>
  </si>
  <si>
    <t>Total Phosphorus Trends</t>
  </si>
  <si>
    <t>Value</t>
  </si>
  <si>
    <t>25-30</t>
  </si>
  <si>
    <t>Oligotrophic-Mesotropic</t>
  </si>
  <si>
    <t>45-50</t>
  </si>
  <si>
    <t>Mesotrophic-Eutrophic</t>
  </si>
  <si>
    <t>65-70</t>
  </si>
  <si>
    <t>Eutrophic-Hypereutrophic</t>
  </si>
  <si>
    <t>Carlson</t>
  </si>
  <si>
    <t>40-50</t>
  </si>
  <si>
    <t>Total Suspended Sediments (mg/l)</t>
  </si>
  <si>
    <t>Nitrate (NO3-N) (ug/l)</t>
  </si>
  <si>
    <t>Total Phosphorus (ug/l)</t>
  </si>
  <si>
    <t>Total Phosphorus</t>
  </si>
  <si>
    <t>Jan</t>
  </si>
  <si>
    <t>Feb</t>
  </si>
  <si>
    <t>Mar</t>
  </si>
  <si>
    <t>Apr</t>
  </si>
  <si>
    <t>May</t>
  </si>
  <si>
    <t>Jun</t>
  </si>
  <si>
    <t>Jul</t>
  </si>
  <si>
    <t>Aug</t>
  </si>
  <si>
    <t>Sep</t>
  </si>
  <si>
    <t>Oct</t>
  </si>
  <si>
    <t>Nov</t>
  </si>
  <si>
    <t>Dec</t>
  </si>
  <si>
    <t>ug/l*.002723=pounds</t>
  </si>
  <si>
    <t>Nitrate Pounds</t>
  </si>
  <si>
    <t>Peak</t>
  </si>
  <si>
    <t>&gt;70</t>
  </si>
  <si>
    <t>Hypereutrophic</t>
  </si>
  <si>
    <t>Reservoir - Top</t>
  </si>
  <si>
    <t>Reservoir - Lower</t>
  </si>
  <si>
    <t>Reservoir Discharge</t>
  </si>
  <si>
    <t>Days</t>
  </si>
  <si>
    <t>Ac-ft/month Bear Creek Reservoir</t>
  </si>
  <si>
    <t>Annual ac-ft/yr</t>
  </si>
  <si>
    <t>Annual Mean</t>
  </si>
  <si>
    <t>Total Load</t>
  </si>
  <si>
    <t>Annual Average</t>
  </si>
  <si>
    <t>Seasonal Mean</t>
  </si>
  <si>
    <t>Annual Reservoir Average</t>
  </si>
  <si>
    <t>Seasonal Reservoir Average</t>
  </si>
  <si>
    <t>Estimated Monthly Flow (ac-ft) At Stations</t>
  </si>
  <si>
    <t>Year</t>
  </si>
  <si>
    <t>50-65</t>
  </si>
  <si>
    <t>Eutrophic</t>
  </si>
  <si>
    <t>30-45</t>
  </si>
  <si>
    <t>Mesotrophic</t>
  </si>
  <si>
    <t>Eu-hyp</t>
  </si>
  <si>
    <t>Hyp</t>
  </si>
  <si>
    <t>Eu</t>
  </si>
  <si>
    <t>Transition State</t>
  </si>
  <si>
    <t>Reservoir Annual Average Concentrations</t>
  </si>
  <si>
    <t>Water Column</t>
  </si>
  <si>
    <t>Top</t>
  </si>
  <si>
    <t>Mid</t>
  </si>
  <si>
    <t>Seasonal Average</t>
  </si>
  <si>
    <t>Sechhi</t>
  </si>
  <si>
    <t>TSI Index</t>
  </si>
  <si>
    <t>Chlorophyll-a</t>
  </si>
  <si>
    <t>TSS (Pounds)</t>
  </si>
  <si>
    <t>Total Phosphorus Pounds</t>
  </si>
  <si>
    <t>Turkey Creek</t>
  </si>
  <si>
    <t xml:space="preserve">Bear Creek </t>
  </si>
  <si>
    <t xml:space="preserve">Turkey Creek </t>
  </si>
  <si>
    <t>Bear Creek</t>
  </si>
  <si>
    <t>Minimum</t>
  </si>
  <si>
    <t>Average arce-ft/day</t>
  </si>
  <si>
    <t>Chlorophyll</t>
  </si>
  <si>
    <t>Index (m)</t>
  </si>
  <si>
    <t>Index (f)</t>
  </si>
  <si>
    <t>Secchi (ft)</t>
  </si>
  <si>
    <t>Annual Reservoir</t>
  </si>
  <si>
    <t>Seasonal Reservoir</t>
  </si>
  <si>
    <t>Average Annual Nitrate-Nitrogen [ug/l]</t>
  </si>
  <si>
    <t>Seasonal Average Nitrate-Nitrogen [ug/l]</t>
  </si>
  <si>
    <t>Average Annual Total Phosphorus [ug/l]</t>
  </si>
  <si>
    <t>Seasonal Annual Total Phosphorus [ug/l]</t>
  </si>
  <si>
    <t>Peak Annual Nitrate-Nitrogen [ug/l]</t>
  </si>
  <si>
    <t>Annual Average Total Suspended Sediments [mg/l]</t>
  </si>
  <si>
    <t>Peak Total Suspended Sediments [mg/l]</t>
  </si>
  <si>
    <t>Peak Annual Total Phosphorus [ug/l]</t>
  </si>
  <si>
    <t>Peak Annual Ortho Phosphorus [ug/l]</t>
  </si>
  <si>
    <t>Phosphorus</t>
  </si>
  <si>
    <t>Nitrogen</t>
  </si>
  <si>
    <t>Clarity</t>
  </si>
  <si>
    <t>Total Suspended Sediments</t>
  </si>
  <si>
    <t>Seasonal Average Total Suspended Sediments [mg/l]</t>
  </si>
  <si>
    <t>Seasonal Average Ortho Phosphorus [ug/l]</t>
  </si>
  <si>
    <t>Average Annual Ortho Phosphorus ug/l]</t>
  </si>
  <si>
    <t xml:space="preserve">Phytoplankton Species </t>
  </si>
  <si>
    <t>Bear Creek Discharge</t>
  </si>
  <si>
    <t>Annul Average</t>
  </si>
  <si>
    <t>ltn</t>
  </si>
  <si>
    <t>Bear Creek Lair O'Bear</t>
  </si>
  <si>
    <t>Nitrate-Nitrogen (ug/l)</t>
  </si>
  <si>
    <t>Cryptomonas erosa</t>
  </si>
  <si>
    <t>Microcystis aeruginosa</t>
  </si>
  <si>
    <t>Jefferson County, Colorado</t>
  </si>
  <si>
    <t>Hydrologic Unit Code 10190002</t>
  </si>
  <si>
    <t>Latitude  39°39'08", Longitude 105°10'23" NAD27</t>
  </si>
  <si>
    <t>Drainage area 176  square miles</t>
  </si>
  <si>
    <t>Contributing drainage area 176  square miles</t>
  </si>
  <si>
    <t>Gage datum 5,645.00 feet above sea level NGVD29</t>
  </si>
  <si>
    <t>Species</t>
  </si>
  <si>
    <t>Average Density</t>
  </si>
  <si>
    <t>Association Annual ac-ft/yr</t>
  </si>
  <si>
    <t>0-25</t>
  </si>
  <si>
    <t>Oligotrophic</t>
  </si>
  <si>
    <t>Oligotrophic-Mesotrophic</t>
  </si>
  <si>
    <t>65+</t>
  </si>
  <si>
    <t>Walker TI</t>
  </si>
  <si>
    <t>Date</t>
  </si>
  <si>
    <t>Average Annual Chlorophyll-a [ug/l (surface waters only)]</t>
  </si>
  <si>
    <t>Average Annual Sechhi Depth (meters)</t>
  </si>
  <si>
    <t>Seasonal Average Secchi Depth (meters)</t>
  </si>
  <si>
    <t>Time</t>
  </si>
  <si>
    <t>SC</t>
  </si>
  <si>
    <t>DO</t>
  </si>
  <si>
    <t>Temp</t>
  </si>
  <si>
    <t>pH</t>
  </si>
  <si>
    <t>TCIn</t>
  </si>
  <si>
    <t>BCIn</t>
  </si>
  <si>
    <t>LBCout</t>
  </si>
  <si>
    <t>1m</t>
  </si>
  <si>
    <t>2m</t>
  </si>
  <si>
    <t>3m</t>
  </si>
  <si>
    <t>4m</t>
  </si>
  <si>
    <t>5m</t>
  </si>
  <si>
    <t>6m</t>
  </si>
  <si>
    <t>7m</t>
  </si>
  <si>
    <t>8m</t>
  </si>
  <si>
    <t>9m</t>
  </si>
  <si>
    <t>Secchi m</t>
  </si>
  <si>
    <t>Width (feet)</t>
  </si>
  <si>
    <t>Conditions</t>
  </si>
  <si>
    <t>Distance</t>
  </si>
  <si>
    <t>Depth</t>
  </si>
  <si>
    <t>Vel Ave Ft/sec</t>
  </si>
  <si>
    <t>Area</t>
  </si>
  <si>
    <t>Discharge V avg A</t>
  </si>
  <si>
    <t>Gage</t>
  </si>
  <si>
    <t>Discharge,cfs</t>
  </si>
  <si>
    <t>cfs</t>
  </si>
  <si>
    <t>2008 Bear Creek Reservoir Monitoring Program</t>
  </si>
  <si>
    <t>T Depth m</t>
  </si>
  <si>
    <t>Coyote Gulch Upper</t>
  </si>
  <si>
    <t>Coyote Gulch Lower</t>
  </si>
  <si>
    <t>Phosphorus, total</t>
  </si>
  <si>
    <t>Total Dissolved Phosphorus</t>
  </si>
  <si>
    <t>Chlorophyll a</t>
  </si>
  <si>
    <t>Parameter (ug/l)</t>
  </si>
  <si>
    <t>Bear Creek Laboratory Monitoring Data</t>
  </si>
  <si>
    <t xml:space="preserve">Residue, Non-Filterable (TSS) </t>
  </si>
  <si>
    <t>Nitrate/Nitrite as N, dissolved</t>
  </si>
  <si>
    <t>Site 1</t>
  </si>
  <si>
    <t>Site 3</t>
  </si>
  <si>
    <t>Site 4</t>
  </si>
  <si>
    <t>Site 5</t>
  </si>
  <si>
    <t>10m</t>
  </si>
  <si>
    <t>11m</t>
  </si>
  <si>
    <t>BCReservoir</t>
  </si>
  <si>
    <t>Upper Coyote</t>
  </si>
  <si>
    <t>Lower Coyote</t>
  </si>
  <si>
    <t>Reservoir Profiles</t>
  </si>
  <si>
    <t>date:</t>
  </si>
  <si>
    <t>Staff</t>
  </si>
  <si>
    <t>Mike T</t>
  </si>
  <si>
    <t>RNC</t>
  </si>
  <si>
    <t>none</t>
  </si>
  <si>
    <t>TCIn; 16a</t>
  </si>
  <si>
    <t>BCIn; 15a</t>
  </si>
  <si>
    <t>LBCout; 45</t>
  </si>
  <si>
    <t>40a/40c</t>
  </si>
  <si>
    <t>gage</t>
  </si>
  <si>
    <t>reading</t>
  </si>
  <si>
    <t>Site 1; 41</t>
  </si>
  <si>
    <t>Site 3; 42</t>
  </si>
  <si>
    <t>Site 4; 43</t>
  </si>
  <si>
    <t>Site 5; 44</t>
  </si>
  <si>
    <t>Site 41 (1)</t>
  </si>
  <si>
    <t>Site 42 (3)</t>
  </si>
  <si>
    <t>Site 43 (4)</t>
  </si>
  <si>
    <t>Site 44 (5)</t>
  </si>
  <si>
    <t>MT Rc Sunny Bloom Heavy mats shore no wind</t>
  </si>
  <si>
    <t>Murky 100%</t>
  </si>
  <si>
    <t xml:space="preserve">Total Nitrogen </t>
  </si>
  <si>
    <t>Aphanizomenon flos-aquae</t>
  </si>
  <si>
    <t>Gloeotrichia echinulata</t>
  </si>
  <si>
    <t>Ankistrodesmus falcatus</t>
  </si>
  <si>
    <t>Chlamydomonas sp.</t>
  </si>
  <si>
    <t>Total Nitrogen</t>
  </si>
  <si>
    <t>Growing Season July to September</t>
  </si>
  <si>
    <t xml:space="preserve">Total Dissolved Phosphorus, ug/l </t>
  </si>
  <si>
    <t>Total Dissolved Phosphorus, ug/l</t>
  </si>
  <si>
    <t>Total Phosphorus, ug/l</t>
  </si>
  <si>
    <t>Total Nitrogen ug/l</t>
  </si>
  <si>
    <t>Reservoir - Top (TN)</t>
  </si>
  <si>
    <t>Reservoir - Lower (TN)</t>
  </si>
  <si>
    <t>Reservoir - Top (NO3)</t>
  </si>
  <si>
    <t>Reservoir - Lower (NO3)</t>
  </si>
  <si>
    <t>Water Year</t>
  </si>
  <si>
    <t>Total Turkey Creek Inflow (Acre-Ft/Year)</t>
  </si>
  <si>
    <t>00060, Discharge, cubic feet per second</t>
  </si>
  <si>
    <t>Total Reservoir Inflow (Acre-Ft/Year)</t>
  </si>
  <si>
    <t>2009 Sampling Bear Creek Watershed Association</t>
  </si>
  <si>
    <t>clear</t>
  </si>
  <si>
    <t>100%, thick mats; clear</t>
  </si>
  <si>
    <t>Bear Creek Inflow, Site 15a</t>
  </si>
  <si>
    <t>Turkey Creek Inflow, Site 16a</t>
  </si>
  <si>
    <t>Bear Creek Reservoir Top, Site 40a</t>
  </si>
  <si>
    <t>Bear Creek Reservoir Bottom, Site 40c</t>
  </si>
  <si>
    <t>Lower Bear Creek Outflow, Site 45</t>
  </si>
  <si>
    <t>Rec Uses</t>
  </si>
  <si>
    <t xml:space="preserve">Walking/ Running </t>
  </si>
  <si>
    <t>Number Observed</t>
  </si>
  <si>
    <t>Bicycle</t>
  </si>
  <si>
    <t>Horseback Riding</t>
  </si>
  <si>
    <t>Fishing</t>
  </si>
  <si>
    <t>Reservoir Sites</t>
  </si>
  <si>
    <t>Camping</t>
  </si>
  <si>
    <t>Reservoir Site 40</t>
  </si>
  <si>
    <t>camping</t>
  </si>
  <si>
    <t>Archery</t>
  </si>
  <si>
    <t>Beach</t>
  </si>
  <si>
    <t>.55 cfs</t>
  </si>
  <si>
    <t>9.0 (13.0)</t>
  </si>
  <si>
    <t>23.3 (23.8)</t>
  </si>
  <si>
    <t>Standard</t>
  </si>
  <si>
    <t>Evergreen Lake Profiles</t>
  </si>
  <si>
    <t xml:space="preserve">Site </t>
  </si>
  <si>
    <t>0m (-6 inches)</t>
  </si>
  <si>
    <t>X</t>
  </si>
  <si>
    <t>Ski School training</t>
  </si>
  <si>
    <t>9-1:00 p.m.</t>
  </si>
  <si>
    <t>site 40</t>
  </si>
  <si>
    <t>Site 41</t>
  </si>
  <si>
    <t>Site 42</t>
  </si>
  <si>
    <t>Site 43</t>
  </si>
  <si>
    <t>Site 44</t>
  </si>
  <si>
    <t>0.8 cfs</t>
  </si>
  <si>
    <t>S(Apr-Dec)</t>
  </si>
  <si>
    <t>S(Jan-Mar)</t>
  </si>
  <si>
    <t>On</t>
  </si>
  <si>
    <t>Off</t>
  </si>
  <si>
    <t>Standard=6 mg/l</t>
  </si>
  <si>
    <t>Bear Creek Reservoir Aerator Operation (40hp Blower)</t>
  </si>
  <si>
    <t>100% clear</t>
  </si>
  <si>
    <t>canoe</t>
  </si>
  <si>
    <t>Estimate Epilimnion Thickness (m)</t>
  </si>
  <si>
    <t>Profile Average (mg/l)</t>
  </si>
  <si>
    <t>Average Estimate Epilimnion (mg/l)</t>
  </si>
  <si>
    <t>Total Depth Profile (m)</t>
  </si>
  <si>
    <t>Planar Thermocline (m)</t>
  </si>
  <si>
    <t>MT RNC Clear 40 degrees snow on ground no wind</t>
  </si>
  <si>
    <t>2010Sampling Bear Creek Watershed Association</t>
  </si>
  <si>
    <t>John, MT RC 35 degrees snow wind 20-36 mph; reservoir ice 8-10"</t>
  </si>
  <si>
    <t>clear 75%</t>
  </si>
  <si>
    <t>ice 10%</t>
  </si>
  <si>
    <t>90% no ice</t>
  </si>
  <si>
    <t>22X.21</t>
  </si>
  <si>
    <t>22X.38</t>
  </si>
  <si>
    <t>0.44 cfs</t>
  </si>
  <si>
    <t>0.17 cfs</t>
  </si>
  <si>
    <t>MT RNC 9 degrees light winf0-2 mph hazy PC 11" ice</t>
  </si>
  <si>
    <t>80% BG/G</t>
  </si>
  <si>
    <t>10% BG/G; clear</t>
  </si>
  <si>
    <t>5X23</t>
  </si>
  <si>
    <t>.35X20</t>
  </si>
  <si>
    <t>0.49 cfs</t>
  </si>
  <si>
    <t>0.43 cfs</t>
  </si>
  <si>
    <t>WC</t>
  </si>
  <si>
    <t>1-3m</t>
  </si>
  <si>
    <t>t1-3m</t>
  </si>
  <si>
    <t>2010 Temperature C WAT (1-3 m)</t>
  </si>
  <si>
    <t>2010 DO Compliance Bear Creek Reservoir</t>
  </si>
  <si>
    <t>avg E</t>
  </si>
  <si>
    <t>closed</t>
  </si>
  <si>
    <t>9-1:30</t>
  </si>
  <si>
    <t>NO3 Rel</t>
  </si>
  <si>
    <t>20% turbid</t>
  </si>
  <si>
    <t>15% turbid</t>
  </si>
  <si>
    <t>90% Turbid Heavy filaments greens</t>
  </si>
  <si>
    <t>John RNC PC 58 degrees heavy runoff snows last week</t>
  </si>
  <si>
    <t>32X.75</t>
  </si>
  <si>
    <t>32X.48</t>
  </si>
  <si>
    <t>ave 3m</t>
  </si>
  <si>
    <t>ave wc</t>
  </si>
  <si>
    <t>ave 4m</t>
  </si>
  <si>
    <t>Average1-3m (mg/l)</t>
  </si>
  <si>
    <t>Rel NO3</t>
  </si>
  <si>
    <t>2.35 cfs</t>
  </si>
  <si>
    <t>2.47 cfs</t>
  </si>
  <si>
    <t>John RNC 45 degrees light wind, MS</t>
  </si>
  <si>
    <t>Lake VT, HW over docks</t>
  </si>
  <si>
    <t>45X1.05</t>
  </si>
  <si>
    <t>55X.7</t>
  </si>
  <si>
    <t>vt</t>
  </si>
  <si>
    <t>dogs</t>
  </si>
  <si>
    <t>15 horses at stables</t>
  </si>
  <si>
    <t>5.2 cfs</t>
  </si>
  <si>
    <t>Lab</t>
  </si>
  <si>
    <t>% Diff</t>
  </si>
  <si>
    <t>2010 Sampling Bear Creek Watershed Association</t>
  </si>
  <si>
    <t>16 stable</t>
  </si>
  <si>
    <t>RNC Jon MT Clear 65 degrees, wind 15-20 with gusts &gt;50 mph</t>
  </si>
  <si>
    <t>high flow, turbid, high debris</t>
  </si>
  <si>
    <t>HF, T</t>
  </si>
  <si>
    <t>HF,T</t>
  </si>
  <si>
    <t>24X.58</t>
  </si>
  <si>
    <t>Site 52 Confluence</t>
  </si>
  <si>
    <t>Site 53 Riefenberg</t>
  </si>
  <si>
    <t>Site 54 Kerr</t>
  </si>
  <si>
    <t>Site 55 Swede</t>
  </si>
  <si>
    <t>Date:</t>
  </si>
  <si>
    <t>Kerr/Swede Gulch Flow Estimates</t>
  </si>
  <si>
    <t>3 (28 stable)</t>
  </si>
  <si>
    <t>full</t>
  </si>
  <si>
    <t>Good flow, SM</t>
  </si>
  <si>
    <t>Good flow C</t>
  </si>
  <si>
    <t>21"</t>
  </si>
  <si>
    <t>Good flow, SM, metalic</t>
  </si>
  <si>
    <t>14"</t>
  </si>
  <si>
    <t>Mod Flow, SM, Metalic</t>
  </si>
  <si>
    <t>20 septic between 52/53</t>
  </si>
  <si>
    <t>6 horses, 2 cattle</t>
  </si>
  <si>
    <t>pond full top</t>
  </si>
  <si>
    <t>Site 52 - Confluence</t>
  </si>
  <si>
    <t>Site 53 - Riefenberg</t>
  </si>
  <si>
    <t>Site 55 - Swede</t>
  </si>
  <si>
    <t>c</t>
  </si>
  <si>
    <t>C, BG, G, Silt</t>
  </si>
  <si>
    <t>23"</t>
  </si>
  <si>
    <t>C. Silt</t>
  </si>
  <si>
    <t>c, iron stain</t>
  </si>
  <si>
    <t>8 horses, 6 cattle</t>
  </si>
  <si>
    <t>ponds full</t>
  </si>
  <si>
    <t>deer, elk in area</t>
  </si>
  <si>
    <t>32"</t>
  </si>
  <si>
    <t>NO3-rel</t>
  </si>
  <si>
    <t>MT, RC</t>
  </si>
  <si>
    <t>sunny,clear, 75 degrees 0-2 mph</t>
  </si>
  <si>
    <t>all 18 aerators working</t>
  </si>
  <si>
    <t>lc,c,20% bg</t>
  </si>
  <si>
    <t>m,sm,2%,g</t>
  </si>
  <si>
    <t>m,m,100%</t>
  </si>
  <si>
    <t>22X.52</t>
  </si>
  <si>
    <t>26X.30</t>
  </si>
  <si>
    <t>0.74 cfs</t>
  </si>
  <si>
    <t>20" 17" saugeye</t>
  </si>
  <si>
    <t>8 (14 stable)</t>
  </si>
  <si>
    <t>John</t>
  </si>
  <si>
    <t>PC</t>
  </si>
  <si>
    <t>wind 0-5</t>
  </si>
  <si>
    <t>DOW Big Soda</t>
  </si>
  <si>
    <t>Nitrate/Nitrite as N, dissolve</t>
  </si>
  <si>
    <t>ANALYTE</t>
  </si>
  <si>
    <t>Site 36</t>
  </si>
  <si>
    <t>Nitrogen, ammonia</t>
  </si>
  <si>
    <t>Site 37</t>
  </si>
  <si>
    <t>Site 1a</t>
  </si>
  <si>
    <t>Site 4b</t>
  </si>
  <si>
    <t>Site 4e</t>
  </si>
  <si>
    <t>Site 8a</t>
  </si>
  <si>
    <t>Site 9</t>
  </si>
  <si>
    <t>Site 12</t>
  </si>
  <si>
    <t>Site 13a</t>
  </si>
  <si>
    <t>Site 14a</t>
  </si>
  <si>
    <t>Site 18</t>
  </si>
  <si>
    <t>Site 19</t>
  </si>
  <si>
    <t>Site 25</t>
  </si>
  <si>
    <t>Site 35</t>
  </si>
  <si>
    <t>Site 50</t>
  </si>
  <si>
    <t>Samle Date</t>
  </si>
  <si>
    <t>RESULT ug/l</t>
  </si>
  <si>
    <t xml:space="preserve">Site ID </t>
  </si>
  <si>
    <t>Site Location by Stream Segment</t>
  </si>
  <si>
    <t>Segment 1a</t>
  </si>
  <si>
    <t>Above Lost and Found (Singin' River Ranch) complex</t>
  </si>
  <si>
    <t>Site 3a</t>
  </si>
  <si>
    <t>Above Evergreen Lake at CDOW Site</t>
  </si>
  <si>
    <t>Segment 1d</t>
  </si>
  <si>
    <t xml:space="preserve">Evergreen Lake Profile Station, one meter down </t>
  </si>
  <si>
    <t xml:space="preserve">Evergreen Lake Profile Station, four meters down </t>
  </si>
  <si>
    <t>Segment 1e</t>
  </si>
  <si>
    <t>Above EMD WWTP, at CDOW downtown site</t>
  </si>
  <si>
    <t>Bear Creek Cabins at CDOW Site</t>
  </si>
  <si>
    <t>O'Fallon Park, west end at CDOW Site</t>
  </si>
  <si>
    <t>Lair o' the Bear Park, at CDOW site</t>
  </si>
  <si>
    <t>Below Idledale, Shady Lane at CDOW site</t>
  </si>
  <si>
    <t>Morrison Park west end of town, at CDOW Site</t>
  </si>
  <si>
    <t>Segment 3</t>
  </si>
  <si>
    <t>Vance Creek (Mt. Evans Wilderness drainage)</t>
  </si>
  <si>
    <t>Segment 5</t>
  </si>
  <si>
    <t>Cub Creek, Upstream of Cub Creek Park</t>
  </si>
  <si>
    <t>Cub Creek, Upstream @ Brookforest Inn</t>
  </si>
  <si>
    <t>Site 39</t>
  </si>
  <si>
    <t xml:space="preserve">Genesee Reservoir </t>
  </si>
  <si>
    <t>Segment 6a</t>
  </si>
  <si>
    <t>South Turkey Creek Aspen Park Metropolitan District</t>
  </si>
  <si>
    <t>Segment 6b</t>
  </si>
  <si>
    <t>North Turkey Creek Flying J Ranch Bridge</t>
  </si>
  <si>
    <t>Segments 7 and 8</t>
  </si>
  <si>
    <t>Summit Lake outfall (Mount Evans Wilderness) (Segment 8)</t>
  </si>
  <si>
    <t>Site 38</t>
  </si>
  <si>
    <t>Bear Creek at Bear Tracks, Bridge  (Segment 7)</t>
  </si>
  <si>
    <t>NO3-NO2 Ug/l</t>
  </si>
  <si>
    <t>Ammonia Ug/l</t>
  </si>
  <si>
    <t>T Phos Ug/l</t>
  </si>
  <si>
    <t>Bear Creek, Mainstem from Lake 1/4 mile downstream (Segment 7)</t>
  </si>
  <si>
    <t>50 weir</t>
  </si>
  <si>
    <t>Mg/l</t>
  </si>
  <si>
    <t>(ms)</t>
  </si>
  <si>
    <t>C</t>
  </si>
  <si>
    <t>Rel NO3 mg/l</t>
  </si>
  <si>
    <t>Recreational Uses</t>
  </si>
  <si>
    <t>Observed 7-26-10</t>
  </si>
  <si>
    <t>+ 30 @ 11:45</t>
  </si>
  <si>
    <t>66 tents; 16 rigs</t>
  </si>
  <si>
    <t>13 plus 23 stable</t>
  </si>
  <si>
    <t>39 plus 4 boats</t>
  </si>
  <si>
    <t xml:space="preserve">Horseback Riding </t>
  </si>
  <si>
    <t>MT RNC Bloom Azphon s 90 0-2 mph</t>
  </si>
  <si>
    <t>c 30%</t>
  </si>
  <si>
    <t>sm 35%</t>
  </si>
  <si>
    <t>2X.52</t>
  </si>
  <si>
    <t>27"X.36</t>
  </si>
  <si>
    <t>sm 100%</t>
  </si>
  <si>
    <t>.65 cfs</t>
  </si>
  <si>
    <t>Observed 8-9-10</t>
  </si>
  <si>
    <t>+25 @ 12:05</t>
  </si>
  <si>
    <t>6 plus 28 stable</t>
  </si>
  <si>
    <t>41 plus 5 boats</t>
  </si>
  <si>
    <t>+14 (kids TNTC)</t>
  </si>
  <si>
    <t>Group Picnic</t>
  </si>
  <si>
    <t>Sampling Bear Creek Watershed Association</t>
  </si>
  <si>
    <t>MT RNC overcast 70 light rain 3-6 mph</t>
  </si>
  <si>
    <t>sm 10%</t>
  </si>
  <si>
    <t>Sediment Sample Sites</t>
  </si>
  <si>
    <t>Bear Creek Transect</t>
  </si>
  <si>
    <t>SedBC01</t>
  </si>
  <si>
    <t>SedBC02</t>
  </si>
  <si>
    <t>SedBC03</t>
  </si>
  <si>
    <t>SedBC04</t>
  </si>
  <si>
    <t>SedBC05</t>
  </si>
  <si>
    <t>SedBC06</t>
  </si>
  <si>
    <t>Pelican Point Transect</t>
  </si>
  <si>
    <t>SedPel07</t>
  </si>
  <si>
    <t>SedPel08</t>
  </si>
  <si>
    <t>SedPel09</t>
  </si>
  <si>
    <t>SedPel10</t>
  </si>
  <si>
    <t>SedPel11</t>
  </si>
  <si>
    <t>Turkey Creek Transect</t>
  </si>
  <si>
    <t>SedTC12</t>
  </si>
  <si>
    <t>SedTC13</t>
  </si>
  <si>
    <t>SedTC14</t>
  </si>
  <si>
    <t>SedTC15</t>
  </si>
  <si>
    <t>SedTC16</t>
  </si>
  <si>
    <t>SedTC17</t>
  </si>
  <si>
    <t>Code</t>
  </si>
  <si>
    <t>Transect</t>
  </si>
  <si>
    <t xml:space="preserve"> 39°39'4.86"N</t>
  </si>
  <si>
    <t>Latitude</t>
  </si>
  <si>
    <t>Longitude</t>
  </si>
  <si>
    <t>105° 8'51.74"W</t>
  </si>
  <si>
    <t xml:space="preserve"> 39°39'5.79"N</t>
  </si>
  <si>
    <t>105° 8'45.82"W</t>
  </si>
  <si>
    <t xml:space="preserve"> 39°39'6.65"N</t>
  </si>
  <si>
    <t>105° 8'40.02"W</t>
  </si>
  <si>
    <t xml:space="preserve"> 39°39'7.80"N</t>
  </si>
  <si>
    <t>105° 8'35.32"W</t>
  </si>
  <si>
    <t>Sediment</t>
  </si>
  <si>
    <t xml:space="preserve"> 39°39'9.39"N</t>
  </si>
  <si>
    <t>105° 8'30.87"W</t>
  </si>
  <si>
    <t xml:space="preserve"> 39°39'0.05"N</t>
  </si>
  <si>
    <t>105° 8'42.06"W</t>
  </si>
  <si>
    <t xml:space="preserve"> 39°39'11.84"N</t>
  </si>
  <si>
    <t>105° 8'27.13"W</t>
  </si>
  <si>
    <t xml:space="preserve"> 39°39'1.49"N</t>
  </si>
  <si>
    <t>105° 8'36.85"W</t>
  </si>
  <si>
    <t xml:space="preserve"> 39°39'3.10"N</t>
  </si>
  <si>
    <t>105° 8'32.09"W</t>
  </si>
  <si>
    <t xml:space="preserve"> 39°39'5.01"N</t>
  </si>
  <si>
    <t>105° 8'27.11"W</t>
  </si>
  <si>
    <t xml:space="preserve"> 39°39'7.20"N</t>
  </si>
  <si>
    <t>105° 8'22.92"W</t>
  </si>
  <si>
    <t xml:space="preserve"> 39°38'54.95"N</t>
  </si>
  <si>
    <t>105° 8'45.34"W</t>
  </si>
  <si>
    <t xml:space="preserve"> 39°38'56.88"N</t>
  </si>
  <si>
    <t>105° 8'39.95"W</t>
  </si>
  <si>
    <t xml:space="preserve"> 39°38'58.04"N</t>
  </si>
  <si>
    <t>105° 8'33.92"W</t>
  </si>
  <si>
    <t xml:space="preserve"> 39°38'59.46"N</t>
  </si>
  <si>
    <t>105° 8'29.52"W</t>
  </si>
  <si>
    <t xml:space="preserve"> 39°39'1.09"N</t>
  </si>
  <si>
    <t>105° 8'24.69"W</t>
  </si>
  <si>
    <t xml:space="preserve"> 39°39'2.63"N</t>
  </si>
  <si>
    <t>105° 8'18.94"W</t>
  </si>
  <si>
    <t>No</t>
  </si>
  <si>
    <t>Dredges</t>
  </si>
  <si>
    <t>Amount (Liters)</t>
  </si>
  <si>
    <t>Mike Towner, John, Tony L, Chris S, RNC</t>
  </si>
  <si>
    <t>85 degrees, Sunny, 1-3 mph</t>
  </si>
  <si>
    <t>took long/lat ateach site</t>
  </si>
  <si>
    <t>used the petetite ponar sampler, made 1-3 dropps per site</t>
  </si>
  <si>
    <t>collected 2 samples per site</t>
  </si>
  <si>
    <t>silty clay, high organic matter</t>
  </si>
  <si>
    <t>silty clay</t>
  </si>
  <si>
    <t>silty clay, firmer material</t>
  </si>
  <si>
    <t>silty clay, more odor</t>
  </si>
  <si>
    <t>grams</t>
  </si>
  <si>
    <t>TP mg/l NF</t>
  </si>
  <si>
    <t>TP mg/l Filter</t>
  </si>
  <si>
    <t>tare</t>
  </si>
  <si>
    <t>with mud</t>
  </si>
  <si>
    <t>Ashed</t>
  </si>
  <si>
    <t>Mud</t>
  </si>
  <si>
    <t>TOC %</t>
  </si>
  <si>
    <t>wet</t>
  </si>
  <si>
    <t>water+</t>
  </si>
  <si>
    <t>kg</t>
  </si>
  <si>
    <t>volume = 20ml</t>
  </si>
  <si>
    <t>mgP/kg Mud</t>
  </si>
  <si>
    <t>NF</t>
  </si>
  <si>
    <t>Filter</t>
  </si>
  <si>
    <t>Pan</t>
  </si>
  <si>
    <t>&lt;10-25</t>
  </si>
  <si>
    <t>Coarse Sand</t>
  </si>
  <si>
    <t>Med Sand</t>
  </si>
  <si>
    <t>Fine Sand</t>
  </si>
  <si>
    <t>Very Fine Sand</t>
  </si>
  <si>
    <t>Silt/Clay</t>
  </si>
  <si>
    <t>% TOC</t>
  </si>
  <si>
    <t>ASTM No</t>
  </si>
  <si>
    <t>Mesh Opening (in)</t>
  </si>
  <si>
    <t xml:space="preserve">Seive </t>
  </si>
  <si>
    <t>26 OPN</t>
  </si>
  <si>
    <t>9 OPN</t>
  </si>
  <si>
    <t>46 OPN</t>
  </si>
  <si>
    <t>29 OPN</t>
  </si>
  <si>
    <t>Medium Sand</t>
  </si>
  <si>
    <t>Silt and Clay</t>
  </si>
  <si>
    <t>&lt;200</t>
  </si>
  <si>
    <t>Very Coarse and Coarse Sand</t>
  </si>
  <si>
    <t>Grain-Size Term</t>
  </si>
  <si>
    <t>Site 54 - Kerr</t>
  </si>
  <si>
    <t>Above Singin' River Ranch complex</t>
  </si>
  <si>
    <t>TN Ug/l</t>
  </si>
  <si>
    <t>Above EMD WWTP, CDOW downtown site</t>
  </si>
  <si>
    <t>Morrison Park west, CDOW Site</t>
  </si>
  <si>
    <t xml:space="preserve">Evergreen Lake Profile Station, four meters </t>
  </si>
  <si>
    <t xml:space="preserve">Evergreen Lake Profile Station, one meter </t>
  </si>
  <si>
    <t>BCWA Site</t>
  </si>
  <si>
    <t>DO (mg/l)</t>
  </si>
  <si>
    <t>SC (ms/cm)</t>
  </si>
  <si>
    <t>Temp ( C)</t>
  </si>
  <si>
    <t>E. Coli (Cells/100ml)</t>
  </si>
  <si>
    <t>Rel NO3 (mg/l)</t>
  </si>
  <si>
    <t>4 (27)</t>
  </si>
  <si>
    <t>temp 1-3</t>
  </si>
  <si>
    <t>low</t>
  </si>
  <si>
    <t>60%C</t>
  </si>
  <si>
    <t>24X.4</t>
  </si>
  <si>
    <t>30X.3</t>
  </si>
  <si>
    <t>Temperature</t>
  </si>
  <si>
    <t>1-3</t>
  </si>
  <si>
    <t>MT, Rc, John Sunny Bloom Heavy mats shore 2-5mph wind</t>
  </si>
  <si>
    <t>13  6 dogs)</t>
  </si>
  <si>
    <t>2 (24)</t>
  </si>
  <si>
    <t>30%C</t>
  </si>
  <si>
    <t>SMurky 100%</t>
  </si>
  <si>
    <t>Temp1-3</t>
  </si>
  <si>
    <t>Temp 1-3</t>
  </si>
  <si>
    <t>MT RNC  Sunny Bloom light =0-3 mph wind</t>
  </si>
  <si>
    <t>5 (17)</t>
  </si>
  <si>
    <t>Fish Stock</t>
  </si>
  <si>
    <t>2400 12" +</t>
  </si>
  <si>
    <t>50% c</t>
  </si>
  <si>
    <t>25% c</t>
  </si>
  <si>
    <t>vM 100%</t>
  </si>
  <si>
    <t>24X.45</t>
  </si>
  <si>
    <t>27X.28</t>
  </si>
  <si>
    <t>TIME</t>
  </si>
  <si>
    <t>Temp °C</t>
  </si>
  <si>
    <t>DO(mg/l)</t>
  </si>
  <si>
    <t>Above Singin' River Ranch</t>
  </si>
  <si>
    <t>Location</t>
  </si>
  <si>
    <t xml:space="preserve">           </t>
  </si>
  <si>
    <t>Flow cfs</t>
  </si>
  <si>
    <t>0.37 cfs</t>
  </si>
  <si>
    <t>0.5 cfs</t>
  </si>
  <si>
    <t>Segment</t>
  </si>
  <si>
    <t>1a</t>
  </si>
  <si>
    <t>1b</t>
  </si>
  <si>
    <t>1c</t>
  </si>
  <si>
    <t>1d</t>
  </si>
  <si>
    <t>1e</t>
  </si>
  <si>
    <t>4a</t>
  </si>
  <si>
    <t>6a</t>
  </si>
  <si>
    <t>6b</t>
  </si>
  <si>
    <t>Lakes and reservoirs in the Turkey Creek system from the source to the inlet of Bear Creek Reservoir</t>
  </si>
  <si>
    <t>Lakes and reservoirs in the Bear Creek system from the outlet of Evergreen Lake to the confluence with the South Platte River, except as specified in Segments 1c,  10, and 12; includes Soda Lakes.</t>
  </si>
  <si>
    <t>Lakes and reservoirs in drainages of Swede Gulch, Sawmill Gulch, Troublesome Gulch, and Cold Springs Gulch from source to confluence with Bear Creek.</t>
  </si>
  <si>
    <t>Lakes and reservoirs in the Bear Creek system from the boundary of the Mt. Evans Wilderness area to the inlet of Evergreen Lake.</t>
  </si>
  <si>
    <t>Lakes and reservoirs in the Bear Creek system from the sources to the boundary of the Mt. Evans Wilderness area.</t>
  </si>
  <si>
    <t>Mainstem and all tributaries to Bear Creek, including wetlands, within the Mt. Evans Wilderness Area.</t>
  </si>
  <si>
    <t>Mainstem of North Turkey Creek, from the source to the confluence with Turkey Creek.</t>
  </si>
  <si>
    <t>Turkey Creek system, including all tributaries and wetlands, from the source to the inlet of Bear Creek Reservoir, except for specific listings in Segment 6b.</t>
  </si>
  <si>
    <t>Swede, Kerr, Sawmill, Troublesome, and Cold Springs Gulches, and mainstem of Cub Creek from the source to the confluence with Bear Creek.</t>
  </si>
  <si>
    <t>All tributaries to Bear Creek, including all wetlands, from the outlet of Evergreen Lake to the confluence with the South Platte River, except for specific listings in Segments 5, 6a, and 6b.</t>
  </si>
  <si>
    <t>All tributaries to Bear Creek, including all wetlands, from the source to the outlet of Evergreen Lake, Except for specific listings in Segment 7.</t>
  </si>
  <si>
    <t>Mainstem of Bear Creek from the outlet of Bear Creek Reservoir to the confluence with the South Platte River.</t>
  </si>
  <si>
    <t>Mainstem of Bear Creek from the outlet of Evergreen Lake to the Harriman Ditch.</t>
  </si>
  <si>
    <t>Evergreen Lake.</t>
  </si>
  <si>
    <t>Bear Creek Reservoir.</t>
  </si>
  <si>
    <t>Mainstem of Bear Creek from Harriman Ditch to the inlet of Bear Creek Reservoir</t>
  </si>
  <si>
    <t xml:space="preserve">Mainstem of Bear Creek from the boundary of the Mt. Evans Wilderness area to the inlet of Evergreen Lake </t>
  </si>
  <si>
    <t>April-Oct</t>
  </si>
  <si>
    <r>
      <t xml:space="preserve">T=TVS(CS-I)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</si>
  <si>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</si>
  <si>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T=TVS(CLL) </t>
    </r>
    <r>
      <rPr>
        <vertAlign val="superscript"/>
        <sz val="9"/>
        <color rgb="FF000000"/>
        <rFont val="Arial"/>
        <family val="2"/>
      </rPr>
      <t>o</t>
    </r>
    <r>
      <rPr>
        <sz val="9"/>
        <color rgb="FF000000"/>
        <rFont val="Arial"/>
        <family val="2"/>
      </rPr>
      <t>C; April-Dec; T(WAT)=23.3oC</t>
    </r>
  </si>
  <si>
    <r>
      <t xml:space="preserve">T=TVS(CLL)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</si>
  <si>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</si>
  <si>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T=TVS(WS-I)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</si>
  <si>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t>
    </r>
  </si>
  <si>
    <r>
      <t xml:space="preserve">T=TVS(CL) </t>
    </r>
    <r>
      <rPr>
        <vertAlign val="superscript"/>
        <sz val="9"/>
        <color rgb="FF000000"/>
        <rFont val="Arial"/>
        <family val="2"/>
      </rPr>
      <t>o</t>
    </r>
    <r>
      <rPr>
        <sz val="9"/>
        <color rgb="FF000000"/>
        <rFont val="Arial"/>
        <family val="2"/>
      </rPr>
      <t>C</t>
    </r>
  </si>
  <si>
    <r>
      <t xml:space="preserve">T=TVS(WS-II) </t>
    </r>
    <r>
      <rPr>
        <vertAlign val="superscript"/>
        <sz val="9"/>
        <color rgb="FF000000"/>
        <rFont val="Arial"/>
        <family val="2"/>
      </rPr>
      <t>o</t>
    </r>
    <r>
      <rPr>
        <sz val="9"/>
        <color rgb="FF000000"/>
        <rFont val="Arial"/>
        <family val="2"/>
      </rPr>
      <t>C</t>
    </r>
  </si>
  <si>
    <t>Month</t>
  </si>
  <si>
    <t>June-Sept</t>
  </si>
  <si>
    <t>TEMPERATURE</t>
  </si>
  <si>
    <r>
      <t>STANDARD (</t>
    </r>
    <r>
      <rPr>
        <b/>
        <vertAlign val="superscript"/>
        <sz val="8"/>
        <rFont val="Arial"/>
        <family val="2"/>
      </rPr>
      <t>O</t>
    </r>
    <r>
      <rPr>
        <b/>
        <sz val="8"/>
        <rFont val="Arial"/>
        <family val="2"/>
      </rPr>
      <t>C)</t>
    </r>
  </si>
  <si>
    <t>(MWAT)</t>
  </si>
  <si>
    <t>(DM)</t>
  </si>
  <si>
    <t>Oct-May</t>
  </si>
  <si>
    <t>Nov-March</t>
  </si>
  <si>
    <t>April-Dec</t>
  </si>
  <si>
    <t>Jan-Mar</t>
  </si>
  <si>
    <t>March-Nov</t>
  </si>
  <si>
    <t>Dec-Feb</t>
  </si>
  <si>
    <t>Geometric Mean</t>
  </si>
  <si>
    <t>E. coli Summary</t>
  </si>
  <si>
    <t xml:space="preserve">date </t>
  </si>
  <si>
    <t>10/26/2010 reservoir</t>
  </si>
  <si>
    <t>Sara Zink, RNC, MT 10-30 winf, 40 cold snow Mtn</t>
  </si>
  <si>
    <t xml:space="preserve"> </t>
  </si>
  <si>
    <t>45% s murky</t>
  </si>
  <si>
    <t>60% m</t>
  </si>
  <si>
    <t>2X.4</t>
  </si>
  <si>
    <t>2X.34</t>
  </si>
  <si>
    <t>0.72 cfs</t>
  </si>
  <si>
    <t>40 (11 dogs)</t>
  </si>
  <si>
    <t>,174</t>
  </si>
  <si>
    <t>&gt;10m</t>
  </si>
  <si>
    <t>Genesee</t>
  </si>
  <si>
    <t xml:space="preserve"> Sampling Bear Creek Watershed Association</t>
  </si>
  <si>
    <t>5% clear</t>
  </si>
  <si>
    <t>8% clear</t>
  </si>
  <si>
    <t>SM 100%</t>
  </si>
  <si>
    <t>24X.52</t>
  </si>
  <si>
    <t>24X.3</t>
  </si>
  <si>
    <t>29" channel cat 11" girth</t>
  </si>
  <si>
    <t>25lbs</t>
  </si>
  <si>
    <t>0.51 cfs</t>
  </si>
  <si>
    <t>30% clear</t>
  </si>
  <si>
    <t>90% clear</t>
  </si>
  <si>
    <t>depth</t>
  </si>
  <si>
    <t>24X.35</t>
  </si>
  <si>
    <t>18X.28</t>
  </si>
  <si>
    <t>0.71 cfs</t>
  </si>
  <si>
    <t>0.55 cfs</t>
  </si>
  <si>
    <t>MT RNC John Sunny 50 no wind</t>
  </si>
  <si>
    <t>Do</t>
  </si>
  <si>
    <t>do 1-3</t>
  </si>
  <si>
    <t>Boats BCR</t>
  </si>
  <si>
    <t>Stable Horses</t>
  </si>
  <si>
    <t>Canoe/Sailboard (Soda)</t>
  </si>
  <si>
    <t>Median</t>
  </si>
  <si>
    <t>Week-day - 1/2 Day estimates</t>
  </si>
  <si>
    <t>Week-day - Daily Use Estimates</t>
  </si>
  <si>
    <t>Site 39-1m</t>
  </si>
  <si>
    <t>Site 39-3m</t>
  </si>
  <si>
    <t>76/90</t>
  </si>
  <si>
    <t>80/128</t>
  </si>
  <si>
    <t>48/160</t>
  </si>
  <si>
    <t>128/280</t>
  </si>
  <si>
    <t>40/64</t>
  </si>
  <si>
    <t>Acre-Feet/ month</t>
  </si>
  <si>
    <t>Total</t>
  </si>
  <si>
    <t>Total Dissolved Phosphorus (ug/l)</t>
  </si>
  <si>
    <t>0.67 cfs</t>
  </si>
  <si>
    <t>0.57 cfs</t>
  </si>
  <si>
    <t xml:space="preserve"> Bear Creek Reservoir Monitoring Program</t>
  </si>
  <si>
    <t>Pounds Per November</t>
  </si>
  <si>
    <t>Nitrate/Nitrite (ug/l)</t>
  </si>
  <si>
    <t>Ammonia (ug/l)</t>
  </si>
  <si>
    <t>DO:1-3m (mg/l)</t>
  </si>
  <si>
    <t>Aerators On  (40hp=0)</t>
  </si>
  <si>
    <t>Average 1-3</t>
  </si>
  <si>
    <t>Do 1-3 Avg</t>
  </si>
  <si>
    <t>DO 1-3 avg</t>
  </si>
  <si>
    <t>6.8 cfs</t>
  </si>
  <si>
    <t>Bottom</t>
  </si>
  <si>
    <t>EU</t>
  </si>
  <si>
    <t>91-10 Mean</t>
  </si>
  <si>
    <t>Bear Creek Reservoir Mean Annual Concentrations 1991-2010</t>
  </si>
  <si>
    <t>2010 Phytoplankton Average Density</t>
  </si>
  <si>
    <t>2011 Sampling Bear Creek Watershed Association</t>
  </si>
  <si>
    <t>1/2m</t>
  </si>
  <si>
    <t>1 1/2m</t>
  </si>
  <si>
    <t>2 1/2m</t>
  </si>
  <si>
    <t>3 1/2m</t>
  </si>
  <si>
    <t>Kerr/Swede Gulch Flow Estimates/ Field Data</t>
  </si>
  <si>
    <t>2010 Predictions</t>
  </si>
  <si>
    <t xml:space="preserve"> BEAR CREEK ABOVE BEAR CREEK LAKE NEAR MORRISON, CO</t>
  </si>
  <si>
    <t>Reservoir (-1m)</t>
  </si>
  <si>
    <t>Reservoir (-2m)</t>
  </si>
  <si>
    <t>Reservoir (-3m)</t>
  </si>
  <si>
    <t>Reservoir (-4m)</t>
  </si>
  <si>
    <t>Reservoir (-5m)</t>
  </si>
  <si>
    <t>Reservoir (-6m)</t>
  </si>
  <si>
    <t>Reservoir (-7m)</t>
  </si>
  <si>
    <t>Reservoir (-8m)</t>
  </si>
  <si>
    <t>Reservoir (-9m)</t>
  </si>
  <si>
    <t>Reservoir (-10m)</t>
  </si>
  <si>
    <t>Reservoir (-11m)</t>
  </si>
  <si>
    <r>
      <t xml:space="preserve">Temperature, </t>
    </r>
    <r>
      <rPr>
        <b/>
        <vertAlign val="superscript"/>
        <sz val="12"/>
        <rFont val="Arial"/>
        <family val="2"/>
      </rPr>
      <t>o</t>
    </r>
    <r>
      <rPr>
        <b/>
        <sz val="12"/>
        <rFont val="Arial"/>
        <family val="2"/>
      </rPr>
      <t>C</t>
    </r>
  </si>
  <si>
    <t xml:space="preserve">Annual </t>
  </si>
  <si>
    <t>Bear Creek Reservoir 2010 - Selected Trend Indicators</t>
  </si>
  <si>
    <t>Seasonal Total Nitrogen [ug/l]</t>
  </si>
  <si>
    <t>µg/L</t>
  </si>
  <si>
    <t>4500-P G, with manual digestion</t>
  </si>
  <si>
    <t>SW</t>
  </si>
  <si>
    <t>Site 55</t>
  </si>
  <si>
    <t>BC1010-9</t>
  </si>
  <si>
    <t>QC 10-115-01-4-U</t>
  </si>
  <si>
    <t>4500-NO3 I</t>
  </si>
  <si>
    <t>QuickChem 10-107-06-3-D</t>
  </si>
  <si>
    <t>Site 54</t>
  </si>
  <si>
    <t>BC1010-8</t>
  </si>
  <si>
    <t>Site 53</t>
  </si>
  <si>
    <t>BC1010-7</t>
  </si>
  <si>
    <t>Site 52</t>
  </si>
  <si>
    <t>BC1010-6</t>
  </si>
  <si>
    <t>BC1110B-4</t>
  </si>
  <si>
    <t>BC1110B-3</t>
  </si>
  <si>
    <t>BC1110B-2</t>
  </si>
  <si>
    <t>BC1110B-1</t>
  </si>
  <si>
    <t>ANALYZEDATE</t>
  </si>
  <si>
    <t>MDL</t>
  </si>
  <si>
    <t>UNITS</t>
  </si>
  <si>
    <t>QUAL</t>
  </si>
  <si>
    <t>RESULT</t>
  </si>
  <si>
    <t>METHOD</t>
  </si>
  <si>
    <t>MATRIX</t>
  </si>
  <si>
    <t>RECEIVEDATE</t>
  </si>
  <si>
    <t>COLLECTDATE</t>
  </si>
  <si>
    <t>CLIENTID</t>
  </si>
  <si>
    <t>LABID</t>
  </si>
  <si>
    <t>Pounds Per October</t>
  </si>
  <si>
    <t>9/7/2010 Duplicate</t>
  </si>
  <si>
    <t>Group</t>
  </si>
  <si>
    <t>Density</t>
  </si>
  <si>
    <t>Biovolume</t>
  </si>
  <si>
    <t>#/mL</t>
  </si>
  <si>
    <t>%</t>
  </si>
  <si>
    <r>
      <t>um</t>
    </r>
    <r>
      <rPr>
        <b/>
        <vertAlign val="superscript"/>
        <sz val="10"/>
        <rFont val="Arial"/>
        <family val="2"/>
      </rPr>
      <t>3</t>
    </r>
    <r>
      <rPr>
        <b/>
        <sz val="10"/>
        <rFont val="Arial"/>
        <family val="2"/>
      </rPr>
      <t>/mL</t>
    </r>
  </si>
  <si>
    <t>Schroderia sp.</t>
  </si>
  <si>
    <t>green</t>
  </si>
  <si>
    <t>Scenedesmus quadricauda</t>
  </si>
  <si>
    <t>Anabaena flos-aquae</t>
  </si>
  <si>
    <t>bluegreen</t>
  </si>
  <si>
    <t>Rhodomonas minuta</t>
  </si>
  <si>
    <t>cryptophyte</t>
  </si>
  <si>
    <t>Dinobryon sp.</t>
  </si>
  <si>
    <t>chrysophyte</t>
  </si>
  <si>
    <t>diatom</t>
  </si>
  <si>
    <t>Melosira ambigua</t>
  </si>
  <si>
    <t>Pinnularia borealis</t>
  </si>
  <si>
    <t>Navicula cryptocephala</t>
  </si>
  <si>
    <t>Navicula sp.</t>
  </si>
  <si>
    <t>Amphora ovalis</t>
  </si>
  <si>
    <t>Cymbella minuta</t>
  </si>
  <si>
    <t>Gomphoneis herculeana</t>
  </si>
  <si>
    <t>Melosira granulata</t>
  </si>
  <si>
    <t>Navicula graciloides</t>
  </si>
  <si>
    <t>Navicula decussis</t>
  </si>
  <si>
    <t>Diatoma tenue</t>
  </si>
  <si>
    <t>Nitzschia dissipata</t>
  </si>
  <si>
    <t>Navicula capitata</t>
  </si>
  <si>
    <t>Cocconeis placentula</t>
  </si>
  <si>
    <t>Gomphonema sp.</t>
  </si>
  <si>
    <t xml:space="preserve">Sample Date: </t>
  </si>
  <si>
    <t xml:space="preserve">Total Density (#/mL): </t>
  </si>
  <si>
    <r>
      <t>Total Biovolume (um</t>
    </r>
    <r>
      <rPr>
        <b/>
        <vertAlign val="superscript"/>
        <sz val="10"/>
        <rFont val="Arial"/>
        <family val="2"/>
      </rPr>
      <t>3</t>
    </r>
    <r>
      <rPr>
        <b/>
        <sz val="10"/>
        <rFont val="Arial"/>
        <family val="2"/>
      </rPr>
      <t xml:space="preserve">/mL):              </t>
    </r>
  </si>
  <si>
    <t xml:space="preserve">Trophic State Index: </t>
  </si>
  <si>
    <t>Heterokontophyta (Diatoms)</t>
  </si>
  <si>
    <t>CHLOROPHYTA (Greens)</t>
  </si>
  <si>
    <t>CYANOPHYTA (Bluegreens)</t>
  </si>
  <si>
    <t>average</t>
  </si>
  <si>
    <t>Peak Biovolume (um3/mL)</t>
  </si>
  <si>
    <t>ac-ft/mo</t>
  </si>
  <si>
    <t>From Flow Gage</t>
  </si>
  <si>
    <t>Evaporation</t>
  </si>
  <si>
    <t>2010 DOW Data Table</t>
  </si>
  <si>
    <t>Station</t>
  </si>
  <si>
    <t>Standardized Average Width (ft)</t>
  </si>
  <si>
    <t>No./Acre</t>
  </si>
  <si>
    <t>lb/Acre</t>
  </si>
  <si>
    <t>No./Acre &gt;12cm</t>
  </si>
  <si>
    <t>lb/Acre &gt;12cm</t>
  </si>
  <si>
    <t>Brown</t>
  </si>
  <si>
    <t>Rainbow</t>
  </si>
  <si>
    <t>Williams Property</t>
  </si>
  <si>
    <t>Stock RBT</t>
  </si>
  <si>
    <t xml:space="preserve"> ----</t>
  </si>
  <si>
    <t>Singing R. Ranch-2008</t>
  </si>
  <si>
    <t>TOTAL</t>
  </si>
  <si>
    <t>Dedisse Park</t>
  </si>
  <si>
    <t>Downtown Evergreen</t>
  </si>
  <si>
    <t xml:space="preserve">** One pass minimum population estmate    </t>
  </si>
  <si>
    <t>Bear Creek Cabins</t>
  </si>
  <si>
    <t>O'Fallon Park</t>
  </si>
  <si>
    <t xml:space="preserve">Lair O' the Bear </t>
  </si>
  <si>
    <t>Idledale</t>
  </si>
  <si>
    <t>Morrison</t>
  </si>
  <si>
    <t>Site 45</t>
  </si>
  <si>
    <t>site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</si>
</sst>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0.0"/>
    <numFmt numFmtId="165" formatCode="0.000"/>
    <numFmt numFmtId="166" formatCode="dd\-mmm\-yy_)"/>
    <numFmt numFmtId="167" formatCode="0_)"/>
    <numFmt numFmtId="168" formatCode="0.0_)"/>
    <numFmt numFmtId="169" formatCode="[$-409]d\-mmm\-yy;@"/>
    <numFmt numFmtId="170" formatCode="_(* #,##0_);_(* \(#,##0\);_(* &quot;-&quot;??_);_(@_)"/>
    <numFmt numFmtId="171" formatCode="m/d/yy"/>
    <numFmt numFmtId="172" formatCode="mm/dd/yy"/>
    <numFmt numFmtId="173" formatCode="0.0_);[Red]\(0.0\)"/>
    <numFmt numFmtId="174" formatCode="[$-409]d\-mmm;@"/>
    <numFmt numFmtId="175" formatCode="[$-F400]h:mm:ss\ AM/PM"/>
    <numFmt numFmtId="176" formatCode="m/d/yyyy;@"/>
    <numFmt numFmtId="177" formatCode="#,##0.0"/>
    <numFmt numFmtId="178" formatCode="m/d/yy;@"/>
  </numFmts>
  <fonts count="53" x14ac:knownFonts="1">
    <font>
      <sz val="10"/>
      <name val="Arial"/>
    </font>
    <font>
      <sz val="10"/>
      <name val="Arial"/>
      <family val="2"/>
    </font>
    <font>
      <b/>
      <sz val="10"/>
      <name val="Arial"/>
      <family val="2"/>
    </font>
    <font>
      <sz val="10"/>
      <name val="Arial"/>
      <family val="2"/>
    </font>
    <font>
      <b/>
      <sz val="12"/>
      <name val="Arial"/>
      <family val="2"/>
    </font>
    <font>
      <u/>
      <sz val="10"/>
      <color indexed="12"/>
      <name val="Arial"/>
      <family val="2"/>
    </font>
    <font>
      <sz val="9"/>
      <name val="Arial"/>
      <family val="2"/>
    </font>
    <font>
      <sz val="8"/>
      <name val="Arial"/>
      <family val="2"/>
    </font>
    <font>
      <sz val="8"/>
      <name val="Arial"/>
      <family val="2"/>
    </font>
    <font>
      <sz val="12"/>
      <name val="Arial"/>
      <family val="2"/>
    </font>
    <font>
      <sz val="8"/>
      <name val="Arial Black"/>
      <family val="2"/>
    </font>
    <font>
      <b/>
      <sz val="9"/>
      <name val="Arial"/>
      <family val="2"/>
    </font>
    <font>
      <sz val="10"/>
      <name val="Helv"/>
    </font>
    <font>
      <b/>
      <sz val="8"/>
      <name val="Arial"/>
      <family val="2"/>
    </font>
    <font>
      <sz val="10"/>
      <name val="Arial Black"/>
      <family val="2"/>
    </font>
    <font>
      <sz val="8.5"/>
      <name val="MS Sans Serif"/>
      <family val="2"/>
    </font>
    <font>
      <b/>
      <sz val="10"/>
      <name val="MS Sans Serif"/>
      <family val="2"/>
    </font>
    <font>
      <b/>
      <sz val="11"/>
      <name val="Arial"/>
      <family val="2"/>
    </font>
    <font>
      <b/>
      <sz val="13.5"/>
      <color indexed="18"/>
      <name val="Arial"/>
      <family val="2"/>
    </font>
    <font>
      <sz val="12"/>
      <name val="Times New Roman"/>
      <family val="1"/>
    </font>
    <font>
      <i/>
      <sz val="10"/>
      <name val="Arial"/>
      <family val="2"/>
    </font>
    <font>
      <sz val="8"/>
      <name val="Helv"/>
    </font>
    <font>
      <b/>
      <sz val="12"/>
      <color indexed="10"/>
      <name val="Arial"/>
      <family val="2"/>
    </font>
    <font>
      <sz val="11"/>
      <name val="Arial"/>
      <family val="2"/>
    </font>
    <font>
      <sz val="10"/>
      <name val="Symbol"/>
      <family val="1"/>
      <charset val="2"/>
    </font>
    <font>
      <sz val="10"/>
      <color indexed="8"/>
      <name val="Arial"/>
      <family val="2"/>
    </font>
    <font>
      <sz val="10"/>
      <name val="Arial"/>
      <family val="2"/>
    </font>
    <font>
      <sz val="10"/>
      <color indexed="8"/>
      <name val="Arial"/>
      <family val="2"/>
    </font>
    <font>
      <sz val="10"/>
      <name val="Arial"/>
      <family val="2"/>
    </font>
    <font>
      <i/>
      <sz val="9"/>
      <name val="Arial"/>
      <family val="2"/>
    </font>
    <font>
      <sz val="10.5"/>
      <name val="Consolas"/>
      <family val="3"/>
    </font>
    <font>
      <sz val="10"/>
      <color rgb="FFFF0000"/>
      <name val="Arial"/>
      <family val="2"/>
    </font>
    <font>
      <b/>
      <sz val="10.5"/>
      <name val="Consolas"/>
      <family val="3"/>
    </font>
    <font>
      <sz val="11"/>
      <name val="Calibri"/>
      <family val="2"/>
    </font>
    <font>
      <b/>
      <sz val="14"/>
      <name val="Arial"/>
      <family val="2"/>
    </font>
    <font>
      <b/>
      <sz val="16"/>
      <name val="Arial"/>
      <family val="2"/>
    </font>
    <font>
      <sz val="10"/>
      <name val="Arial"/>
      <family val="2"/>
    </font>
    <font>
      <b/>
      <sz val="8"/>
      <name val="Times New Roman"/>
      <family val="1"/>
    </font>
    <font>
      <b/>
      <sz val="10"/>
      <name val="Times New Roman"/>
      <family val="1"/>
    </font>
    <font>
      <sz val="11"/>
      <name val="Times New Roman"/>
      <family val="1"/>
    </font>
    <font>
      <sz val="11"/>
      <color rgb="FF9C0006"/>
      <name val="Calibri"/>
      <family val="2"/>
      <scheme val="minor"/>
    </font>
    <font>
      <sz val="9"/>
      <name val="Calibri"/>
      <family val="2"/>
    </font>
    <font>
      <b/>
      <sz val="11"/>
      <name val="Times New Roman"/>
      <family val="1"/>
    </font>
    <font>
      <sz val="10"/>
      <name val="Times New Roman"/>
      <family val="1"/>
    </font>
    <font>
      <sz val="11"/>
      <color theme="1"/>
      <name val="Calibri"/>
      <family val="2"/>
    </font>
    <font>
      <b/>
      <sz val="9"/>
      <name val="Times New Roman"/>
      <family val="1"/>
    </font>
    <font>
      <sz val="9"/>
      <color rgb="FF000000"/>
      <name val="Arial"/>
      <family val="2"/>
    </font>
    <font>
      <vertAlign val="superscript"/>
      <sz val="9"/>
      <color rgb="FF000000"/>
      <name val="Arial"/>
      <family val="2"/>
    </font>
    <font>
      <b/>
      <vertAlign val="superscript"/>
      <sz val="8"/>
      <name val="Arial"/>
      <family val="2"/>
    </font>
    <font>
      <b/>
      <sz val="10"/>
      <color indexed="8"/>
      <name val="Arial"/>
      <family val="2"/>
    </font>
    <font>
      <b/>
      <vertAlign val="superscript"/>
      <sz val="12"/>
      <name val="Arial"/>
      <family val="2"/>
    </font>
    <font>
      <sz val="10"/>
      <name val="Arial"/>
      <family val="2"/>
    </font>
    <font>
      <b/>
      <vertAlign val="superscript"/>
      <sz val="10"/>
      <name val="Arial"/>
      <family val="2"/>
    </font>
  </fonts>
  <fills count="2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D8D8D8"/>
        <bgColor indexed="64"/>
      </patternFill>
    </fill>
    <fill>
      <patternFill patternType="solid">
        <fgColor rgb="FFC2D69A"/>
        <bgColor indexed="64"/>
      </patternFill>
    </fill>
    <fill>
      <patternFill patternType="solid">
        <fgColor theme="2" tint="-9.9978637043366805E-2"/>
        <bgColor indexed="64"/>
      </patternFill>
    </fill>
    <fill>
      <patternFill patternType="solid">
        <fgColor rgb="FFDDD9C3"/>
        <bgColor indexed="64"/>
      </patternFill>
    </fill>
    <fill>
      <patternFill patternType="solid">
        <fgColor rgb="FFD9D9D9"/>
        <bgColor indexed="64"/>
      </patternFill>
    </fill>
    <fill>
      <patternFill patternType="solid">
        <fgColor rgb="FFFFC7CE"/>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6"/>
        <bgColor indexed="64"/>
      </patternFill>
    </fill>
    <fill>
      <patternFill patternType="solid">
        <fgColor indexed="2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8"/>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s>
  <cellStyleXfs count="8">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25" fillId="0" borderId="0"/>
    <xf numFmtId="0" fontId="25" fillId="0" borderId="0"/>
    <xf numFmtId="0" fontId="40" fillId="21" borderId="0" applyNumberFormat="0" applyBorder="0" applyAlignment="0" applyProtection="0"/>
    <xf numFmtId="9" fontId="36" fillId="0" borderId="0" applyFont="0" applyFill="0" applyBorder="0" applyAlignment="0" applyProtection="0"/>
    <xf numFmtId="0" fontId="51" fillId="0" borderId="0"/>
  </cellStyleXfs>
  <cellXfs count="989">
    <xf numFmtId="0" fontId="0" fillId="0" borderId="0" xfId="0"/>
    <xf numFmtId="0" fontId="2" fillId="0" borderId="0" xfId="0" applyFont="1"/>
    <xf numFmtId="164" fontId="0" fillId="0" borderId="0" xfId="0" applyNumberFormat="1" applyAlignment="1">
      <alignment horizontal="right"/>
    </xf>
    <xf numFmtId="164" fontId="0" fillId="0" borderId="0" xfId="0" applyNumberFormat="1"/>
    <xf numFmtId="165" fontId="0" fillId="0" borderId="0" xfId="0" applyNumberFormat="1"/>
    <xf numFmtId="1" fontId="0" fillId="0" borderId="0" xfId="0" applyNumberFormat="1"/>
    <xf numFmtId="2" fontId="0" fillId="0" borderId="0" xfId="0" applyNumberFormat="1"/>
    <xf numFmtId="15" fontId="2" fillId="0" borderId="0" xfId="0" applyNumberFormat="1" applyFont="1"/>
    <xf numFmtId="165" fontId="2" fillId="0" borderId="0" xfId="0" applyNumberFormat="1" applyFont="1"/>
    <xf numFmtId="2" fontId="0" fillId="0" borderId="0" xfId="0" applyNumberFormat="1" applyFill="1"/>
    <xf numFmtId="0" fontId="0" fillId="0" borderId="0" xfId="0" applyFill="1"/>
    <xf numFmtId="0" fontId="3"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wrapText="1"/>
    </xf>
    <xf numFmtId="164" fontId="3" fillId="0" borderId="1" xfId="0" applyNumberFormat="1" applyFont="1" applyBorder="1" applyAlignment="1">
      <alignment horizontal="center"/>
    </xf>
    <xf numFmtId="0" fontId="3" fillId="0" borderId="1" xfId="0" applyFont="1" applyBorder="1" applyAlignment="1">
      <alignment horizontal="center"/>
    </xf>
    <xf numFmtId="164" fontId="11" fillId="2" borderId="1" xfId="0" applyNumberFormat="1" applyFont="1" applyFill="1" applyBorder="1" applyAlignment="1">
      <alignment horizontal="center"/>
    </xf>
    <xf numFmtId="1" fontId="11" fillId="2" borderId="1" xfId="0" applyNumberFormat="1" applyFont="1" applyFill="1" applyBorder="1" applyAlignment="1">
      <alignment horizontal="center"/>
    </xf>
    <xf numFmtId="0" fontId="10" fillId="0" borderId="1" xfId="0" applyFont="1" applyBorder="1" applyAlignment="1">
      <alignment wrapText="1"/>
    </xf>
    <xf numFmtId="0" fontId="1" fillId="2" borderId="0" xfId="0" applyFont="1" applyFill="1"/>
    <xf numFmtId="1" fontId="12" fillId="0" borderId="0" xfId="0" applyNumberFormat="1" applyFont="1" applyAlignment="1" applyProtection="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Fill="1" applyAlignment="1" applyProtection="1">
      <alignment horizontal="center"/>
    </xf>
    <xf numFmtId="0" fontId="1" fillId="0" borderId="0" xfId="0" applyFont="1" applyAlignment="1">
      <alignment horizontal="center"/>
    </xf>
    <xf numFmtId="0" fontId="12" fillId="0" borderId="0" xfId="0" applyFont="1" applyProtection="1"/>
    <xf numFmtId="0" fontId="12" fillId="2" borderId="0" xfId="0" applyFont="1" applyFill="1" applyProtection="1"/>
    <xf numFmtId="0" fontId="0" fillId="0" borderId="0" xfId="0" applyFill="1" applyProtection="1"/>
    <xf numFmtId="0" fontId="0" fillId="0" borderId="0" xfId="0" applyProtection="1"/>
    <xf numFmtId="0" fontId="3" fillId="0" borderId="0" xfId="0" applyNumberFormat="1" applyFont="1"/>
    <xf numFmtId="0" fontId="2" fillId="0" borderId="0" xfId="0" applyNumberFormat="1" applyFont="1"/>
    <xf numFmtId="0" fontId="2" fillId="0" borderId="0" xfId="0" applyNumberFormat="1" applyFont="1" applyProtection="1"/>
    <xf numFmtId="0" fontId="0" fillId="0" borderId="0" xfId="0" applyNumberFormat="1"/>
    <xf numFmtId="1" fontId="3" fillId="0" borderId="0" xfId="0" applyNumberFormat="1" applyFont="1"/>
    <xf numFmtId="0" fontId="6" fillId="0" borderId="0" xfId="0" applyFont="1"/>
    <xf numFmtId="170" fontId="0" fillId="0" borderId="0" xfId="1" applyNumberFormat="1" applyFont="1"/>
    <xf numFmtId="165" fontId="2" fillId="0" borderId="1" xfId="0" applyNumberFormat="1" applyFont="1" applyBorder="1" applyAlignment="1">
      <alignment horizontal="right"/>
    </xf>
    <xf numFmtId="164" fontId="11" fillId="2" borderId="1" xfId="0" applyNumberFormat="1" applyFont="1" applyFill="1" applyBorder="1"/>
    <xf numFmtId="165" fontId="2" fillId="0" borderId="1" xfId="0" applyNumberFormat="1" applyFont="1" applyBorder="1"/>
    <xf numFmtId="3" fontId="6" fillId="0" borderId="0" xfId="0" applyNumberFormat="1" applyFont="1"/>
    <xf numFmtId="165" fontId="2" fillId="0" borderId="1" xfId="0" applyNumberFormat="1" applyFont="1" applyBorder="1" applyAlignment="1">
      <alignment horizontal="left"/>
    </xf>
    <xf numFmtId="164" fontId="2" fillId="2" borderId="1" xfId="0" applyNumberFormat="1" applyFont="1" applyFill="1" applyBorder="1"/>
    <xf numFmtId="0" fontId="13" fillId="0" borderId="1" xfId="0" applyFont="1" applyBorder="1"/>
    <xf numFmtId="0" fontId="7" fillId="0" borderId="0" xfId="0" applyFont="1"/>
    <xf numFmtId="0" fontId="13" fillId="2" borderId="1" xfId="0" applyFont="1" applyFill="1" applyBorder="1"/>
    <xf numFmtId="15" fontId="11" fillId="2" borderId="1" xfId="0" applyNumberFormat="1" applyFont="1" applyFill="1" applyBorder="1" applyAlignment="1">
      <alignment horizontal="center"/>
    </xf>
    <xf numFmtId="0" fontId="11" fillId="2" borderId="1" xfId="0" applyFont="1" applyFill="1" applyBorder="1"/>
    <xf numFmtId="15" fontId="11" fillId="0" borderId="0" xfId="0" applyNumberFormat="1" applyFont="1" applyBorder="1"/>
    <xf numFmtId="3" fontId="11" fillId="2" borderId="1" xfId="0" applyNumberFormat="1" applyFont="1" applyFill="1" applyBorder="1" applyAlignment="1">
      <alignment horizontal="center"/>
    </xf>
    <xf numFmtId="167" fontId="6" fillId="0" borderId="0" xfId="0" applyNumberFormat="1" applyFont="1" applyAlignment="1" applyProtection="1">
      <alignment horizontal="center"/>
    </xf>
    <xf numFmtId="0" fontId="11" fillId="2" borderId="1" xfId="0" applyFont="1" applyFill="1" applyBorder="1" applyAlignment="1">
      <alignment horizontal="center"/>
    </xf>
    <xf numFmtId="3" fontId="6" fillId="0" borderId="1" xfId="0" applyNumberFormat="1" applyFont="1" applyBorder="1" applyAlignment="1">
      <alignment horizontal="center"/>
    </xf>
    <xf numFmtId="3" fontId="2" fillId="2" borderId="1" xfId="0" applyNumberFormat="1" applyFont="1" applyFill="1" applyBorder="1" applyAlignment="1">
      <alignment horizontal="center"/>
    </xf>
    <xf numFmtId="0" fontId="13" fillId="2" borderId="1" xfId="0" applyFont="1" applyFill="1" applyBorder="1" applyAlignment="1">
      <alignment horizontal="right"/>
    </xf>
    <xf numFmtId="0" fontId="6" fillId="0" borderId="0" xfId="0" applyFont="1" applyBorder="1"/>
    <xf numFmtId="15" fontId="11" fillId="0" borderId="0" xfId="0" applyNumberFormat="1" applyFont="1" applyBorder="1" applyAlignment="1">
      <alignment horizontal="center"/>
    </xf>
    <xf numFmtId="164" fontId="11" fillId="2" borderId="2" xfId="0" applyNumberFormat="1" applyFont="1" applyFill="1" applyBorder="1" applyAlignment="1">
      <alignment horizontal="center"/>
    </xf>
    <xf numFmtId="2" fontId="6" fillId="0" borderId="0" xfId="0" applyNumberFormat="1" applyFont="1"/>
    <xf numFmtId="0" fontId="7" fillId="0" borderId="3" xfId="0" applyFont="1" applyBorder="1"/>
    <xf numFmtId="0" fontId="6" fillId="0" borderId="3" xfId="0" applyFont="1" applyBorder="1"/>
    <xf numFmtId="3" fontId="11" fillId="0" borderId="3" xfId="0" applyNumberFormat="1" applyFont="1" applyFill="1" applyBorder="1" applyAlignment="1">
      <alignment horizontal="center"/>
    </xf>
    <xf numFmtId="0" fontId="13" fillId="2" borderId="1" xfId="0" applyFont="1" applyFill="1" applyBorder="1" applyAlignment="1">
      <alignment wrapText="1"/>
    </xf>
    <xf numFmtId="15" fontId="11" fillId="2" borderId="1" xfId="0" applyNumberFormat="1" applyFont="1" applyFill="1" applyBorder="1"/>
    <xf numFmtId="164" fontId="11" fillId="0" borderId="1" xfId="0" applyNumberFormat="1" applyFont="1" applyBorder="1" applyAlignment="1">
      <alignment horizontal="center"/>
    </xf>
    <xf numFmtId="164" fontId="6" fillId="0" borderId="0" xfId="0" applyNumberFormat="1" applyFont="1" applyBorder="1" applyAlignment="1">
      <alignment horizontal="center"/>
    </xf>
    <xf numFmtId="164" fontId="6" fillId="0" borderId="0" xfId="0" applyNumberFormat="1" applyFont="1" applyAlignment="1">
      <alignment horizontal="center"/>
    </xf>
    <xf numFmtId="164" fontId="11" fillId="0" borderId="4" xfId="0" applyNumberFormat="1" applyFont="1" applyBorder="1" applyAlignment="1">
      <alignment horizontal="center"/>
    </xf>
    <xf numFmtId="0" fontId="0" fillId="2" borderId="0" xfId="0" applyFill="1"/>
    <xf numFmtId="3" fontId="0" fillId="0" borderId="0" xfId="0" applyNumberFormat="1"/>
    <xf numFmtId="2" fontId="0" fillId="2" borderId="0" xfId="0" applyNumberFormat="1" applyFill="1"/>
    <xf numFmtId="0" fontId="14" fillId="0" borderId="0" xfId="0" applyFont="1"/>
    <xf numFmtId="0" fontId="4" fillId="2" borderId="0" xfId="0" applyFont="1" applyFill="1"/>
    <xf numFmtId="165" fontId="2" fillId="2" borderId="1" xfId="0" applyNumberFormat="1" applyFont="1" applyFill="1" applyBorder="1"/>
    <xf numFmtId="0" fontId="2" fillId="2" borderId="1" xfId="0" applyFont="1" applyFill="1" applyBorder="1"/>
    <xf numFmtId="164" fontId="2" fillId="0" borderId="1" xfId="0" applyNumberFormat="1" applyFont="1" applyBorder="1" applyAlignment="1">
      <alignment horizontal="center"/>
    </xf>
    <xf numFmtId="164" fontId="2" fillId="2" borderId="1" xfId="0" applyNumberFormat="1" applyFont="1" applyFill="1" applyBorder="1" applyAlignment="1">
      <alignment horizontal="center"/>
    </xf>
    <xf numFmtId="1" fontId="0" fillId="2" borderId="0" xfId="0" applyNumberFormat="1" applyFill="1" applyAlignment="1">
      <alignment horizontal="center"/>
    </xf>
    <xf numFmtId="0" fontId="0" fillId="0" borderId="0" xfId="0" applyAlignment="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6" fillId="2" borderId="1" xfId="0" applyFont="1" applyFill="1" applyBorder="1" applyAlignment="1">
      <alignment wrapText="1"/>
    </xf>
    <xf numFmtId="164" fontId="0" fillId="0" borderId="1" xfId="0" applyNumberFormat="1" applyBorder="1"/>
    <xf numFmtId="0" fontId="2" fillId="2" borderId="0" xfId="0" applyFont="1" applyFill="1"/>
    <xf numFmtId="164" fontId="0" fillId="0" borderId="0" xfId="0" applyNumberFormat="1" applyAlignment="1"/>
    <xf numFmtId="0" fontId="0" fillId="0" borderId="1" xfId="0" applyBorder="1"/>
    <xf numFmtId="0" fontId="0" fillId="0" borderId="1" xfId="0" applyBorder="1" applyAlignment="1">
      <alignment horizontal="center"/>
    </xf>
    <xf numFmtId="0" fontId="4" fillId="2" borderId="1" xfId="0" applyFont="1" applyFill="1" applyBorder="1"/>
    <xf numFmtId="0" fontId="4" fillId="2" borderId="1" xfId="0" applyFont="1" applyFill="1" applyBorder="1" applyAlignment="1">
      <alignment horizontal="center"/>
    </xf>
    <xf numFmtId="164" fontId="0" fillId="0" borderId="1" xfId="0" applyNumberFormat="1" applyBorder="1" applyAlignment="1">
      <alignment horizontal="center"/>
    </xf>
    <xf numFmtId="0" fontId="0" fillId="0" borderId="0" xfId="0" applyFill="1" applyBorder="1"/>
    <xf numFmtId="3" fontId="0" fillId="0" borderId="1" xfId="0" applyNumberFormat="1" applyBorder="1"/>
    <xf numFmtId="166" fontId="2" fillId="0" borderId="0" xfId="0" applyNumberFormat="1" applyFont="1" applyBorder="1" applyProtection="1"/>
    <xf numFmtId="0" fontId="0" fillId="0" borderId="0" xfId="0" applyBorder="1"/>
    <xf numFmtId="0" fontId="0" fillId="0" borderId="0" xfId="0" applyAlignment="1">
      <alignment horizontal="center"/>
    </xf>
    <xf numFmtId="0" fontId="2" fillId="0" borderId="1" xfId="0" applyFont="1" applyBorder="1"/>
    <xf numFmtId="1" fontId="2" fillId="0" borderId="1" xfId="0" applyNumberFormat="1" applyFont="1" applyBorder="1" applyAlignment="1">
      <alignment horizontal="center"/>
    </xf>
    <xf numFmtId="164" fontId="17" fillId="0" borderId="1" xfId="0" applyNumberFormat="1" applyFont="1" applyBorder="1" applyAlignment="1">
      <alignment horizontal="center"/>
    </xf>
    <xf numFmtId="1" fontId="2" fillId="2" borderId="7" xfId="0" applyNumberFormat="1" applyFont="1" applyFill="1" applyBorder="1"/>
    <xf numFmtId="169" fontId="2" fillId="0" borderId="0" xfId="0" applyNumberFormat="1" applyFont="1"/>
    <xf numFmtId="2" fontId="2" fillId="2" borderId="5" xfId="0" applyNumberFormat="1" applyFont="1" applyFill="1" applyBorder="1" applyAlignment="1">
      <alignment horizontal="center"/>
    </xf>
    <xf numFmtId="2" fontId="2" fillId="2" borderId="1" xfId="0" applyNumberFormat="1" applyFont="1" applyFill="1" applyBorder="1" applyAlignment="1">
      <alignment horizontal="center"/>
    </xf>
    <xf numFmtId="167" fontId="0" fillId="0" borderId="1" xfId="0" applyNumberFormat="1" applyFill="1" applyBorder="1" applyAlignment="1">
      <alignment horizontal="right"/>
    </xf>
    <xf numFmtId="3" fontId="2" fillId="0" borderId="1" xfId="0" applyNumberFormat="1" applyFont="1" applyFill="1" applyBorder="1" applyAlignment="1">
      <alignment horizontal="center"/>
    </xf>
    <xf numFmtId="1" fontId="11" fillId="0" borderId="2" xfId="0" applyNumberFormat="1" applyFont="1" applyBorder="1" applyAlignment="1">
      <alignment horizontal="center"/>
    </xf>
    <xf numFmtId="1" fontId="11" fillId="0" borderId="1" xfId="0" applyNumberFormat="1" applyFont="1" applyBorder="1" applyAlignment="1">
      <alignment horizontal="center"/>
    </xf>
    <xf numFmtId="0" fontId="21" fillId="0" borderId="0" xfId="0" applyFont="1" applyBorder="1" applyProtection="1"/>
    <xf numFmtId="0" fontId="2" fillId="6" borderId="1" xfId="0" applyFont="1" applyFill="1" applyBorder="1" applyAlignment="1">
      <alignment horizontal="right"/>
    </xf>
    <xf numFmtId="0" fontId="11" fillId="6" borderId="9" xfId="0" applyFont="1" applyFill="1" applyBorder="1" applyAlignment="1">
      <alignment horizontal="center"/>
    </xf>
    <xf numFmtId="0" fontId="11" fillId="6" borderId="1" xfId="0" applyFont="1" applyFill="1" applyBorder="1" applyAlignment="1">
      <alignment horizontal="center" wrapText="1"/>
    </xf>
    <xf numFmtId="0" fontId="2" fillId="6" borderId="1" xfId="0" applyFont="1" applyFill="1" applyBorder="1" applyAlignment="1">
      <alignment horizontal="center"/>
    </xf>
    <xf numFmtId="0" fontId="2" fillId="0" borderId="7" xfId="0" applyFont="1" applyFill="1" applyBorder="1"/>
    <xf numFmtId="0" fontId="2" fillId="2" borderId="7" xfId="0" applyFont="1" applyFill="1" applyBorder="1"/>
    <xf numFmtId="165" fontId="0" fillId="2" borderId="1" xfId="0" applyNumberFormat="1" applyFill="1" applyBorder="1"/>
    <xf numFmtId="165" fontId="0" fillId="2" borderId="5" xfId="0" applyNumberFormat="1" applyFill="1" applyBorder="1"/>
    <xf numFmtId="15" fontId="2" fillId="7" borderId="0" xfId="0" applyNumberFormat="1" applyFont="1" applyFill="1"/>
    <xf numFmtId="1" fontId="0" fillId="0" borderId="1" xfId="0" applyNumberFormat="1" applyBorder="1" applyAlignment="1">
      <alignment horizontal="center"/>
    </xf>
    <xf numFmtId="15" fontId="2" fillId="6" borderId="9" xfId="0" applyNumberFormat="1" applyFont="1" applyFill="1" applyBorder="1"/>
    <xf numFmtId="15" fontId="2" fillId="6" borderId="1" xfId="0" applyNumberFormat="1" applyFont="1" applyFill="1" applyBorder="1"/>
    <xf numFmtId="15" fontId="2" fillId="6" borderId="5" xfId="0" applyNumberFormat="1" applyFont="1" applyFill="1" applyBorder="1" applyAlignment="1">
      <alignment wrapText="1"/>
    </xf>
    <xf numFmtId="2" fontId="2" fillId="6" borderId="1" xfId="0" applyNumberFormat="1" applyFont="1" applyFill="1" applyBorder="1" applyAlignment="1">
      <alignment wrapText="1"/>
    </xf>
    <xf numFmtId="164" fontId="2" fillId="0" borderId="1" xfId="0" applyNumberFormat="1" applyFont="1" applyFill="1" applyBorder="1"/>
    <xf numFmtId="15" fontId="2" fillId="6" borderId="9" xfId="0" applyNumberFormat="1" applyFont="1" applyFill="1" applyBorder="1" applyAlignment="1">
      <alignment wrapText="1"/>
    </xf>
    <xf numFmtId="15" fontId="2" fillId="6" borderId="7" xfId="0" applyNumberFormat="1" applyFont="1" applyFill="1" applyBorder="1"/>
    <xf numFmtId="1" fontId="2" fillId="6" borderId="7" xfId="0" applyNumberFormat="1" applyFont="1" applyFill="1" applyBorder="1"/>
    <xf numFmtId="15" fontId="2" fillId="6" borderId="12" xfId="0" applyNumberFormat="1" applyFont="1" applyFill="1" applyBorder="1" applyAlignment="1">
      <alignment wrapText="1"/>
    </xf>
    <xf numFmtId="164" fontId="2" fillId="6" borderId="7" xfId="0" applyNumberFormat="1" applyFont="1" applyFill="1" applyBorder="1"/>
    <xf numFmtId="0" fontId="2" fillId="0" borderId="1" xfId="0" applyFont="1" applyBorder="1" applyAlignment="1">
      <alignment horizontal="center"/>
    </xf>
    <xf numFmtId="1" fontId="2" fillId="0" borderId="1" xfId="0" applyNumberFormat="1" applyFont="1" applyFill="1" applyBorder="1"/>
    <xf numFmtId="0" fontId="0" fillId="9" borderId="0" xfId="0" applyFill="1"/>
    <xf numFmtId="0" fontId="3" fillId="0" borderId="1" xfId="0" applyFont="1" applyBorder="1"/>
    <xf numFmtId="0" fontId="2" fillId="0" borderId="0" xfId="0" applyFont="1" applyFill="1" applyBorder="1"/>
    <xf numFmtId="0" fontId="0" fillId="0" borderId="13" xfId="0" applyFill="1" applyBorder="1" applyAlignment="1">
      <alignment horizontal="center"/>
    </xf>
    <xf numFmtId="0" fontId="0" fillId="0" borderId="13" xfId="0" applyBorder="1"/>
    <xf numFmtId="0" fontId="0" fillId="0" borderId="15" xfId="0" applyBorder="1"/>
    <xf numFmtId="0" fontId="0" fillId="8" borderId="1" xfId="0" applyFill="1" applyBorder="1"/>
    <xf numFmtId="0" fontId="17" fillId="0" borderId="0" xfId="0" applyFont="1"/>
    <xf numFmtId="0" fontId="9" fillId="0" borderId="0" xfId="0" applyFont="1"/>
    <xf numFmtId="0" fontId="9" fillId="0" borderId="3" xfId="0" applyFont="1" applyBorder="1"/>
    <xf numFmtId="0" fontId="9" fillId="0" borderId="1" xfId="0" applyFont="1" applyBorder="1"/>
    <xf numFmtId="2" fontId="9" fillId="0" borderId="1" xfId="0" applyNumberFormat="1" applyFont="1" applyBorder="1"/>
    <xf numFmtId="0" fontId="9" fillId="0" borderId="1" xfId="0" applyFont="1" applyFill="1" applyBorder="1"/>
    <xf numFmtId="0" fontId="11" fillId="0" borderId="1" xfId="0" applyFont="1" applyBorder="1"/>
    <xf numFmtId="0" fontId="11" fillId="0" borderId="1" xfId="0" applyFont="1" applyBorder="1" applyAlignment="1">
      <alignment wrapText="1"/>
    </xf>
    <xf numFmtId="20" fontId="0" fillId="0" borderId="1" xfId="0" applyNumberFormat="1" applyBorder="1"/>
    <xf numFmtId="0" fontId="3" fillId="0" borderId="15" xfId="0" applyFont="1" applyBorder="1"/>
    <xf numFmtId="15" fontId="2" fillId="10" borderId="1" xfId="0" applyNumberFormat="1" applyFont="1" applyFill="1" applyBorder="1"/>
    <xf numFmtId="14" fontId="2" fillId="10" borderId="5" xfId="0" applyNumberFormat="1" applyFont="1" applyFill="1" applyBorder="1" applyAlignment="1">
      <alignment wrapText="1"/>
    </xf>
    <xf numFmtId="14" fontId="2" fillId="10" borderId="1" xfId="0" applyNumberFormat="1" applyFont="1" applyFill="1" applyBorder="1" applyAlignment="1">
      <alignment wrapText="1"/>
    </xf>
    <xf numFmtId="1" fontId="2" fillId="10" borderId="2" xfId="0" applyNumberFormat="1" applyFont="1" applyFill="1" applyBorder="1"/>
    <xf numFmtId="1" fontId="2" fillId="10" borderId="1" xfId="0" applyNumberFormat="1" applyFont="1" applyFill="1" applyBorder="1"/>
    <xf numFmtId="15" fontId="2" fillId="10" borderId="0" xfId="0" applyNumberFormat="1" applyFont="1" applyFill="1"/>
    <xf numFmtId="15" fontId="2" fillId="10" borderId="12" xfId="0" applyNumberFormat="1" applyFont="1" applyFill="1" applyBorder="1" applyAlignment="1">
      <alignment wrapText="1"/>
    </xf>
    <xf numFmtId="15" fontId="2" fillId="10" borderId="9" xfId="0" applyNumberFormat="1" applyFont="1" applyFill="1" applyBorder="1" applyAlignment="1">
      <alignment wrapText="1"/>
    </xf>
    <xf numFmtId="164" fontId="17" fillId="0" borderId="0" xfId="0" applyNumberFormat="1" applyFont="1"/>
    <xf numFmtId="164" fontId="17" fillId="0" borderId="1" xfId="0" applyNumberFormat="1" applyFont="1" applyBorder="1" applyAlignment="1" applyProtection="1">
      <alignment horizontal="center"/>
    </xf>
    <xf numFmtId="14" fontId="0" fillId="0" borderId="0" xfId="0" applyNumberFormat="1"/>
    <xf numFmtId="20" fontId="0" fillId="0" borderId="0" xfId="0" applyNumberFormat="1"/>
    <xf numFmtId="21" fontId="0" fillId="0" borderId="0" xfId="0" applyNumberFormat="1"/>
    <xf numFmtId="164" fontId="2" fillId="10" borderId="18" xfId="0" applyNumberFormat="1" applyFont="1" applyFill="1" applyBorder="1"/>
    <xf numFmtId="0" fontId="11" fillId="9" borderId="1" xfId="0" applyFont="1" applyFill="1" applyBorder="1"/>
    <xf numFmtId="0" fontId="9" fillId="9" borderId="1" xfId="0" applyFont="1" applyFill="1" applyBorder="1"/>
    <xf numFmtId="0" fontId="11" fillId="9" borderId="1" xfId="0" applyFont="1" applyFill="1" applyBorder="1" applyAlignment="1">
      <alignment wrapText="1"/>
    </xf>
    <xf numFmtId="0" fontId="3" fillId="11" borderId="3" xfId="0" applyFont="1" applyFill="1" applyBorder="1"/>
    <xf numFmtId="0" fontId="3" fillId="11" borderId="17" xfId="0" applyFont="1" applyFill="1" applyBorder="1" applyAlignment="1">
      <alignment horizontal="left" vertical="top" wrapText="1"/>
    </xf>
    <xf numFmtId="15" fontId="23" fillId="11" borderId="0" xfId="0" applyNumberFormat="1" applyFont="1" applyFill="1"/>
    <xf numFmtId="0" fontId="3" fillId="11" borderId="16" xfId="0" applyFont="1" applyFill="1" applyBorder="1" applyAlignment="1">
      <alignment horizontal="left" vertical="top" wrapText="1"/>
    </xf>
    <xf numFmtId="0" fontId="9" fillId="0" borderId="19" xfId="0" applyFont="1" applyBorder="1" applyAlignment="1">
      <alignment vertical="top" wrapText="1"/>
    </xf>
    <xf numFmtId="0" fontId="23" fillId="0" borderId="0" xfId="0" applyFont="1"/>
    <xf numFmtId="0" fontId="23" fillId="11" borderId="0" xfId="0" applyFont="1" applyFill="1"/>
    <xf numFmtId="171" fontId="2" fillId="0" borderId="0" xfId="0" applyNumberFormat="1" applyFont="1"/>
    <xf numFmtId="49" fontId="2" fillId="0" borderId="0" xfId="0" applyNumberFormat="1" applyFont="1"/>
    <xf numFmtId="171" fontId="1" fillId="0" borderId="0" xfId="0" applyNumberFormat="1" applyFont="1" applyAlignment="1">
      <alignment horizontal="right"/>
    </xf>
    <xf numFmtId="0" fontId="1" fillId="0" borderId="0" xfId="0" applyNumberFormat="1" applyFont="1" applyAlignment="1">
      <alignment horizontal="right"/>
    </xf>
    <xf numFmtId="0" fontId="1" fillId="0" borderId="0" xfId="0" applyNumberFormat="1" applyFont="1" applyAlignment="1">
      <alignment horizontal="left"/>
    </xf>
    <xf numFmtId="0" fontId="1" fillId="0" borderId="0" xfId="0" applyNumberFormat="1" applyFont="1"/>
    <xf numFmtId="0" fontId="24" fillId="0" borderId="0" xfId="0" applyFont="1"/>
    <xf numFmtId="1" fontId="1" fillId="0" borderId="0" xfId="0" applyNumberFormat="1" applyFont="1"/>
    <xf numFmtId="171" fontId="1" fillId="0" borderId="0" xfId="0" applyNumberFormat="1" applyFont="1"/>
    <xf numFmtId="0" fontId="0" fillId="0" borderId="0" xfId="0" applyFill="1" applyBorder="1" applyAlignment="1">
      <alignment horizontal="left"/>
    </xf>
    <xf numFmtId="0" fontId="25" fillId="0" borderId="0" xfId="3" applyNumberFormat="1" applyFont="1" applyFill="1" applyBorder="1" applyAlignment="1">
      <alignment horizontal="right"/>
    </xf>
    <xf numFmtId="14" fontId="3" fillId="0" borderId="0" xfId="0" applyNumberFormat="1" applyFont="1" applyFill="1" applyBorder="1" applyAlignment="1">
      <alignment horizontal="right"/>
    </xf>
    <xf numFmtId="0" fontId="25" fillId="0" borderId="0" xfId="3" applyFont="1" applyFill="1" applyBorder="1" applyAlignment="1">
      <alignment horizontal="left"/>
    </xf>
    <xf numFmtId="0" fontId="3" fillId="0" borderId="0" xfId="0" applyNumberFormat="1" applyFont="1" applyFill="1" applyBorder="1" applyAlignment="1">
      <alignment horizontal="left"/>
    </xf>
    <xf numFmtId="172" fontId="3" fillId="0" borderId="0" xfId="0" applyNumberFormat="1" applyFont="1" applyFill="1" applyBorder="1" applyAlignment="1">
      <alignment horizontal="left"/>
    </xf>
    <xf numFmtId="172" fontId="24"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25" fillId="0" borderId="0" xfId="4" applyFont="1" applyFill="1" applyBorder="1" applyAlignment="1">
      <alignment horizontal="left"/>
    </xf>
    <xf numFmtId="0" fontId="24" fillId="0" borderId="0" xfId="0" applyNumberFormat="1" applyFont="1" applyFill="1" applyBorder="1" applyAlignment="1">
      <alignment horizontal="left"/>
    </xf>
    <xf numFmtId="0" fontId="0" fillId="11" borderId="1" xfId="0" applyFill="1" applyBorder="1"/>
    <xf numFmtId="0" fontId="1" fillId="0" borderId="1" xfId="0" applyFont="1" applyBorder="1"/>
    <xf numFmtId="0" fontId="25" fillId="0" borderId="1" xfId="3" applyFont="1" applyFill="1" applyBorder="1" applyAlignment="1">
      <alignment horizontal="left"/>
    </xf>
    <xf numFmtId="0" fontId="3" fillId="0" borderId="1" xfId="0" applyNumberFormat="1" applyFont="1" applyFill="1" applyBorder="1" applyAlignment="1">
      <alignment horizontal="left"/>
    </xf>
    <xf numFmtId="0" fontId="1" fillId="0" borderId="1" xfId="0" applyNumberFormat="1" applyFont="1" applyBorder="1" applyAlignment="1">
      <alignment horizontal="center"/>
    </xf>
    <xf numFmtId="0" fontId="3" fillId="0" borderId="1" xfId="0" applyNumberFormat="1" applyFont="1" applyFill="1" applyBorder="1" applyAlignment="1">
      <alignment horizontal="center"/>
    </xf>
    <xf numFmtId="0" fontId="25" fillId="0" borderId="0" xfId="3" applyNumberFormat="1" applyFont="1" applyFill="1" applyBorder="1" applyAlignment="1">
      <alignment horizontal="left"/>
    </xf>
    <xf numFmtId="164" fontId="1" fillId="0" borderId="0" xfId="0" applyNumberFormat="1" applyFont="1"/>
    <xf numFmtId="164" fontId="1" fillId="0" borderId="0" xfId="0" applyNumberFormat="1" applyFont="1" applyAlignment="1">
      <alignment horizontal="left"/>
    </xf>
    <xf numFmtId="14" fontId="1" fillId="0" borderId="0" xfId="0" applyNumberFormat="1" applyFont="1"/>
    <xf numFmtId="0" fontId="2" fillId="0" borderId="0" xfId="0" applyFont="1" applyFill="1" applyBorder="1" applyAlignment="1">
      <alignment horizontal="center"/>
    </xf>
    <xf numFmtId="0" fontId="4" fillId="0" borderId="3" xfId="0" applyFont="1" applyBorder="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20" fontId="9" fillId="0" borderId="15" xfId="0" applyNumberFormat="1" applyFont="1" applyBorder="1" applyAlignment="1">
      <alignment horizontal="left"/>
    </xf>
    <xf numFmtId="0" fontId="22" fillId="0" borderId="3" xfId="0" applyFont="1" applyBorder="1" applyAlignment="1">
      <alignment horizontal="left"/>
    </xf>
    <xf numFmtId="0" fontId="9" fillId="0" borderId="16" xfId="0" applyFont="1" applyBorder="1" applyAlignment="1">
      <alignment horizontal="left" vertical="top" wrapText="1"/>
    </xf>
    <xf numFmtId="0" fontId="22" fillId="0" borderId="15" xfId="0" applyFont="1" applyBorder="1" applyAlignment="1">
      <alignment horizontal="left"/>
    </xf>
    <xf numFmtId="0" fontId="0" fillId="0" borderId="1" xfId="0" applyFill="1" applyBorder="1"/>
    <xf numFmtId="1" fontId="0" fillId="0" borderId="0" xfId="0" applyNumberFormat="1" applyFont="1" applyAlignment="1">
      <alignment horizontal="right"/>
    </xf>
    <xf numFmtId="0" fontId="2" fillId="0" borderId="0" xfId="0" applyFont="1" applyBorder="1" applyAlignment="1">
      <alignment horizontal="center"/>
    </xf>
    <xf numFmtId="0" fontId="17" fillId="9" borderId="1" xfId="0" applyFont="1" applyFill="1" applyBorder="1"/>
    <xf numFmtId="0" fontId="2" fillId="9" borderId="1" xfId="0" applyFont="1" applyFill="1" applyBorder="1"/>
    <xf numFmtId="20" fontId="9" fillId="0" borderId="3" xfId="0" applyNumberFormat="1" applyFont="1" applyBorder="1" applyAlignment="1">
      <alignment horizontal="left"/>
    </xf>
    <xf numFmtId="0" fontId="9" fillId="0" borderId="3" xfId="0" applyFont="1" applyBorder="1" applyAlignment="1">
      <alignment horizontal="left"/>
    </xf>
    <xf numFmtId="0" fontId="22" fillId="0" borderId="3" xfId="0" applyFont="1" applyBorder="1" applyAlignment="1">
      <alignment horizontal="left"/>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2" fillId="0" borderId="1" xfId="0" applyFont="1" applyFill="1" applyBorder="1" applyAlignment="1">
      <alignment horizontal="center"/>
    </xf>
    <xf numFmtId="0" fontId="3" fillId="0" borderId="13" xfId="0" applyFont="1" applyBorder="1"/>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0" fillId="0" borderId="11" xfId="0" applyFill="1" applyBorder="1"/>
    <xf numFmtId="0" fontId="4" fillId="0" borderId="3" xfId="0" applyFont="1" applyBorder="1" applyAlignment="1">
      <alignment horizontal="left"/>
    </xf>
    <xf numFmtId="0" fontId="9" fillId="0" borderId="3" xfId="0" applyFont="1" applyBorder="1" applyAlignment="1">
      <alignment horizontal="left"/>
    </xf>
    <xf numFmtId="20" fontId="9" fillId="0" borderId="15" xfId="0" applyNumberFormat="1" applyFont="1" applyBorder="1" applyAlignment="1">
      <alignment horizontal="left"/>
    </xf>
    <xf numFmtId="0" fontId="22" fillId="0" borderId="3" xfId="0" applyFont="1" applyBorder="1" applyAlignment="1">
      <alignment horizontal="left"/>
    </xf>
    <xf numFmtId="0" fontId="22" fillId="0" borderId="15" xfId="0" applyFont="1" applyBorder="1" applyAlignment="1">
      <alignment horizontal="left"/>
    </xf>
    <xf numFmtId="0" fontId="2" fillId="0" borderId="1" xfId="0" applyFont="1" applyFill="1" applyBorder="1" applyAlignment="1">
      <alignment horizontal="center"/>
    </xf>
    <xf numFmtId="0" fontId="1" fillId="0" borderId="13" xfId="0" applyFont="1" applyBorder="1"/>
    <xf numFmtId="0" fontId="1" fillId="0" borderId="15" xfId="0" applyFont="1" applyBorder="1"/>
    <xf numFmtId="0" fontId="9" fillId="0" borderId="11" xfId="0" applyFont="1" applyFill="1" applyBorder="1"/>
    <xf numFmtId="9" fontId="9" fillId="0" borderId="16" xfId="0" applyNumberFormat="1" applyFont="1" applyBorder="1" applyAlignment="1">
      <alignment horizontal="left" vertical="top" wrapText="1"/>
    </xf>
    <xf numFmtId="0" fontId="26" fillId="0" borderId="0" xfId="0" applyFont="1"/>
    <xf numFmtId="171" fontId="26" fillId="0" borderId="0" xfId="0" applyNumberFormat="1" applyFont="1" applyAlignment="1">
      <alignment horizontal="right"/>
    </xf>
    <xf numFmtId="0" fontId="27" fillId="0" borderId="0" xfId="3" applyNumberFormat="1" applyFont="1" applyFill="1" applyBorder="1" applyAlignment="1">
      <alignment horizontal="right"/>
    </xf>
    <xf numFmtId="164" fontId="26" fillId="0" borderId="0" xfId="0" applyNumberFormat="1" applyFont="1"/>
    <xf numFmtId="0" fontId="27" fillId="0" borderId="0" xfId="3" applyFont="1" applyFill="1" applyBorder="1" applyAlignment="1">
      <alignment horizontal="left"/>
    </xf>
    <xf numFmtId="0" fontId="27" fillId="0" borderId="0" xfId="4" applyFont="1" applyFill="1" applyBorder="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0" fontId="22" fillId="0" borderId="3" xfId="0" applyFont="1" applyBorder="1" applyAlignment="1">
      <alignment horizontal="left"/>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2" fillId="0" borderId="1" xfId="0" applyFont="1" applyFill="1" applyBorder="1" applyAlignment="1">
      <alignment horizontal="center"/>
    </xf>
    <xf numFmtId="9" fontId="9" fillId="0" borderId="19" xfId="0" applyNumberFormat="1" applyFont="1" applyBorder="1" applyAlignment="1">
      <alignment vertical="top" wrapText="1"/>
    </xf>
    <xf numFmtId="20" fontId="9" fillId="0" borderId="3" xfId="0" applyNumberFormat="1" applyFont="1" applyBorder="1" applyAlignment="1">
      <alignment horizontal="left"/>
    </xf>
    <xf numFmtId="0" fontId="9" fillId="0" borderId="3" xfId="0" applyFont="1" applyBorder="1" applyAlignment="1">
      <alignment horizontal="left"/>
    </xf>
    <xf numFmtId="0" fontId="22" fillId="0" borderId="3" xfId="0" applyFont="1" applyBorder="1" applyAlignment="1">
      <alignment horizontal="left"/>
    </xf>
    <xf numFmtId="0" fontId="9" fillId="0" borderId="16" xfId="0" applyFont="1" applyBorder="1" applyAlignment="1">
      <alignment horizontal="left" vertical="top" wrapText="1"/>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2" fillId="0" borderId="1" xfId="0" applyFont="1" applyFill="1" applyBorder="1" applyAlignment="1">
      <alignment horizontal="center"/>
    </xf>
    <xf numFmtId="14" fontId="23" fillId="0" borderId="0" xfId="0" applyNumberFormat="1" applyFont="1"/>
    <xf numFmtId="20" fontId="1" fillId="0" borderId="1" xfId="0" applyNumberFormat="1" applyFont="1" applyBorder="1"/>
    <xf numFmtId="0" fontId="11" fillId="9" borderId="11" xfId="0" applyFont="1" applyFill="1" applyBorder="1"/>
    <xf numFmtId="0" fontId="4" fillId="0" borderId="3" xfId="0" applyFont="1" applyBorder="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20" fontId="9" fillId="0" borderId="15" xfId="0" applyNumberFormat="1" applyFont="1" applyBorder="1" applyAlignment="1">
      <alignment horizontal="left"/>
    </xf>
    <xf numFmtId="0" fontId="22" fillId="0" borderId="3" xfId="0" applyFont="1" applyBorder="1" applyAlignment="1">
      <alignment horizontal="left"/>
    </xf>
    <xf numFmtId="0" fontId="9" fillId="0" borderId="16" xfId="0" applyFont="1" applyBorder="1" applyAlignment="1">
      <alignment horizontal="left" vertical="top" wrapText="1"/>
    </xf>
    <xf numFmtId="0" fontId="22" fillId="0" borderId="15" xfId="0" applyFont="1" applyBorder="1" applyAlignment="1">
      <alignment horizontal="left"/>
    </xf>
    <xf numFmtId="0" fontId="2" fillId="0" borderId="1" xfId="0" applyFont="1" applyFill="1" applyBorder="1" applyAlignment="1">
      <alignment horizontal="center"/>
    </xf>
    <xf numFmtId="20" fontId="9" fillId="0" borderId="3" xfId="0" applyNumberFormat="1" applyFont="1" applyBorder="1" applyAlignment="1">
      <alignment horizontal="left"/>
    </xf>
    <xf numFmtId="0" fontId="9" fillId="0" borderId="3" xfId="0" applyFont="1" applyBorder="1" applyAlignment="1">
      <alignment horizontal="left"/>
    </xf>
    <xf numFmtId="0" fontId="22" fillId="0" borderId="3" xfId="0" applyFont="1" applyBorder="1" applyAlignment="1">
      <alignment horizontal="left"/>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2" fillId="0" borderId="1" xfId="0" applyFont="1" applyFill="1" applyBorder="1" applyAlignment="1">
      <alignment horizontal="center"/>
    </xf>
    <xf numFmtId="0" fontId="1" fillId="0" borderId="0" xfId="0" applyFont="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0" fontId="22" fillId="0" borderId="3" xfId="0" applyFont="1" applyBorder="1" applyAlignment="1">
      <alignment horizontal="left"/>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2" fillId="0" borderId="1" xfId="0" applyFont="1" applyFill="1" applyBorder="1" applyAlignment="1">
      <alignment horizontal="center"/>
    </xf>
    <xf numFmtId="0" fontId="0" fillId="0" borderId="2" xfId="0" applyFill="1" applyBorder="1"/>
    <xf numFmtId="20" fontId="9" fillId="0" borderId="3" xfId="0" applyNumberFormat="1" applyFont="1" applyBorder="1" applyAlignment="1">
      <alignment horizontal="left"/>
    </xf>
    <xf numFmtId="0" fontId="22" fillId="0" borderId="3" xfId="0" applyFont="1" applyBorder="1" applyAlignment="1">
      <alignment horizontal="left"/>
    </xf>
    <xf numFmtId="0" fontId="4" fillId="0" borderId="3" xfId="0" applyFont="1" applyBorder="1" applyAlignment="1">
      <alignment horizontal="left"/>
    </xf>
    <xf numFmtId="0" fontId="22" fillId="0" borderId="15" xfId="0" applyFont="1" applyBorder="1" applyAlignment="1">
      <alignment horizontal="left"/>
    </xf>
    <xf numFmtId="20" fontId="9" fillId="0" borderId="15" xfId="0" applyNumberFormat="1" applyFont="1" applyBorder="1" applyAlignment="1">
      <alignment horizontal="left"/>
    </xf>
    <xf numFmtId="0" fontId="1" fillId="0" borderId="1" xfId="0" applyFont="1" applyBorder="1" applyAlignment="1">
      <alignment horizontal="center"/>
    </xf>
    <xf numFmtId="1" fontId="1" fillId="0" borderId="1" xfId="0" applyNumberFormat="1" applyFont="1" applyBorder="1" applyAlignment="1">
      <alignment horizontal="center"/>
    </xf>
    <xf numFmtId="0" fontId="28" fillId="0" borderId="1" xfId="0" applyFont="1" applyBorder="1" applyAlignment="1">
      <alignment horizontal="center"/>
    </xf>
    <xf numFmtId="0" fontId="25" fillId="0" borderId="1" xfId="3" applyFont="1" applyFill="1" applyBorder="1" applyAlignment="1">
      <alignment horizontal="center"/>
    </xf>
    <xf numFmtId="164" fontId="1" fillId="0" borderId="1" xfId="0" applyNumberFormat="1" applyFont="1" applyBorder="1" applyAlignment="1">
      <alignment horizontal="center"/>
    </xf>
    <xf numFmtId="0" fontId="1" fillId="0" borderId="1" xfId="0" applyFont="1" applyFill="1" applyBorder="1" applyAlignment="1">
      <alignment horizontal="center"/>
    </xf>
    <xf numFmtId="0" fontId="0" fillId="0" borderId="1" xfId="0" applyNumberFormat="1" applyBorder="1" applyAlignment="1">
      <alignment horizontal="center"/>
    </xf>
    <xf numFmtId="14" fontId="2" fillId="9" borderId="1" xfId="0" applyNumberFormat="1" applyFont="1" applyFill="1" applyBorder="1" applyAlignment="1">
      <alignment horizontal="left"/>
    </xf>
    <xf numFmtId="0" fontId="4" fillId="0" borderId="3" xfId="0" applyFont="1" applyBorder="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20" fontId="9" fillId="0" borderId="15" xfId="0" applyNumberFormat="1" applyFont="1" applyBorder="1" applyAlignment="1">
      <alignment horizontal="left"/>
    </xf>
    <xf numFmtId="0" fontId="22" fillId="0" borderId="3" xfId="0" applyFont="1" applyBorder="1" applyAlignment="1">
      <alignment horizontal="left"/>
    </xf>
    <xf numFmtId="0" fontId="22" fillId="0" borderId="15" xfId="0" applyFont="1" applyBorder="1" applyAlignment="1">
      <alignment horizontal="left"/>
    </xf>
    <xf numFmtId="0" fontId="2" fillId="0" borderId="1" xfId="0" applyFont="1" applyFill="1" applyBorder="1" applyAlignment="1">
      <alignment horizontal="center"/>
    </xf>
    <xf numFmtId="1" fontId="28" fillId="0" borderId="1" xfId="0" applyNumberFormat="1" applyFont="1" applyBorder="1" applyAlignment="1">
      <alignment horizontal="center"/>
    </xf>
    <xf numFmtId="164" fontId="28" fillId="0" borderId="1" xfId="0" applyNumberFormat="1" applyFont="1" applyBorder="1" applyAlignment="1">
      <alignment horizontal="center"/>
    </xf>
    <xf numFmtId="164" fontId="2" fillId="9" borderId="1" xfId="0" applyNumberFormat="1" applyFont="1" applyFill="1" applyBorder="1"/>
    <xf numFmtId="0" fontId="23" fillId="0" borderId="1" xfId="0" applyFont="1" applyBorder="1"/>
    <xf numFmtId="164" fontId="17" fillId="2" borderId="5" xfId="0" applyNumberFormat="1" applyFont="1" applyFill="1" applyBorder="1"/>
    <xf numFmtId="164" fontId="17" fillId="2" borderId="1" xfId="0" applyNumberFormat="1" applyFont="1" applyFill="1" applyBorder="1"/>
    <xf numFmtId="0" fontId="23" fillId="0" borderId="7" xfId="0" applyFont="1" applyBorder="1"/>
    <xf numFmtId="0" fontId="17" fillId="0" borderId="7" xfId="0" applyFont="1" applyFill="1" applyBorder="1"/>
    <xf numFmtId="0" fontId="23" fillId="0" borderId="1" xfId="0" applyFont="1" applyFill="1" applyBorder="1"/>
    <xf numFmtId="165" fontId="11" fillId="6" borderId="7" xfId="0" applyNumberFormat="1" applyFont="1" applyFill="1" applyBorder="1" applyAlignment="1">
      <alignment horizontal="left" vertical="top" wrapText="1"/>
    </xf>
    <xf numFmtId="164" fontId="11" fillId="6" borderId="7" xfId="0" applyNumberFormat="1" applyFont="1" applyFill="1" applyBorder="1" applyAlignment="1">
      <alignment horizontal="left" vertical="top" wrapText="1"/>
    </xf>
    <xf numFmtId="0" fontId="15" fillId="12" borderId="1" xfId="0" applyFont="1" applyFill="1" applyBorder="1"/>
    <xf numFmtId="0" fontId="16" fillId="12" borderId="1" xfId="0" applyFont="1" applyFill="1" applyBorder="1" applyAlignment="1">
      <alignment wrapText="1"/>
    </xf>
    <xf numFmtId="0" fontId="2" fillId="12" borderId="1" xfId="0" applyFont="1" applyFill="1" applyBorder="1"/>
    <xf numFmtId="0" fontId="16" fillId="12" borderId="1" xfId="0" applyFont="1" applyFill="1" applyBorder="1"/>
    <xf numFmtId="164" fontId="4" fillId="2" borderId="5" xfId="0" applyNumberFormat="1" applyFont="1" applyFill="1" applyBorder="1"/>
    <xf numFmtId="164" fontId="4" fillId="2" borderId="1" xfId="0" applyNumberFormat="1" applyFont="1" applyFill="1" applyBorder="1"/>
    <xf numFmtId="20" fontId="1" fillId="0" borderId="7" xfId="0" applyNumberFormat="1" applyFont="1" applyBorder="1" applyAlignment="1"/>
    <xf numFmtId="20" fontId="0" fillId="0" borderId="15" xfId="0" applyNumberFormat="1" applyBorder="1" applyAlignment="1"/>
    <xf numFmtId="20" fontId="0" fillId="0" borderId="5" xfId="0" applyNumberFormat="1" applyBorder="1" applyAlignment="1"/>
    <xf numFmtId="20" fontId="1" fillId="0" borderId="1" xfId="0" applyNumberFormat="1" applyFont="1" applyBorder="1" applyAlignment="1"/>
    <xf numFmtId="20" fontId="0" fillId="0" borderId="1" xfId="0" applyNumberFormat="1" applyBorder="1" applyAlignment="1"/>
    <xf numFmtId="164" fontId="23" fillId="0" borderId="1" xfId="0" applyNumberFormat="1" applyFont="1" applyBorder="1" applyAlignment="1">
      <alignment horizontal="center"/>
    </xf>
    <xf numFmtId="0" fontId="23" fillId="0" borderId="1" xfId="0" applyFont="1" applyBorder="1" applyAlignment="1">
      <alignment horizontal="center"/>
    </xf>
    <xf numFmtId="164" fontId="23" fillId="2" borderId="5" xfId="0" applyNumberFormat="1" applyFont="1" applyFill="1" applyBorder="1"/>
    <xf numFmtId="2" fontId="23" fillId="2" borderId="1" xfId="0" applyNumberFormat="1" applyFont="1" applyFill="1" applyBorder="1"/>
    <xf numFmtId="164" fontId="23" fillId="2" borderId="0" xfId="0" applyNumberFormat="1" applyFont="1" applyFill="1"/>
    <xf numFmtId="2" fontId="23" fillId="2" borderId="0" xfId="0" applyNumberFormat="1" applyFont="1" applyFill="1"/>
    <xf numFmtId="20" fontId="23" fillId="0" borderId="1" xfId="0" applyNumberFormat="1" applyFont="1" applyBorder="1" applyAlignment="1">
      <alignment horizontal="center"/>
    </xf>
    <xf numFmtId="20" fontId="23" fillId="0" borderId="15" xfId="0" applyNumberFormat="1" applyFont="1" applyBorder="1" applyAlignment="1">
      <alignment horizontal="center"/>
    </xf>
    <xf numFmtId="15" fontId="17" fillId="6" borderId="1" xfId="0" applyNumberFormat="1" applyFont="1" applyFill="1" applyBorder="1"/>
    <xf numFmtId="15" fontId="17" fillId="12" borderId="1" xfId="0" applyNumberFormat="1" applyFont="1" applyFill="1" applyBorder="1"/>
    <xf numFmtId="15" fontId="17" fillId="6" borderId="1" xfId="0" applyNumberFormat="1" applyFont="1" applyFill="1" applyBorder="1" applyAlignment="1">
      <alignment wrapText="1"/>
    </xf>
    <xf numFmtId="1" fontId="23" fillId="0" borderId="1" xfId="0" applyNumberFormat="1" applyFont="1" applyBorder="1" applyAlignment="1">
      <alignment horizontal="center"/>
    </xf>
    <xf numFmtId="15" fontId="4" fillId="12" borderId="1" xfId="0" applyNumberFormat="1" applyFont="1" applyFill="1" applyBorder="1"/>
    <xf numFmtId="164" fontId="4" fillId="6" borderId="1" xfId="0" applyNumberFormat="1" applyFont="1" applyFill="1" applyBorder="1" applyAlignment="1">
      <alignment horizontal="left" vertical="top" wrapText="1"/>
    </xf>
    <xf numFmtId="1" fontId="17" fillId="0" borderId="1" xfId="0" applyNumberFormat="1" applyFont="1" applyBorder="1" applyAlignment="1">
      <alignment horizontal="center"/>
    </xf>
    <xf numFmtId="1" fontId="23" fillId="0" borderId="0" xfId="0" applyNumberFormat="1" applyFont="1"/>
    <xf numFmtId="0" fontId="4" fillId="0" borderId="1" xfId="0" applyFont="1" applyBorder="1"/>
    <xf numFmtId="164" fontId="4" fillId="12" borderId="1" xfId="0" applyNumberFormat="1" applyFont="1" applyFill="1" applyBorder="1" applyAlignment="1">
      <alignment horizontal="center"/>
    </xf>
    <xf numFmtId="1" fontId="4" fillId="12" borderId="1" xfId="0" applyNumberFormat="1" applyFont="1" applyFill="1" applyBorder="1" applyAlignment="1">
      <alignment horizontal="center"/>
    </xf>
    <xf numFmtId="0" fontId="4" fillId="12" borderId="1" xfId="0" applyFont="1" applyFill="1" applyBorder="1" applyAlignment="1">
      <alignment horizontal="center"/>
    </xf>
    <xf numFmtId="164" fontId="17" fillId="12" borderId="2" xfId="0" applyNumberFormat="1" applyFont="1" applyFill="1" applyBorder="1"/>
    <xf numFmtId="165" fontId="17" fillId="12" borderId="2" xfId="0" applyNumberFormat="1" applyFont="1" applyFill="1" applyBorder="1" applyAlignment="1">
      <alignment horizontal="left" vertical="top" wrapText="1"/>
    </xf>
    <xf numFmtId="165" fontId="17" fillId="12" borderId="1" xfId="0" applyNumberFormat="1" applyFont="1" applyFill="1" applyBorder="1" applyAlignment="1">
      <alignment horizontal="left" vertical="top" wrapText="1"/>
    </xf>
    <xf numFmtId="164" fontId="17" fillId="12" borderId="1" xfId="0" applyNumberFormat="1" applyFont="1" applyFill="1" applyBorder="1" applyAlignment="1">
      <alignment horizontal="left" vertical="top" wrapText="1"/>
    </xf>
    <xf numFmtId="15" fontId="17" fillId="12" borderId="1" xfId="0" applyNumberFormat="1" applyFont="1" applyFill="1" applyBorder="1" applyAlignment="1">
      <alignment wrapText="1"/>
    </xf>
    <xf numFmtId="15" fontId="17" fillId="12" borderId="1" xfId="0" applyNumberFormat="1" applyFont="1" applyFill="1" applyBorder="1" applyAlignment="1">
      <alignment horizontal="center" wrapText="1"/>
    </xf>
    <xf numFmtId="165" fontId="4" fillId="12" borderId="1" xfId="0" applyNumberFormat="1" applyFont="1" applyFill="1" applyBorder="1" applyAlignment="1">
      <alignment horizontal="left" vertical="top" wrapText="1"/>
    </xf>
    <xf numFmtId="164" fontId="4" fillId="12" borderId="1" xfId="0" applyNumberFormat="1" applyFont="1" applyFill="1" applyBorder="1" applyAlignment="1">
      <alignment horizontal="left" vertical="top" wrapText="1"/>
    </xf>
    <xf numFmtId="165" fontId="2" fillId="12" borderId="6" xfId="0" applyNumberFormat="1" applyFont="1" applyFill="1" applyBorder="1" applyAlignment="1">
      <alignment horizontal="left" vertical="top" wrapText="1"/>
    </xf>
    <xf numFmtId="165" fontId="2" fillId="12" borderId="7" xfId="0" applyNumberFormat="1" applyFont="1" applyFill="1" applyBorder="1" applyAlignment="1">
      <alignment horizontal="left" vertical="top" wrapText="1"/>
    </xf>
    <xf numFmtId="164" fontId="2" fillId="12" borderId="7" xfId="0" applyNumberFormat="1" applyFont="1" applyFill="1" applyBorder="1" applyAlignment="1">
      <alignment horizontal="left" vertical="top" wrapText="1"/>
    </xf>
    <xf numFmtId="15" fontId="17" fillId="6" borderId="7" xfId="0" applyNumberFormat="1" applyFont="1" applyFill="1" applyBorder="1"/>
    <xf numFmtId="165" fontId="17" fillId="6" borderId="7" xfId="0" applyNumberFormat="1" applyFont="1" applyFill="1" applyBorder="1" applyAlignment="1">
      <alignment horizontal="left" vertical="top" wrapText="1"/>
    </xf>
    <xf numFmtId="1" fontId="17" fillId="2" borderId="1" xfId="0" applyNumberFormat="1" applyFont="1" applyFill="1" applyBorder="1"/>
    <xf numFmtId="164" fontId="17" fillId="6" borderId="7" xfId="0" applyNumberFormat="1" applyFont="1" applyFill="1" applyBorder="1" applyAlignment="1">
      <alignment horizontal="left" vertical="top" wrapText="1"/>
    </xf>
    <xf numFmtId="0" fontId="17" fillId="2" borderId="1" xfId="0" applyFont="1" applyFill="1" applyBorder="1"/>
    <xf numFmtId="165" fontId="17" fillId="2" borderId="1" xfId="0" applyNumberFormat="1" applyFont="1" applyFill="1" applyBorder="1" applyAlignment="1">
      <alignment horizontal="left" vertical="top" wrapText="1"/>
    </xf>
    <xf numFmtId="164" fontId="17" fillId="2" borderId="1" xfId="0" applyNumberFormat="1" applyFont="1" applyFill="1" applyBorder="1" applyAlignment="1">
      <alignment horizontal="left" vertical="top" wrapText="1"/>
    </xf>
    <xf numFmtId="165" fontId="17" fillId="6" borderId="6" xfId="0" applyNumberFormat="1" applyFont="1" applyFill="1" applyBorder="1" applyAlignment="1">
      <alignment horizontal="left" vertical="top" wrapText="1"/>
    </xf>
    <xf numFmtId="0" fontId="2" fillId="9" borderId="0" xfId="0" applyFont="1" applyFill="1"/>
    <xf numFmtId="15" fontId="2" fillId="9" borderId="1" xfId="0" applyNumberFormat="1" applyFont="1" applyFill="1" applyBorder="1"/>
    <xf numFmtId="0" fontId="2" fillId="9" borderId="1" xfId="0" applyFont="1" applyFill="1" applyBorder="1" applyAlignment="1">
      <alignment horizontal="center"/>
    </xf>
    <xf numFmtId="15" fontId="2" fillId="9" borderId="1" xfId="0" applyNumberFormat="1" applyFont="1" applyFill="1" applyBorder="1" applyAlignment="1">
      <alignment vertical="top" wrapText="1"/>
    </xf>
    <xf numFmtId="15" fontId="2" fillId="9" borderId="5" xfId="0" applyNumberFormat="1" applyFont="1" applyFill="1" applyBorder="1"/>
    <xf numFmtId="15" fontId="2" fillId="9" borderId="7" xfId="0" applyNumberFormat="1" applyFont="1" applyFill="1" applyBorder="1" applyAlignment="1">
      <alignment vertical="top" wrapText="1"/>
    </xf>
    <xf numFmtId="168" fontId="1" fillId="0" borderId="0" xfId="0" applyNumberFormat="1" applyFont="1" applyProtection="1"/>
    <xf numFmtId="0" fontId="23" fillId="0" borderId="11" xfId="0" applyFont="1" applyFill="1" applyBorder="1" applyAlignment="1">
      <alignment horizontal="center"/>
    </xf>
    <xf numFmtId="0" fontId="2" fillId="2" borderId="9" xfId="0" applyFont="1" applyFill="1" applyBorder="1"/>
    <xf numFmtId="0" fontId="23" fillId="0" borderId="1" xfId="0" applyFont="1" applyBorder="1" applyAlignment="1">
      <alignment horizontal="center" vertical="top" wrapText="1"/>
    </xf>
    <xf numFmtId="0" fontId="0" fillId="9" borderId="1" xfId="0" applyFill="1" applyBorder="1"/>
    <xf numFmtId="0" fontId="1" fillId="9" borderId="1" xfId="0" applyNumberFormat="1" applyFont="1" applyFill="1" applyBorder="1" applyAlignment="1">
      <alignment horizontal="center"/>
    </xf>
    <xf numFmtId="0" fontId="0" fillId="9" borderId="1" xfId="0" applyFill="1" applyBorder="1" applyAlignment="1">
      <alignment horizontal="center"/>
    </xf>
    <xf numFmtId="0" fontId="1" fillId="9" borderId="1" xfId="0" applyFont="1" applyFill="1" applyBorder="1" applyAlignment="1">
      <alignment horizontal="center"/>
    </xf>
    <xf numFmtId="1" fontId="1" fillId="9" borderId="1" xfId="0" applyNumberFormat="1" applyFont="1" applyFill="1" applyBorder="1" applyAlignment="1">
      <alignment horizontal="center"/>
    </xf>
    <xf numFmtId="0" fontId="28" fillId="9" borderId="1" xfId="0" applyFont="1" applyFill="1" applyBorder="1" applyAlignment="1">
      <alignment horizontal="center"/>
    </xf>
    <xf numFmtId="1" fontId="28" fillId="9" borderId="1" xfId="0" applyNumberFormat="1" applyFont="1" applyFill="1" applyBorder="1" applyAlignment="1">
      <alignment horizontal="center"/>
    </xf>
    <xf numFmtId="0" fontId="1" fillId="9" borderId="1" xfId="0" applyFont="1" applyFill="1" applyBorder="1"/>
    <xf numFmtId="0" fontId="25" fillId="9" borderId="1" xfId="3" applyFont="1" applyFill="1" applyBorder="1" applyAlignment="1">
      <alignment horizontal="left"/>
    </xf>
    <xf numFmtId="0" fontId="25" fillId="9" borderId="1" xfId="3" applyFont="1" applyFill="1" applyBorder="1" applyAlignment="1">
      <alignment horizontal="center"/>
    </xf>
    <xf numFmtId="0" fontId="3" fillId="9" borderId="1" xfId="0" applyNumberFormat="1" applyFont="1" applyFill="1" applyBorder="1" applyAlignment="1">
      <alignment horizontal="center"/>
    </xf>
    <xf numFmtId="164" fontId="28" fillId="9" borderId="1" xfId="0" applyNumberFormat="1" applyFont="1" applyFill="1" applyBorder="1" applyAlignment="1">
      <alignment horizontal="center"/>
    </xf>
    <xf numFmtId="0" fontId="3" fillId="9" borderId="1" xfId="0" applyFont="1" applyFill="1" applyBorder="1" applyAlignment="1">
      <alignment horizontal="center"/>
    </xf>
    <xf numFmtId="173" fontId="1" fillId="9" borderId="1" xfId="0" applyNumberFormat="1" applyFont="1" applyFill="1" applyBorder="1" applyAlignment="1">
      <alignment horizontal="center"/>
    </xf>
    <xf numFmtId="0" fontId="0" fillId="0" borderId="1" xfId="0" applyBorder="1" applyAlignment="1">
      <alignment wrapText="1"/>
    </xf>
    <xf numFmtId="0" fontId="5" fillId="0" borderId="0" xfId="2" applyFill="1" applyBorder="1" applyAlignment="1" applyProtection="1">
      <alignment horizontal="left"/>
    </xf>
    <xf numFmtId="0" fontId="0" fillId="0" borderId="0" xfId="0" applyFill="1" applyBorder="1" applyAlignment="1">
      <alignment wrapText="1"/>
    </xf>
    <xf numFmtId="0" fontId="18" fillId="0" borderId="0" xfId="0" applyFont="1"/>
    <xf numFmtId="0" fontId="13" fillId="3" borderId="10" xfId="0" applyFont="1" applyFill="1" applyBorder="1" applyAlignment="1">
      <alignment horizontal="center" vertical="center" wrapText="1"/>
    </xf>
    <xf numFmtId="0" fontId="13" fillId="3" borderId="1" xfId="0" applyFont="1" applyFill="1" applyBorder="1" applyAlignment="1">
      <alignment vertical="top" wrapText="1"/>
    </xf>
    <xf numFmtId="0" fontId="0" fillId="0" borderId="8" xfId="0" applyBorder="1" applyAlignment="1">
      <alignment horizontal="left" wrapText="1"/>
    </xf>
    <xf numFmtId="0" fontId="0" fillId="0" borderId="0" xfId="0" applyBorder="1" applyAlignment="1">
      <alignment wrapText="1"/>
    </xf>
    <xf numFmtId="3" fontId="0" fillId="0" borderId="1" xfId="0" applyNumberFormat="1" applyFill="1" applyBorder="1"/>
    <xf numFmtId="0" fontId="4" fillId="0" borderId="3" xfId="0" applyFont="1" applyBorder="1" applyAlignment="1">
      <alignment horizontal="left"/>
    </xf>
    <xf numFmtId="20" fontId="9" fillId="0" borderId="3" xfId="0" applyNumberFormat="1" applyFont="1" applyBorder="1" applyAlignment="1">
      <alignment horizontal="left"/>
    </xf>
    <xf numFmtId="0" fontId="9" fillId="0" borderId="3" xfId="0" applyFont="1" applyBorder="1" applyAlignment="1">
      <alignment horizontal="left"/>
    </xf>
    <xf numFmtId="20" fontId="9" fillId="0" borderId="15" xfId="0" applyNumberFormat="1" applyFont="1" applyBorder="1" applyAlignment="1">
      <alignment horizontal="left"/>
    </xf>
    <xf numFmtId="0" fontId="22" fillId="0" borderId="3" xfId="0" applyFont="1" applyBorder="1" applyAlignment="1">
      <alignment horizontal="left"/>
    </xf>
    <xf numFmtId="0" fontId="22" fillId="0" borderId="15" xfId="0" applyFont="1" applyBorder="1" applyAlignment="1">
      <alignment horizontal="left"/>
    </xf>
    <xf numFmtId="0" fontId="2" fillId="0" borderId="1" xfId="0" applyFont="1" applyFill="1" applyBorder="1" applyAlignment="1">
      <alignment horizontal="center"/>
    </xf>
    <xf numFmtId="0" fontId="0" fillId="0" borderId="5" xfId="0" applyFill="1" applyBorder="1"/>
    <xf numFmtId="3" fontId="0" fillId="0" borderId="5" xfId="0" applyNumberFormat="1" applyFill="1" applyBorder="1"/>
    <xf numFmtId="0" fontId="0" fillId="0" borderId="10" xfId="0" applyBorder="1" applyAlignment="1">
      <alignment horizontal="left" wrapText="1"/>
    </xf>
    <xf numFmtId="0" fontId="2" fillId="0" borderId="1" xfId="0" applyFont="1" applyBorder="1" applyAlignment="1">
      <alignment horizontal="left"/>
    </xf>
    <xf numFmtId="0" fontId="0" fillId="0" borderId="9" xfId="0" applyBorder="1" applyAlignment="1">
      <alignment wrapText="1"/>
    </xf>
    <xf numFmtId="0" fontId="19" fillId="0" borderId="1" xfId="0" applyFont="1" applyBorder="1"/>
    <xf numFmtId="0" fontId="23" fillId="0" borderId="15" xfId="0" applyFont="1" applyBorder="1" applyAlignment="1">
      <alignment horizontal="left"/>
    </xf>
    <xf numFmtId="0" fontId="6" fillId="0" borderId="15" xfId="0" applyFont="1" applyBorder="1" applyAlignment="1">
      <alignment horizontal="left"/>
    </xf>
    <xf numFmtId="0" fontId="2" fillId="0" borderId="1" xfId="0" applyFont="1" applyFill="1" applyBorder="1" applyAlignment="1">
      <alignment horizontal="center"/>
    </xf>
    <xf numFmtId="0" fontId="1" fillId="0" borderId="16" xfId="0" applyFont="1" applyBorder="1" applyAlignment="1">
      <alignment horizontal="left" vertical="top" wrapText="1"/>
    </xf>
    <xf numFmtId="0" fontId="1" fillId="0" borderId="19" xfId="0" applyFont="1" applyBorder="1" applyAlignment="1">
      <alignment vertical="top" wrapText="1"/>
    </xf>
    <xf numFmtId="3" fontId="1" fillId="0" borderId="1" xfId="0" applyNumberFormat="1" applyFont="1" applyBorder="1" applyAlignment="1">
      <alignment horizontal="center"/>
    </xf>
    <xf numFmtId="0" fontId="2" fillId="0" borderId="1" xfId="0" applyFont="1" applyFill="1" applyBorder="1" applyAlignment="1">
      <alignment horizontal="center"/>
    </xf>
    <xf numFmtId="9" fontId="0" fillId="0" borderId="0" xfId="0" applyNumberFormat="1"/>
    <xf numFmtId="0" fontId="9" fillId="0" borderId="0" xfId="0" applyFont="1" applyBorder="1"/>
    <xf numFmtId="0" fontId="9" fillId="9" borderId="0" xfId="0" applyFont="1" applyFill="1" applyBorder="1"/>
    <xf numFmtId="2" fontId="9" fillId="0" borderId="0" xfId="0" applyNumberFormat="1" applyFont="1" applyBorder="1"/>
    <xf numFmtId="0" fontId="9" fillId="13" borderId="1" xfId="0" applyFont="1" applyFill="1" applyBorder="1"/>
    <xf numFmtId="0" fontId="0" fillId="9" borderId="11" xfId="0" applyFill="1" applyBorder="1" applyAlignment="1">
      <alignment horizontal="center"/>
    </xf>
    <xf numFmtId="0" fontId="2" fillId="0" borderId="11" xfId="0" applyFont="1" applyFill="1" applyBorder="1" applyAlignment="1">
      <alignment horizontal="center"/>
    </xf>
    <xf numFmtId="0" fontId="1" fillId="0" borderId="1" xfId="0" applyFont="1" applyFill="1" applyBorder="1"/>
    <xf numFmtId="2" fontId="0" fillId="0" borderId="1" xfId="0" applyNumberFormat="1" applyBorder="1" applyAlignment="1">
      <alignment horizontal="center"/>
    </xf>
    <xf numFmtId="0" fontId="0" fillId="0" borderId="1" xfId="0" applyBorder="1" applyAlignment="1">
      <alignment horizontal="center"/>
    </xf>
    <xf numFmtId="0" fontId="1" fillId="0" borderId="1" xfId="0" applyFont="1" applyBorder="1" applyAlignment="1">
      <alignment horizontal="center" wrapText="1"/>
    </xf>
    <xf numFmtId="0" fontId="1" fillId="0" borderId="11" xfId="0" applyFont="1" applyFill="1" applyBorder="1"/>
    <xf numFmtId="15" fontId="0" fillId="0" borderId="0" xfId="0" applyNumberFormat="1"/>
    <xf numFmtId="0" fontId="31" fillId="0" borderId="0" xfId="0" applyFont="1"/>
    <xf numFmtId="0" fontId="0" fillId="0" borderId="5" xfId="0" applyBorder="1"/>
    <xf numFmtId="0" fontId="1" fillId="0" borderId="5" xfId="0" applyFont="1" applyBorder="1"/>
    <xf numFmtId="2" fontId="0" fillId="0" borderId="1" xfId="0" applyNumberFormat="1" applyBorder="1"/>
    <xf numFmtId="0" fontId="0" fillId="0" borderId="1" xfId="0" applyBorder="1" applyAlignment="1">
      <alignment horizontal="center"/>
    </xf>
    <xf numFmtId="0" fontId="11" fillId="9" borderId="2" xfId="0" applyFont="1" applyFill="1" applyBorder="1"/>
    <xf numFmtId="0" fontId="11" fillId="9" borderId="2" xfId="0" applyFont="1" applyFill="1" applyBorder="1" applyAlignment="1">
      <alignment wrapText="1"/>
    </xf>
    <xf numFmtId="0" fontId="4" fillId="0" borderId="1" xfId="0" applyFont="1" applyBorder="1" applyAlignment="1">
      <alignment horizontal="left"/>
    </xf>
    <xf numFmtId="0" fontId="3" fillId="11" borderId="1" xfId="0" applyFont="1" applyFill="1" applyBorder="1"/>
    <xf numFmtId="20" fontId="9" fillId="0" borderId="1" xfId="0" applyNumberFormat="1" applyFont="1" applyBorder="1" applyAlignment="1">
      <alignment horizontal="left"/>
    </xf>
    <xf numFmtId="0" fontId="9" fillId="0" borderId="1" xfId="0" applyFont="1" applyBorder="1" applyAlignment="1">
      <alignment horizontal="left"/>
    </xf>
    <xf numFmtId="0" fontId="22" fillId="0" borderId="1" xfId="0" applyFont="1" applyBorder="1" applyAlignment="1">
      <alignment horizontal="left"/>
    </xf>
    <xf numFmtId="0" fontId="3" fillId="11" borderId="1" xfId="0" applyFont="1" applyFill="1" applyBorder="1" applyAlignment="1">
      <alignment horizontal="left" vertical="top" wrapText="1"/>
    </xf>
    <xf numFmtId="0" fontId="9" fillId="0" borderId="1" xfId="0" applyFont="1" applyBorder="1" applyAlignment="1">
      <alignment vertical="top" wrapText="1"/>
    </xf>
    <xf numFmtId="0" fontId="0" fillId="0" borderId="1" xfId="0" applyBorder="1" applyAlignment="1">
      <alignment horizontal="center"/>
    </xf>
    <xf numFmtId="2" fontId="0" fillId="0" borderId="0" xfId="0" applyNumberFormat="1" applyBorder="1"/>
    <xf numFmtId="0" fontId="0" fillId="0" borderId="17" xfId="0" applyBorder="1"/>
    <xf numFmtId="0" fontId="0" fillId="0" borderId="19" xfId="0" applyBorder="1"/>
    <xf numFmtId="0" fontId="17" fillId="0" borderId="1" xfId="0" applyFont="1" applyBorder="1" applyAlignment="1">
      <alignment horizontal="left"/>
    </xf>
    <xf numFmtId="0" fontId="0" fillId="0" borderId="1" xfId="0" applyBorder="1" applyAlignment="1">
      <alignment horizontal="center"/>
    </xf>
    <xf numFmtId="2" fontId="0" fillId="0" borderId="11" xfId="0" applyNumberFormat="1" applyFill="1" applyBorder="1" applyAlignment="1">
      <alignment horizontal="center"/>
    </xf>
    <xf numFmtId="169" fontId="0" fillId="0" borderId="0" xfId="0" applyNumberFormat="1"/>
    <xf numFmtId="169" fontId="0" fillId="0" borderId="0" xfId="0" applyNumberFormat="1" applyAlignment="1">
      <alignment horizontal="left"/>
    </xf>
    <xf numFmtId="0" fontId="32" fillId="0" borderId="0" xfId="0" applyFont="1" applyAlignment="1"/>
    <xf numFmtId="169" fontId="30" fillId="0" borderId="1" xfId="0" applyNumberFormat="1" applyFont="1" applyBorder="1" applyAlignment="1">
      <alignment horizontal="left"/>
    </xf>
    <xf numFmtId="169" fontId="0" fillId="0" borderId="1" xfId="0" applyNumberFormat="1" applyBorder="1"/>
    <xf numFmtId="169" fontId="0" fillId="0" borderId="1" xfId="0" applyNumberFormat="1" applyBorder="1" applyAlignment="1">
      <alignment horizontal="left"/>
    </xf>
    <xf numFmtId="0" fontId="6" fillId="0" borderId="1" xfId="0" applyFont="1" applyBorder="1"/>
    <xf numFmtId="169" fontId="1" fillId="0" borderId="1" xfId="0" applyNumberFormat="1" applyFont="1" applyBorder="1"/>
    <xf numFmtId="0" fontId="32" fillId="0" borderId="1" xfId="0" applyFont="1" applyBorder="1" applyAlignment="1">
      <alignment horizontal="center"/>
    </xf>
    <xf numFmtId="0" fontId="33" fillId="0" borderId="0" xfId="0" applyFont="1"/>
    <xf numFmtId="0" fontId="0" fillId="0" borderId="1" xfId="0" applyBorder="1" applyAlignment="1">
      <alignment horizontal="center"/>
    </xf>
    <xf numFmtId="0" fontId="9" fillId="0" borderId="5" xfId="0" applyFont="1" applyBorder="1" applyAlignment="1">
      <alignment horizontal="left"/>
    </xf>
    <xf numFmtId="0" fontId="4" fillId="11" borderId="15" xfId="0" applyFont="1" applyFill="1" applyBorder="1" applyAlignment="1"/>
    <xf numFmtId="0" fontId="17" fillId="11" borderId="7" xfId="0" applyFont="1" applyFill="1" applyBorder="1" applyAlignment="1"/>
    <xf numFmtId="0" fontId="17" fillId="11" borderId="5" xfId="0" applyFont="1" applyFill="1" applyBorder="1" applyAlignment="1"/>
    <xf numFmtId="0" fontId="0" fillId="0" borderId="1" xfId="0" applyBorder="1" applyAlignment="1">
      <alignment horizontal="center"/>
    </xf>
    <xf numFmtId="0" fontId="17" fillId="9" borderId="5" xfId="0" applyFont="1" applyFill="1" applyBorder="1"/>
    <xf numFmtId="0" fontId="0" fillId="8" borderId="5" xfId="0" applyFill="1" applyBorder="1"/>
    <xf numFmtId="0" fontId="9" fillId="0" borderId="0" xfId="0" applyFont="1" applyFill="1" applyBorder="1"/>
    <xf numFmtId="0" fontId="9" fillId="9" borderId="11" xfId="0" applyFont="1" applyFill="1" applyBorder="1"/>
    <xf numFmtId="0" fontId="17" fillId="9" borderId="7" xfId="0" applyFont="1" applyFill="1" applyBorder="1"/>
    <xf numFmtId="0" fontId="0" fillId="0" borderId="7" xfId="0" applyBorder="1"/>
    <xf numFmtId="0" fontId="17" fillId="9" borderId="22" xfId="0" applyFont="1" applyFill="1" applyBorder="1"/>
    <xf numFmtId="0" fontId="2" fillId="15" borderId="1" xfId="0" applyFont="1" applyFill="1" applyBorder="1"/>
    <xf numFmtId="0" fontId="2" fillId="15" borderId="1" xfId="0" applyFont="1" applyFill="1" applyBorder="1" applyAlignment="1">
      <alignment horizontal="center"/>
    </xf>
    <xf numFmtId="0" fontId="0" fillId="0" borderId="1" xfId="0" applyBorder="1" applyAlignment="1">
      <alignment horizontal="center"/>
    </xf>
    <xf numFmtId="0" fontId="0" fillId="0" borderId="5" xfId="0" applyBorder="1"/>
    <xf numFmtId="0" fontId="0" fillId="0" borderId="15" xfId="0" applyBorder="1"/>
    <xf numFmtId="0" fontId="9" fillId="0" borderId="7" xfId="0" applyFont="1" applyBorder="1"/>
    <xf numFmtId="0" fontId="9" fillId="0" borderId="5" xfId="0" applyFont="1" applyBorder="1"/>
    <xf numFmtId="0" fontId="1" fillId="0" borderId="7" xfId="0" applyFont="1" applyBorder="1"/>
    <xf numFmtId="0" fontId="0" fillId="0" borderId="1" xfId="0" applyBorder="1" applyAlignment="1">
      <alignment horizontal="center"/>
    </xf>
    <xf numFmtId="0" fontId="34" fillId="0" borderId="1" xfId="0" applyFont="1" applyBorder="1" applyAlignment="1">
      <alignment horizontal="center"/>
    </xf>
    <xf numFmtId="0" fontId="35" fillId="0" borderId="1" xfId="0" applyFont="1" applyBorder="1" applyAlignment="1">
      <alignment horizontal="center"/>
    </xf>
    <xf numFmtId="0" fontId="0" fillId="0" borderId="15" xfId="0" applyBorder="1"/>
    <xf numFmtId="0" fontId="0" fillId="0" borderId="1" xfId="0" applyBorder="1" applyAlignment="1">
      <alignment horizontal="center"/>
    </xf>
    <xf numFmtId="2" fontId="9" fillId="0" borderId="15" xfId="0" applyNumberFormat="1" applyFont="1" applyBorder="1" applyAlignment="1">
      <alignment horizontal="left"/>
    </xf>
    <xf numFmtId="0" fontId="9" fillId="0" borderId="17" xfId="0" applyFont="1" applyBorder="1" applyAlignment="1">
      <alignment horizontal="center" vertical="top" wrapText="1"/>
    </xf>
    <xf numFmtId="0" fontId="9" fillId="0" borderId="15" xfId="0" applyFont="1" applyBorder="1"/>
    <xf numFmtId="20" fontId="0" fillId="0" borderId="13" xfId="0" applyNumberFormat="1" applyBorder="1"/>
    <xf numFmtId="14" fontId="2" fillId="0" borderId="1" xfId="0" applyNumberFormat="1" applyFont="1" applyFill="1" applyBorder="1" applyAlignment="1">
      <alignment horizontal="center"/>
    </xf>
    <xf numFmtId="0" fontId="12" fillId="9" borderId="0" xfId="0" applyNumberFormat="1" applyFont="1" applyFill="1" applyAlignment="1" applyProtection="1">
      <alignment horizontal="center"/>
    </xf>
    <xf numFmtId="0" fontId="1" fillId="9" borderId="0" xfId="0" applyNumberFormat="1" applyFont="1" applyFill="1" applyAlignment="1">
      <alignment horizontal="center"/>
    </xf>
    <xf numFmtId="0" fontId="1" fillId="9" borderId="0" xfId="0" applyFont="1" applyFill="1" applyAlignment="1">
      <alignment horizontal="center"/>
    </xf>
    <xf numFmtId="0" fontId="12" fillId="9" borderId="0" xfId="0" applyFont="1" applyFill="1" applyAlignment="1" applyProtection="1">
      <alignment horizontal="center"/>
    </xf>
    <xf numFmtId="0" fontId="1" fillId="9" borderId="0" xfId="0" applyFont="1" applyFill="1" applyAlignment="1" applyProtection="1">
      <alignment horizontal="center"/>
    </xf>
    <xf numFmtId="0" fontId="0" fillId="9" borderId="0" xfId="0" applyFill="1" applyProtection="1"/>
    <xf numFmtId="0" fontId="1" fillId="0" borderId="17" xfId="0" applyFont="1" applyFill="1" applyBorder="1" applyAlignment="1">
      <alignment horizontal="center"/>
    </xf>
    <xf numFmtId="0" fontId="1" fillId="0" borderId="19" xfId="0" applyFont="1" applyBorder="1" applyAlignment="1">
      <alignment horizontal="center"/>
    </xf>
    <xf numFmtId="0" fontId="0" fillId="0" borderId="19" xfId="0" applyBorder="1" applyAlignment="1">
      <alignment horizontal="center"/>
    </xf>
    <xf numFmtId="0" fontId="9" fillId="9" borderId="1" xfId="0" applyNumberFormat="1" applyFont="1" applyFill="1" applyBorder="1"/>
    <xf numFmtId="2" fontId="9" fillId="0" borderId="11" xfId="0" applyNumberFormat="1" applyFont="1" applyFill="1" applyBorder="1"/>
    <xf numFmtId="0" fontId="0" fillId="0" borderId="1" xfId="0" applyBorder="1" applyAlignment="1">
      <alignment horizontal="center"/>
    </xf>
    <xf numFmtId="20" fontId="1" fillId="0" borderId="15" xfId="0" applyNumberFormat="1" applyFont="1" applyBorder="1" applyAlignment="1"/>
    <xf numFmtId="49" fontId="9" fillId="0" borderId="1" xfId="0" applyNumberFormat="1" applyFont="1" applyBorder="1"/>
    <xf numFmtId="16" fontId="1" fillId="0" borderId="0" xfId="0" applyNumberFormat="1" applyFont="1"/>
    <xf numFmtId="2" fontId="3" fillId="0" borderId="0" xfId="0" applyNumberFormat="1" applyFont="1" applyFill="1" applyBorder="1" applyAlignment="1">
      <alignment horizontal="right"/>
    </xf>
    <xf numFmtId="20" fontId="0" fillId="0" borderId="5" xfId="0" applyNumberFormat="1" applyBorder="1" applyAlignment="1">
      <alignment horizontal="center"/>
    </xf>
    <xf numFmtId="0" fontId="9" fillId="9" borderId="5" xfId="0" applyFont="1" applyFill="1" applyBorder="1"/>
    <xf numFmtId="0" fontId="9" fillId="13" borderId="2" xfId="0" applyFont="1" applyFill="1" applyBorder="1"/>
    <xf numFmtId="0" fontId="1" fillId="0" borderId="17" xfId="0" applyFont="1" applyBorder="1"/>
    <xf numFmtId="0" fontId="1" fillId="0" borderId="19" xfId="0" applyFont="1" applyBorder="1"/>
    <xf numFmtId="0" fontId="1" fillId="0" borderId="17" xfId="0" applyFont="1" applyBorder="1" applyAlignment="1">
      <alignment horizontal="center" vertical="top" wrapText="1"/>
    </xf>
    <xf numFmtId="2" fontId="0" fillId="8" borderId="1" xfId="0" applyNumberFormat="1" applyFill="1" applyBorder="1"/>
    <xf numFmtId="0" fontId="0" fillId="13" borderId="1" xfId="0" applyFill="1" applyBorder="1"/>
    <xf numFmtId="2" fontId="0" fillId="0" borderId="4" xfId="0" applyNumberFormat="1" applyFill="1" applyBorder="1"/>
    <xf numFmtId="0" fontId="1" fillId="0" borderId="23" xfId="0" applyFont="1" applyBorder="1" applyAlignment="1"/>
    <xf numFmtId="0" fontId="1" fillId="0" borderId="17" xfId="0" applyFont="1" applyBorder="1" applyAlignment="1"/>
    <xf numFmtId="20" fontId="0" fillId="0" borderId="5" xfId="0" applyNumberFormat="1" applyBorder="1" applyAlignment="1">
      <alignment horizontal="center"/>
    </xf>
    <xf numFmtId="0" fontId="0" fillId="0" borderId="1" xfId="0" applyBorder="1" applyAlignment="1">
      <alignment horizontal="center"/>
    </xf>
    <xf numFmtId="0" fontId="2" fillId="0" borderId="15" xfId="0" applyFont="1" applyBorder="1" applyAlignment="1">
      <alignment horizontal="left"/>
    </xf>
    <xf numFmtId="0" fontId="2" fillId="0" borderId="5" xfId="0" applyFont="1" applyBorder="1"/>
    <xf numFmtId="0" fontId="2" fillId="11" borderId="15" xfId="0" applyFont="1" applyFill="1" applyBorder="1" applyAlignment="1"/>
    <xf numFmtId="0" fontId="17" fillId="9" borderId="0" xfId="0" applyFont="1" applyFill="1" applyBorder="1"/>
    <xf numFmtId="0" fontId="17" fillId="9" borderId="11" xfId="0" applyFont="1" applyFill="1" applyBorder="1"/>
    <xf numFmtId="0" fontId="9" fillId="13" borderId="0" xfId="0" applyFont="1" applyFill="1" applyBorder="1"/>
    <xf numFmtId="0" fontId="0" fillId="13" borderId="0" xfId="0" applyFill="1"/>
    <xf numFmtId="2" fontId="1" fillId="0" borderId="1" xfId="0" applyNumberFormat="1" applyFont="1" applyBorder="1"/>
    <xf numFmtId="10" fontId="0" fillId="0" borderId="1" xfId="0" applyNumberFormat="1" applyBorder="1"/>
    <xf numFmtId="0" fontId="0" fillId="0" borderId="0" xfId="0" applyAlignment="1">
      <alignment horizontal="left"/>
    </xf>
    <xf numFmtId="0" fontId="4" fillId="11" borderId="3" xfId="0" applyFont="1" applyFill="1" applyBorder="1" applyAlignment="1">
      <alignment horizontal="left"/>
    </xf>
    <xf numFmtId="2" fontId="9" fillId="13" borderId="1" xfId="0" applyNumberFormat="1" applyFont="1" applyFill="1" applyBorder="1"/>
    <xf numFmtId="2" fontId="0" fillId="0" borderId="1" xfId="0" applyNumberFormat="1" applyFill="1" applyBorder="1"/>
    <xf numFmtId="2" fontId="0" fillId="0" borderId="11" xfId="0" applyNumberFormat="1" applyBorder="1"/>
    <xf numFmtId="0" fontId="9" fillId="0" borderId="11" xfId="0" applyFont="1" applyFill="1" applyBorder="1" applyAlignment="1">
      <alignment horizontal="left"/>
    </xf>
    <xf numFmtId="174" fontId="2" fillId="9" borderId="1" xfId="0" applyNumberFormat="1" applyFont="1" applyFill="1" applyBorder="1"/>
    <xf numFmtId="174" fontId="2" fillId="9" borderId="1" xfId="0" applyNumberFormat="1" applyFont="1" applyFill="1" applyBorder="1" applyAlignment="1">
      <alignment horizontal="right"/>
    </xf>
    <xf numFmtId="174" fontId="2" fillId="9" borderId="1" xfId="0" applyNumberFormat="1" applyFont="1" applyFill="1" applyBorder="1" applyAlignment="1">
      <alignment horizontal="left"/>
    </xf>
    <xf numFmtId="0" fontId="3" fillId="11" borderId="7" xfId="0" applyFont="1" applyFill="1" applyBorder="1"/>
    <xf numFmtId="0" fontId="3" fillId="11" borderId="7" xfId="0" applyFont="1" applyFill="1" applyBorder="1" applyAlignment="1">
      <alignment horizontal="left" vertical="top" wrapText="1"/>
    </xf>
    <xf numFmtId="0" fontId="1" fillId="0" borderId="1" xfId="0" applyFont="1" applyBorder="1" applyAlignment="1">
      <alignment horizontal="center"/>
    </xf>
    <xf numFmtId="0" fontId="0" fillId="0" borderId="1" xfId="0" applyBorder="1" applyAlignment="1">
      <alignment horizontal="center"/>
    </xf>
    <xf numFmtId="0" fontId="4" fillId="9" borderId="1" xfId="0" applyFont="1" applyFill="1" applyBorder="1"/>
    <xf numFmtId="20" fontId="0" fillId="0" borderId="5" xfId="0" applyNumberForma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14" fontId="0" fillId="0" borderId="1" xfId="0" applyNumberFormat="1" applyBorder="1"/>
    <xf numFmtId="2" fontId="0" fillId="11" borderId="1" xfId="0" applyNumberFormat="1" applyFill="1" applyBorder="1"/>
    <xf numFmtId="2" fontId="0" fillId="0" borderId="11" xfId="0" applyNumberFormat="1" applyFill="1" applyBorder="1"/>
    <xf numFmtId="175" fontId="0" fillId="0" borderId="1" xfId="0" applyNumberFormat="1" applyBorder="1"/>
    <xf numFmtId="20" fontId="23" fillId="0" borderId="0" xfId="0" applyNumberFormat="1" applyFont="1"/>
    <xf numFmtId="0" fontId="9" fillId="13" borderId="11" xfId="0" applyFont="1" applyFill="1" applyBorder="1"/>
    <xf numFmtId="2" fontId="0" fillId="13" borderId="0" xfId="0" applyNumberFormat="1" applyFill="1"/>
    <xf numFmtId="0" fontId="1" fillId="0" borderId="0" xfId="0" applyFont="1" applyBorder="1"/>
    <xf numFmtId="0" fontId="9" fillId="0" borderId="11" xfId="0" applyFont="1" applyBorder="1"/>
    <xf numFmtId="171" fontId="36" fillId="0" borderId="0" xfId="0" applyNumberFormat="1" applyFont="1" applyAlignment="1">
      <alignment horizontal="right"/>
    </xf>
    <xf numFmtId="0" fontId="36" fillId="0" borderId="0" xfId="0" applyFont="1"/>
    <xf numFmtId="1" fontId="1" fillId="0" borderId="0" xfId="0" applyNumberFormat="1" applyFont="1" applyFill="1" applyBorder="1" applyAlignment="1">
      <alignment horizontal="right"/>
    </xf>
    <xf numFmtId="171" fontId="0" fillId="0" borderId="0" xfId="0" applyNumberFormat="1"/>
    <xf numFmtId="0" fontId="36" fillId="0" borderId="0" xfId="0" applyNumberFormat="1" applyFont="1"/>
    <xf numFmtId="0" fontId="7" fillId="0" borderId="1" xfId="0" applyFont="1" applyBorder="1"/>
    <xf numFmtId="0" fontId="37" fillId="18" borderId="1" xfId="0" applyFont="1" applyFill="1" applyBorder="1" applyAlignment="1">
      <alignment horizontal="center" wrapText="1"/>
    </xf>
    <xf numFmtId="0" fontId="38" fillId="18" borderId="1" xfId="0" applyFont="1" applyFill="1" applyBorder="1" applyAlignment="1">
      <alignment horizontal="center" wrapText="1"/>
    </xf>
    <xf numFmtId="0" fontId="37" fillId="19" borderId="27" xfId="0" applyFont="1" applyFill="1" applyBorder="1" applyAlignment="1">
      <alignment horizontal="center" wrapText="1"/>
    </xf>
    <xf numFmtId="0" fontId="37" fillId="19" borderId="21" xfId="0" applyFont="1" applyFill="1" applyBorder="1" applyAlignment="1">
      <alignment horizontal="center" wrapText="1"/>
    </xf>
    <xf numFmtId="0" fontId="38" fillId="19" borderId="27" xfId="0" applyFont="1" applyFill="1" applyBorder="1" applyAlignment="1">
      <alignment horizontal="center" wrapText="1"/>
    </xf>
    <xf numFmtId="0" fontId="38" fillId="19" borderId="21" xfId="0" applyFont="1" applyFill="1" applyBorder="1" applyAlignment="1">
      <alignment horizontal="center" wrapText="1"/>
    </xf>
    <xf numFmtId="0" fontId="33" fillId="0" borderId="21" xfId="0" applyFont="1" applyBorder="1"/>
    <xf numFmtId="0" fontId="1" fillId="0" borderId="21" xfId="0" applyFont="1" applyBorder="1" applyAlignment="1">
      <alignment vertical="top" wrapText="1"/>
    </xf>
    <xf numFmtId="0" fontId="7" fillId="0" borderId="26" xfId="0" applyFont="1" applyBorder="1"/>
    <xf numFmtId="0" fontId="7" fillId="0" borderId="21" xfId="0" applyFont="1" applyBorder="1"/>
    <xf numFmtId="0" fontId="1" fillId="0" borderId="21" xfId="0" applyFont="1" applyBorder="1" applyAlignment="1">
      <alignment horizontal="right" vertical="top" wrapText="1"/>
    </xf>
    <xf numFmtId="0" fontId="13" fillId="0" borderId="21" xfId="0" applyFont="1" applyBorder="1"/>
    <xf numFmtId="0" fontId="7" fillId="0" borderId="21" xfId="0" applyFont="1" applyBorder="1" applyAlignment="1">
      <alignment horizontal="center"/>
    </xf>
    <xf numFmtId="0" fontId="1" fillId="0" borderId="21" xfId="0" applyFont="1" applyBorder="1"/>
    <xf numFmtId="0" fontId="19" fillId="20" borderId="29" xfId="0" applyFont="1" applyFill="1" applyBorder="1"/>
    <xf numFmtId="0" fontId="19" fillId="20" borderId="20" xfId="0" applyFont="1" applyFill="1" applyBorder="1"/>
    <xf numFmtId="0" fontId="39" fillId="0" borderId="26" xfId="0" applyFont="1" applyBorder="1"/>
    <xf numFmtId="0" fontId="39" fillId="0" borderId="21" xfId="0" applyFont="1" applyBorder="1" applyAlignment="1">
      <alignment horizontal="center"/>
    </xf>
    <xf numFmtId="0" fontId="9" fillId="0" borderId="4" xfId="0" applyFont="1" applyFill="1" applyBorder="1"/>
    <xf numFmtId="0" fontId="19" fillId="20" borderId="29" xfId="0" applyFont="1" applyFill="1" applyBorder="1" applyAlignment="1">
      <alignment vertical="top" wrapText="1"/>
    </xf>
    <xf numFmtId="0" fontId="39" fillId="0" borderId="26" xfId="0" applyFont="1" applyBorder="1" applyAlignment="1">
      <alignment horizontal="center" vertical="top" wrapText="1"/>
    </xf>
    <xf numFmtId="0" fontId="1" fillId="0" borderId="13" xfId="0" applyFont="1" applyFill="1" applyBorder="1" applyAlignment="1">
      <alignment horizontal="center"/>
    </xf>
    <xf numFmtId="0" fontId="40" fillId="21" borderId="1" xfId="5" applyBorder="1"/>
    <xf numFmtId="0" fontId="0" fillId="0" borderId="4" xfId="0" applyFont="1" applyFill="1" applyBorder="1"/>
    <xf numFmtId="0" fontId="1" fillId="0" borderId="1" xfId="0" applyFont="1" applyBorder="1" applyAlignment="1">
      <alignment horizontal="center"/>
    </xf>
    <xf numFmtId="0" fontId="0" fillId="0" borderId="1" xfId="0" applyBorder="1" applyAlignment="1">
      <alignment horizontal="center"/>
    </xf>
    <xf numFmtId="2" fontId="0" fillId="0" borderId="1" xfId="6" applyNumberFormat="1" applyFont="1" applyBorder="1"/>
    <xf numFmtId="14" fontId="13" fillId="17" borderId="1" xfId="0" applyNumberFormat="1" applyFont="1" applyFill="1" applyBorder="1" applyAlignment="1">
      <alignment horizontal="center"/>
    </xf>
    <xf numFmtId="0" fontId="13" fillId="16" borderId="1" xfId="0" applyFont="1" applyFill="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164" fontId="1" fillId="9" borderId="1" xfId="0" applyNumberFormat="1" applyFont="1" applyFill="1" applyBorder="1" applyAlignment="1">
      <alignment horizontal="center"/>
    </xf>
    <xf numFmtId="0" fontId="6" fillId="0" borderId="1" xfId="0" applyFont="1" applyBorder="1" applyAlignment="1">
      <alignment horizontal="center"/>
    </xf>
    <xf numFmtId="0" fontId="41" fillId="0" borderId="1" xfId="0" applyFont="1" applyBorder="1" applyAlignment="1">
      <alignment horizontal="center"/>
    </xf>
    <xf numFmtId="0" fontId="7" fillId="0" borderId="1" xfId="0" applyFont="1" applyBorder="1" applyAlignment="1">
      <alignment horizontal="left" vertical="top" wrapText="1"/>
    </xf>
    <xf numFmtId="0" fontId="13" fillId="16" borderId="1" xfId="0" applyFont="1" applyFill="1" applyBorder="1" applyAlignment="1">
      <alignment horizontal="left" vertical="top" wrapText="1"/>
    </xf>
    <xf numFmtId="0" fontId="0" fillId="0" borderId="0" xfId="0" applyAlignment="1">
      <alignment horizontal="left" vertical="top" wrapText="1"/>
    </xf>
    <xf numFmtId="0" fontId="43" fillId="20" borderId="1" xfId="0" applyFont="1" applyFill="1" applyBorder="1" applyAlignment="1">
      <alignment vertical="top" wrapText="1"/>
    </xf>
    <xf numFmtId="14" fontId="0" fillId="0" borderId="1" xfId="0" applyNumberFormat="1" applyBorder="1" applyAlignment="1">
      <alignment horizontal="center"/>
    </xf>
    <xf numFmtId="20" fontId="33" fillId="0" borderId="1" xfId="0" applyNumberFormat="1" applyFont="1" applyBorder="1" applyAlignment="1">
      <alignment vertical="top" wrapText="1"/>
    </xf>
    <xf numFmtId="0" fontId="33" fillId="0" borderId="1" xfId="0" applyFont="1" applyBorder="1" applyAlignment="1">
      <alignment vertical="top" wrapText="1"/>
    </xf>
    <xf numFmtId="0" fontId="43" fillId="20" borderId="1" xfId="0" applyFont="1" applyFill="1" applyBorder="1" applyAlignment="1">
      <alignment horizontal="center" vertical="top" wrapText="1"/>
    </xf>
    <xf numFmtId="0" fontId="33" fillId="0" borderId="1" xfId="0" applyFont="1" applyBorder="1" applyAlignment="1">
      <alignment horizontal="center" vertical="top" wrapText="1"/>
    </xf>
    <xf numFmtId="20" fontId="23" fillId="0" borderId="1" xfId="0" applyNumberFormat="1" applyFont="1" applyBorder="1" applyAlignment="1">
      <alignment vertical="top" wrapText="1"/>
    </xf>
    <xf numFmtId="0" fontId="23" fillId="0" borderId="1" xfId="0" applyFont="1" applyBorder="1" applyAlignment="1">
      <alignment vertical="top" wrapText="1"/>
    </xf>
    <xf numFmtId="20" fontId="23" fillId="0" borderId="1" xfId="0" applyNumberFormat="1" applyFont="1" applyBorder="1"/>
    <xf numFmtId="0" fontId="23" fillId="0" borderId="15" xfId="0" applyFont="1" applyBorder="1"/>
    <xf numFmtId="0" fontId="9" fillId="22" borderId="1" xfId="0" applyFont="1" applyFill="1" applyBorder="1"/>
    <xf numFmtId="0" fontId="9" fillId="22" borderId="11" xfId="0" applyFont="1" applyFill="1" applyBorder="1"/>
    <xf numFmtId="20" fontId="0" fillId="0" borderId="7" xfId="0" applyNumberFormat="1" applyBorder="1"/>
    <xf numFmtId="49" fontId="1" fillId="0" borderId="0" xfId="0" applyNumberFormat="1" applyFont="1"/>
    <xf numFmtId="0" fontId="17" fillId="23" borderId="0" xfId="0" applyFont="1" applyFill="1" applyBorder="1"/>
    <xf numFmtId="0" fontId="9" fillId="6" borderId="11" xfId="0" applyFont="1" applyFill="1" applyBorder="1"/>
    <xf numFmtId="0" fontId="9" fillId="6" borderId="0" xfId="0" applyFont="1" applyFill="1" applyBorder="1"/>
    <xf numFmtId="0" fontId="0" fillId="6" borderId="0" xfId="0" applyFill="1"/>
    <xf numFmtId="2" fontId="9" fillId="0" borderId="5" xfId="0" applyNumberFormat="1" applyFont="1" applyBorder="1"/>
    <xf numFmtId="0" fontId="2" fillId="23" borderId="0" xfId="0" applyFont="1" applyFill="1" applyBorder="1"/>
    <xf numFmtId="176" fontId="0" fillId="0" borderId="1" xfId="0" applyNumberFormat="1" applyBorder="1"/>
    <xf numFmtId="14" fontId="0" fillId="0" borderId="1" xfId="0" applyNumberFormat="1" applyBorder="1" applyAlignment="1">
      <alignment horizontal="left"/>
    </xf>
    <xf numFmtId="20" fontId="0" fillId="0" borderId="1" xfId="0" applyNumberFormat="1" applyBorder="1" applyAlignment="1">
      <alignment horizontal="center"/>
    </xf>
    <xf numFmtId="0" fontId="44" fillId="0" borderId="1" xfId="0" applyFont="1" applyBorder="1" applyAlignment="1">
      <alignment horizontal="center"/>
    </xf>
    <xf numFmtId="20" fontId="1" fillId="0" borderId="1" xfId="0" applyNumberFormat="1" applyFont="1" applyBorder="1" applyAlignment="1">
      <alignment horizontal="center"/>
    </xf>
    <xf numFmtId="0" fontId="44" fillId="9" borderId="1" xfId="0" applyFont="1" applyFill="1" applyBorder="1"/>
    <xf numFmtId="0" fontId="33" fillId="0" borderId="1" xfId="0" applyFont="1" applyBorder="1"/>
    <xf numFmtId="14" fontId="45" fillId="9" borderId="1" xfId="0" applyNumberFormat="1" applyFont="1" applyFill="1" applyBorder="1" applyAlignment="1">
      <alignment horizontal="center" vertical="center"/>
    </xf>
    <xf numFmtId="14" fontId="2" fillId="9" borderId="1" xfId="0" applyNumberFormat="1" applyFont="1" applyFill="1" applyBorder="1" applyAlignment="1">
      <alignment vertical="center"/>
    </xf>
    <xf numFmtId="14" fontId="2" fillId="18" borderId="1" xfId="0" applyNumberFormat="1" applyFont="1" applyFill="1" applyBorder="1" applyAlignment="1">
      <alignment vertical="center"/>
    </xf>
    <xf numFmtId="0" fontId="4" fillId="0" borderId="0" xfId="0" applyFont="1"/>
    <xf numFmtId="0" fontId="1" fillId="11" borderId="1"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0" borderId="1" xfId="0" applyFont="1" applyBorder="1" applyAlignment="1">
      <alignment horizontal="center"/>
    </xf>
    <xf numFmtId="0" fontId="6" fillId="0" borderId="1" xfId="0" applyFont="1" applyBorder="1" applyAlignment="1">
      <alignment horizontal="left" vertical="top" wrapText="1"/>
    </xf>
    <xf numFmtId="0" fontId="46" fillId="0" borderId="1" xfId="0" applyFont="1" applyBorder="1" applyAlignment="1">
      <alignment horizontal="left" vertical="top" wrapText="1" indent="1"/>
    </xf>
    <xf numFmtId="0" fontId="1" fillId="0" borderId="1" xfId="0" applyFont="1" applyBorder="1" applyAlignment="1">
      <alignment horizontal="left" vertical="top"/>
    </xf>
    <xf numFmtId="0" fontId="46" fillId="0" borderId="1" xfId="0" applyFont="1" applyBorder="1" applyAlignment="1">
      <alignment horizontal="left" vertical="top" indent="1"/>
    </xf>
    <xf numFmtId="164" fontId="0" fillId="0" borderId="1" xfId="0" applyNumberFormat="1" applyBorder="1" applyAlignment="1">
      <alignment horizontal="left" vertical="top"/>
    </xf>
    <xf numFmtId="0" fontId="0" fillId="0" borderId="1" xfId="0" applyBorder="1" applyAlignment="1">
      <alignment horizontal="left" vertical="top"/>
    </xf>
    <xf numFmtId="0" fontId="1" fillId="0" borderId="1" xfId="0" applyFont="1" applyFill="1" applyBorder="1" applyAlignment="1">
      <alignment horizontal="left" vertical="top"/>
    </xf>
    <xf numFmtId="0" fontId="1" fillId="0" borderId="0" xfId="0" applyFont="1" applyFill="1" applyAlignment="1">
      <alignment horizontal="left"/>
    </xf>
    <xf numFmtId="164" fontId="3"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23" fillId="0" borderId="4" xfId="0" applyFont="1" applyFill="1" applyBorder="1" applyAlignment="1">
      <alignment vertical="top" wrapText="1"/>
    </xf>
    <xf numFmtId="3" fontId="28" fillId="0" borderId="1" xfId="0" applyNumberFormat="1" applyFont="1" applyBorder="1" applyAlignment="1">
      <alignment horizontal="center"/>
    </xf>
    <xf numFmtId="2" fontId="9" fillId="0" borderId="3" xfId="0" applyNumberFormat="1" applyFont="1" applyBorder="1" applyAlignment="1">
      <alignment horizontal="left"/>
    </xf>
    <xf numFmtId="0" fontId="23" fillId="11" borderId="17" xfId="0" applyFont="1" applyFill="1" applyBorder="1" applyAlignment="1">
      <alignment horizontal="left" vertical="top" wrapText="1"/>
    </xf>
    <xf numFmtId="0" fontId="9" fillId="24" borderId="0" xfId="0" applyFont="1" applyFill="1" applyBorder="1"/>
    <xf numFmtId="0" fontId="9" fillId="24" borderId="1" xfId="0" applyFont="1" applyFill="1" applyBorder="1"/>
    <xf numFmtId="0" fontId="9" fillId="24" borderId="11" xfId="0" applyFont="1" applyFill="1" applyBorder="1"/>
    <xf numFmtId="0" fontId="9" fillId="9" borderId="7" xfId="0" applyFont="1" applyFill="1" applyBorder="1"/>
    <xf numFmtId="1" fontId="0" fillId="9" borderId="1" xfId="0" applyNumberFormat="1" applyFill="1" applyBorder="1" applyAlignment="1">
      <alignment horizontal="center"/>
    </xf>
    <xf numFmtId="3" fontId="28" fillId="9" borderId="1" xfId="0" applyNumberFormat="1" applyFont="1" applyFill="1" applyBorder="1" applyAlignment="1">
      <alignment horizontal="center"/>
    </xf>
    <xf numFmtId="0" fontId="0" fillId="0" borderId="1" xfId="0" applyBorder="1" applyAlignment="1">
      <alignment horizontal="center"/>
    </xf>
    <xf numFmtId="0" fontId="2" fillId="9" borderId="1" xfId="0" applyFont="1" applyFill="1" applyBorder="1" applyAlignment="1">
      <alignment horizontal="center" wrapText="1"/>
    </xf>
    <xf numFmtId="2" fontId="0" fillId="0" borderId="1" xfId="0" applyNumberFormat="1" applyFill="1" applyBorder="1" applyAlignment="1">
      <alignment horizontal="center"/>
    </xf>
    <xf numFmtId="0" fontId="11" fillId="6" borderId="1" xfId="0" applyFont="1" applyFill="1" applyBorder="1" applyAlignment="1">
      <alignment horizontal="center"/>
    </xf>
    <xf numFmtId="1" fontId="0" fillId="0" borderId="1" xfId="0" applyNumberFormat="1" applyBorder="1"/>
    <xf numFmtId="0" fontId="49" fillId="9" borderId="1" xfId="3" applyFont="1" applyFill="1" applyBorder="1" applyAlignment="1">
      <alignment horizontal="center" wrapText="1"/>
    </xf>
    <xf numFmtId="164" fontId="1" fillId="0" borderId="1" xfId="0" applyNumberFormat="1" applyFont="1" applyBorder="1"/>
    <xf numFmtId="0" fontId="1" fillId="0" borderId="1" xfId="0" applyNumberFormat="1" applyFont="1" applyBorder="1"/>
    <xf numFmtId="0" fontId="25" fillId="0" borderId="1" xfId="3" applyNumberFormat="1" applyFont="1" applyFill="1" applyBorder="1" applyAlignment="1">
      <alignment horizontal="right"/>
    </xf>
    <xf numFmtId="0" fontId="17" fillId="0" borderId="0" xfId="0" applyFont="1" applyFill="1" applyBorder="1" applyAlignment="1">
      <alignment horizontal="right"/>
    </xf>
    <xf numFmtId="0" fontId="11" fillId="9" borderId="1" xfId="0" applyFont="1" applyFill="1" applyBorder="1" applyAlignment="1">
      <alignment horizontal="center" wrapText="1"/>
    </xf>
    <xf numFmtId="0" fontId="17" fillId="9" borderId="4" xfId="0" applyFont="1" applyFill="1" applyBorder="1"/>
    <xf numFmtId="0" fontId="17" fillId="0" borderId="0" xfId="0" applyFont="1" applyFill="1" applyBorder="1" applyAlignment="1">
      <alignment horizontal="center"/>
    </xf>
    <xf numFmtId="0" fontId="1" fillId="0" borderId="9" xfId="0" applyFont="1" applyBorder="1"/>
    <xf numFmtId="164" fontId="1" fillId="0" borderId="9" xfId="0" applyNumberFormat="1" applyFont="1" applyBorder="1"/>
    <xf numFmtId="14" fontId="2" fillId="0" borderId="0" xfId="0" applyNumberFormat="1"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2" borderId="0" xfId="0" applyFont="1" applyFill="1" applyAlignment="1">
      <alignment horizontal="center"/>
    </xf>
    <xf numFmtId="0" fontId="0" fillId="0" borderId="0" xfId="0" applyAlignment="1">
      <alignment horizontal="left"/>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wrapText="1"/>
    </xf>
    <xf numFmtId="164"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0" fontId="1" fillId="2" borderId="1" xfId="0" applyFont="1" applyFill="1" applyBorder="1" applyAlignment="1">
      <alignment horizontal="center"/>
    </xf>
    <xf numFmtId="1" fontId="1" fillId="0" borderId="1" xfId="0" applyNumberFormat="1" applyFont="1" applyFill="1" applyBorder="1"/>
    <xf numFmtId="164" fontId="1" fillId="0" borderId="1" xfId="0" applyNumberFormat="1" applyFont="1" applyFill="1" applyBorder="1"/>
    <xf numFmtId="1" fontId="1" fillId="0" borderId="0" xfId="0" applyNumberFormat="1" applyFont="1" applyProtection="1"/>
    <xf numFmtId="0" fontId="1" fillId="2" borderId="0" xfId="0" applyNumberFormat="1" applyFont="1" applyFill="1"/>
    <xf numFmtId="1" fontId="1" fillId="0" borderId="0" xfId="0" applyNumberFormat="1" applyFont="1" applyFill="1" applyProtection="1"/>
    <xf numFmtId="0" fontId="1" fillId="5" borderId="0" xfId="0" applyFont="1" applyFill="1"/>
    <xf numFmtId="0" fontId="1" fillId="0" borderId="0" xfId="0" applyFont="1" applyProtection="1"/>
    <xf numFmtId="2" fontId="1" fillId="0" borderId="0" xfId="0" applyNumberFormat="1" applyFont="1"/>
    <xf numFmtId="165" fontId="1" fillId="0" borderId="0" xfId="0" applyNumberFormat="1" applyFont="1"/>
    <xf numFmtId="2" fontId="1" fillId="0" borderId="0" xfId="0" applyNumberFormat="1" applyFont="1" applyFill="1" applyBorder="1"/>
    <xf numFmtId="0" fontId="2" fillId="6" borderId="1" xfId="0" applyFont="1" applyFill="1" applyBorder="1" applyAlignment="1">
      <alignment horizontal="center" wrapText="1"/>
    </xf>
    <xf numFmtId="0" fontId="11" fillId="6" borderId="9" xfId="0" applyFont="1" applyFill="1" applyBorder="1" applyAlignment="1"/>
    <xf numFmtId="177" fontId="2" fillId="0" borderId="1" xfId="0" applyNumberFormat="1" applyFont="1" applyBorder="1" applyAlignment="1">
      <alignment horizontal="center"/>
    </xf>
    <xf numFmtId="165" fontId="13" fillId="2" borderId="1" xfId="0" applyNumberFormat="1" applyFont="1" applyFill="1" applyBorder="1"/>
    <xf numFmtId="3" fontId="2" fillId="0" borderId="1" xfId="0" applyNumberFormat="1" applyFont="1" applyBorder="1"/>
    <xf numFmtId="165" fontId="2" fillId="2" borderId="1" xfId="0" applyNumberFormat="1" applyFont="1" applyFill="1" applyBorder="1" applyAlignment="1">
      <alignment horizontal="right"/>
    </xf>
    <xf numFmtId="177" fontId="2" fillId="2" borderId="1" xfId="0" applyNumberFormat="1" applyFont="1" applyFill="1" applyBorder="1" applyAlignment="1">
      <alignment horizontal="center"/>
    </xf>
    <xf numFmtId="20" fontId="0" fillId="0" borderId="0" xfId="0" applyNumberFormat="1" applyBorder="1"/>
    <xf numFmtId="0" fontId="17" fillId="0" borderId="0" xfId="0" applyFont="1" applyFill="1" applyBorder="1"/>
    <xf numFmtId="0" fontId="17" fillId="0" borderId="1" xfId="0" applyFont="1" applyFill="1" applyBorder="1"/>
    <xf numFmtId="0" fontId="1" fillId="0" borderId="2" xfId="0" applyFont="1" applyBorder="1"/>
    <xf numFmtId="0" fontId="1" fillId="0" borderId="17" xfId="0" applyFont="1" applyBorder="1" applyAlignment="1">
      <alignment horizontal="center"/>
    </xf>
    <xf numFmtId="2" fontId="2" fillId="0" borderId="0" xfId="0" applyNumberFormat="1" applyFont="1" applyAlignment="1">
      <alignment horizontal="center"/>
    </xf>
    <xf numFmtId="0" fontId="2" fillId="9" borderId="1" xfId="0" applyFont="1" applyFill="1" applyBorder="1" applyAlignment="1">
      <alignment horizontal="center"/>
    </xf>
    <xf numFmtId="0" fontId="17" fillId="0" borderId="1"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top" wrapText="1"/>
    </xf>
    <xf numFmtId="0" fontId="1" fillId="9" borderId="1" xfId="0" applyFont="1" applyFill="1" applyBorder="1" applyAlignment="1">
      <alignment horizontal="center"/>
    </xf>
    <xf numFmtId="0" fontId="0" fillId="0" borderId="1" xfId="0" applyBorder="1" applyAlignment="1">
      <alignment horizontal="center"/>
    </xf>
    <xf numFmtId="0" fontId="2" fillId="9" borderId="1" xfId="0" applyFont="1" applyFill="1" applyBorder="1" applyAlignment="1">
      <alignment horizontal="center" wrapText="1"/>
    </xf>
    <xf numFmtId="164" fontId="2" fillId="9" borderId="1" xfId="0" applyNumberFormat="1" applyFont="1" applyFill="1" applyBorder="1" applyAlignment="1">
      <alignment horizontal="center"/>
    </xf>
    <xf numFmtId="1" fontId="17" fillId="0" borderId="1" xfId="0" applyNumberFormat="1" applyFont="1" applyFill="1" applyBorder="1" applyAlignment="1">
      <alignment horizontal="center"/>
    </xf>
    <xf numFmtId="0" fontId="4" fillId="2" borderId="5" xfId="0" applyFont="1" applyFill="1" applyBorder="1"/>
    <xf numFmtId="1" fontId="23" fillId="9" borderId="1" xfId="0" applyNumberFormat="1" applyFont="1" applyFill="1" applyBorder="1" applyAlignment="1">
      <alignment horizontal="center"/>
    </xf>
    <xf numFmtId="2" fontId="23" fillId="0" borderId="1" xfId="0" applyNumberFormat="1" applyFont="1" applyBorder="1" applyAlignment="1">
      <alignment horizontal="center"/>
    </xf>
    <xf numFmtId="2" fontId="23" fillId="0" borderId="1" xfId="0" applyNumberFormat="1" applyFont="1" applyFill="1" applyBorder="1" applyAlignment="1">
      <alignment horizontal="center"/>
    </xf>
    <xf numFmtId="1" fontId="23" fillId="0" borderId="1" xfId="0" applyNumberFormat="1" applyFont="1" applyFill="1" applyBorder="1" applyAlignment="1">
      <alignment horizontal="center"/>
    </xf>
    <xf numFmtId="1" fontId="17" fillId="9" borderId="1" xfId="0" applyNumberFormat="1" applyFont="1" applyFill="1" applyBorder="1" applyAlignment="1">
      <alignment horizontal="center"/>
    </xf>
    <xf numFmtId="0" fontId="9" fillId="0" borderId="1" xfId="0" applyFont="1" applyBorder="1" applyAlignment="1">
      <alignment horizontal="center"/>
    </xf>
    <xf numFmtId="0" fontId="9" fillId="0" borderId="1" xfId="0" applyNumberFormat="1" applyFont="1" applyBorder="1" applyAlignment="1">
      <alignment horizontal="center"/>
    </xf>
    <xf numFmtId="164" fontId="9" fillId="0" borderId="1" xfId="0" applyNumberFormat="1" applyFont="1" applyBorder="1" applyAlignment="1">
      <alignment horizontal="center"/>
    </xf>
    <xf numFmtId="0" fontId="9" fillId="0" borderId="1" xfId="0" applyFont="1" applyFill="1" applyBorder="1" applyAlignment="1">
      <alignment horizontal="center"/>
    </xf>
    <xf numFmtId="165" fontId="4" fillId="2" borderId="7" xfId="0" applyNumberFormat="1" applyFont="1" applyFill="1" applyBorder="1" applyAlignment="1">
      <alignment horizontal="left" vertical="top" wrapText="1"/>
    </xf>
    <xf numFmtId="164" fontId="4" fillId="2" borderId="7" xfId="0" applyNumberFormat="1" applyFont="1" applyFill="1" applyBorder="1" applyAlignment="1">
      <alignment horizontal="left" vertical="top" wrapText="1"/>
    </xf>
    <xf numFmtId="0" fontId="23" fillId="0" borderId="1" xfId="0" applyFont="1" applyBorder="1" applyAlignment="1">
      <alignment horizontal="center" vertical="top"/>
    </xf>
    <xf numFmtId="0" fontId="1" fillId="0" borderId="1" xfId="0" applyFont="1" applyBorder="1" applyAlignment="1">
      <alignment horizontal="center" vertical="top"/>
    </xf>
    <xf numFmtId="15" fontId="2" fillId="0" borderId="0" xfId="0" applyNumberFormat="1" applyFont="1" applyFill="1"/>
    <xf numFmtId="165" fontId="0" fillId="0" borderId="0" xfId="0" applyNumberFormat="1" applyFill="1"/>
    <xf numFmtId="0" fontId="13" fillId="3" borderId="14" xfId="0" applyFont="1" applyFill="1" applyBorder="1" applyAlignment="1">
      <alignment horizontal="center" vertical="center" wrapText="1"/>
    </xf>
    <xf numFmtId="0" fontId="13" fillId="3" borderId="2" xfId="0" applyFont="1" applyFill="1" applyBorder="1" applyAlignment="1">
      <alignment horizontal="center" vertical="center" wrapText="1"/>
    </xf>
    <xf numFmtId="20" fontId="0" fillId="0" borderId="7" xfId="0" applyNumberFormat="1" applyBorder="1" applyAlignment="1"/>
    <xf numFmtId="20" fontId="1" fillId="0" borderId="5" xfId="0" applyNumberFormat="1" applyFont="1" applyBorder="1" applyAlignment="1"/>
    <xf numFmtId="20" fontId="23" fillId="0" borderId="5" xfId="0" applyNumberFormat="1" applyFont="1" applyBorder="1" applyAlignment="1">
      <alignment horizontal="center"/>
    </xf>
    <xf numFmtId="2" fontId="23" fillId="0" borderId="11" xfId="0" applyNumberFormat="1" applyFont="1" applyBorder="1" applyAlignment="1">
      <alignment horizontal="center"/>
    </xf>
    <xf numFmtId="0" fontId="23" fillId="0" borderId="7" xfId="0" applyFont="1" applyBorder="1" applyAlignment="1">
      <alignment horizontal="center"/>
    </xf>
    <xf numFmtId="0" fontId="23" fillId="0" borderId="0" xfId="0" applyFont="1" applyFill="1" applyBorder="1" applyAlignment="1">
      <alignment horizontal="center"/>
    </xf>
    <xf numFmtId="2" fontId="23" fillId="0" borderId="11" xfId="0" applyNumberFormat="1" applyFont="1" applyFill="1" applyBorder="1" applyAlignment="1">
      <alignment horizontal="center"/>
    </xf>
    <xf numFmtId="0" fontId="9" fillId="9" borderId="1" xfId="0" applyFont="1" applyFill="1" applyBorder="1" applyAlignment="1">
      <alignment horizontal="center"/>
    </xf>
    <xf numFmtId="0" fontId="9" fillId="9" borderId="1" xfId="0" applyNumberFormat="1" applyFont="1" applyFill="1" applyBorder="1" applyAlignment="1">
      <alignment horizontal="center"/>
    </xf>
    <xf numFmtId="164" fontId="9" fillId="9" borderId="1" xfId="0" applyNumberFormat="1" applyFont="1" applyFill="1" applyBorder="1" applyAlignment="1">
      <alignment horizontal="center"/>
    </xf>
    <xf numFmtId="0" fontId="9" fillId="0" borderId="1" xfId="0" applyNumberFormat="1" applyFont="1" applyFill="1" applyBorder="1" applyAlignment="1">
      <alignment horizontal="center"/>
    </xf>
    <xf numFmtId="1" fontId="9" fillId="0" borderId="1" xfId="0" applyNumberFormat="1" applyFont="1" applyBorder="1" applyAlignment="1">
      <alignment horizontal="center"/>
    </xf>
    <xf numFmtId="164" fontId="9" fillId="0" borderId="1" xfId="0" applyNumberFormat="1" applyFont="1" applyFill="1" applyBorder="1" applyAlignment="1">
      <alignment horizontal="center"/>
    </xf>
    <xf numFmtId="173" fontId="9" fillId="9" borderId="1" xfId="0" applyNumberFormat="1" applyFont="1" applyFill="1" applyBorder="1" applyAlignment="1">
      <alignment horizontal="center"/>
    </xf>
    <xf numFmtId="0" fontId="1" fillId="9" borderId="0" xfId="0" applyFont="1" applyFill="1"/>
    <xf numFmtId="0" fontId="1" fillId="9" borderId="0" xfId="0" applyNumberFormat="1" applyFont="1" applyFill="1"/>
    <xf numFmtId="0" fontId="0" fillId="9" borderId="0" xfId="0" applyFill="1" applyAlignment="1" applyProtection="1">
      <alignment horizontal="center"/>
    </xf>
    <xf numFmtId="3" fontId="0" fillId="0" borderId="1" xfId="0" applyNumberFormat="1" applyBorder="1" applyAlignment="1">
      <alignment horizontal="center"/>
    </xf>
    <xf numFmtId="178" fontId="1" fillId="0" borderId="0" xfId="0" applyNumberFormat="1" applyFont="1" applyFill="1" applyBorder="1" applyAlignment="1">
      <alignment horizontal="right"/>
    </xf>
    <xf numFmtId="172" fontId="1" fillId="0" borderId="0" xfId="0" applyNumberFormat="1" applyFont="1" applyFill="1" applyBorder="1" applyAlignment="1">
      <alignment horizontal="left"/>
    </xf>
    <xf numFmtId="14" fontId="2" fillId="0" borderId="0" xfId="0" applyNumberFormat="1" applyFont="1"/>
    <xf numFmtId="14" fontId="1" fillId="0" borderId="0" xfId="0" applyNumberFormat="1" applyFont="1" applyAlignment="1">
      <alignment horizontal="right"/>
    </xf>
    <xf numFmtId="0" fontId="1" fillId="0" borderId="0" xfId="0" applyFont="1" applyFill="1" applyBorder="1" applyAlignment="1">
      <alignment horizontal="left"/>
    </xf>
    <xf numFmtId="0" fontId="1" fillId="0" borderId="0" xfId="0" applyFont="1" applyFill="1"/>
    <xf numFmtId="0" fontId="6" fillId="0" borderId="0" xfId="0" applyFont="1" applyFill="1" applyBorder="1"/>
    <xf numFmtId="3" fontId="0" fillId="0" borderId="0" xfId="0" applyNumberFormat="1" applyFill="1" applyBorder="1"/>
    <xf numFmtId="0" fontId="29" fillId="0" borderId="0" xfId="0" applyFont="1" applyFill="1" applyBorder="1"/>
    <xf numFmtId="3" fontId="6" fillId="0" borderId="0" xfId="0" applyNumberFormat="1" applyFont="1" applyFill="1" applyBorder="1"/>
    <xf numFmtId="0" fontId="1" fillId="0" borderId="0" xfId="0" applyFont="1" applyFill="1" applyBorder="1"/>
    <xf numFmtId="0" fontId="2" fillId="0" borderId="9" xfId="7" applyFont="1" applyBorder="1" applyAlignment="1">
      <alignment horizontal="center"/>
    </xf>
    <xf numFmtId="0" fontId="2" fillId="0" borderId="11" xfId="7" applyFont="1" applyBorder="1" applyAlignment="1">
      <alignment horizontal="center"/>
    </xf>
    <xf numFmtId="0" fontId="2" fillId="9" borderId="1" xfId="7" applyFont="1" applyFill="1" applyBorder="1" applyAlignment="1">
      <alignment horizontal="center"/>
    </xf>
    <xf numFmtId="0" fontId="2" fillId="0" borderId="1" xfId="7" applyFont="1" applyBorder="1" applyAlignment="1">
      <alignment horizontal="center"/>
    </xf>
    <xf numFmtId="0" fontId="2" fillId="0" borderId="2" xfId="7" applyFont="1" applyBorder="1" applyAlignment="1">
      <alignment horizontal="center"/>
    </xf>
    <xf numFmtId="0" fontId="51" fillId="0" borderId="1" xfId="7" applyBorder="1"/>
    <xf numFmtId="3" fontId="51" fillId="9" borderId="1" xfId="7" applyNumberFormat="1" applyFill="1" applyBorder="1"/>
    <xf numFmtId="164" fontId="51" fillId="9" borderId="1" xfId="7" applyNumberFormat="1" applyFill="1" applyBorder="1"/>
    <xf numFmtId="3" fontId="51" fillId="0" borderId="1" xfId="7" applyNumberFormat="1" applyBorder="1"/>
    <xf numFmtId="164" fontId="51" fillId="0" borderId="1" xfId="7" applyNumberFormat="1" applyBorder="1"/>
    <xf numFmtId="164" fontId="51" fillId="9" borderId="7" xfId="7" applyNumberFormat="1" applyFill="1" applyBorder="1"/>
    <xf numFmtId="0" fontId="51" fillId="9" borderId="1" xfId="7" applyFill="1" applyBorder="1"/>
    <xf numFmtId="0" fontId="0" fillId="9" borderId="7" xfId="0" applyFill="1" applyBorder="1"/>
    <xf numFmtId="0" fontId="51" fillId="0" borderId="9" xfId="7" applyBorder="1"/>
    <xf numFmtId="0" fontId="0" fillId="9" borderId="9" xfId="0" applyFill="1" applyBorder="1"/>
    <xf numFmtId="0" fontId="0" fillId="0" borderId="9" xfId="0" applyBorder="1"/>
    <xf numFmtId="3" fontId="51" fillId="0" borderId="9" xfId="7" applyNumberFormat="1" applyBorder="1"/>
    <xf numFmtId="164" fontId="51" fillId="0" borderId="9" xfId="7" applyNumberFormat="1" applyBorder="1"/>
    <xf numFmtId="0" fontId="2" fillId="9" borderId="1" xfId="7" applyFont="1" applyFill="1" applyBorder="1" applyAlignment="1">
      <alignment horizontal="right"/>
    </xf>
    <xf numFmtId="15" fontId="51" fillId="9" borderId="1" xfId="7" applyNumberFormat="1" applyFill="1" applyBorder="1" applyAlignment="1">
      <alignment horizontal="left"/>
    </xf>
    <xf numFmtId="3" fontId="51" fillId="0" borderId="1" xfId="7" applyNumberFormat="1" applyBorder="1" applyAlignment="1">
      <alignment horizontal="right"/>
    </xf>
    <xf numFmtId="164" fontId="51" fillId="0" borderId="1" xfId="7" applyNumberFormat="1" applyBorder="1" applyAlignment="1">
      <alignment horizontal="right"/>
    </xf>
    <xf numFmtId="3" fontId="51" fillId="0" borderId="1" xfId="7" applyNumberFormat="1" applyFill="1" applyBorder="1" applyAlignment="1">
      <alignment horizontal="center"/>
    </xf>
    <xf numFmtId="3" fontId="0" fillId="25" borderId="1" xfId="0" applyNumberFormat="1" applyFill="1" applyBorder="1"/>
    <xf numFmtId="0" fontId="51" fillId="25" borderId="1" xfId="7" applyFill="1" applyBorder="1" applyAlignment="1">
      <alignment horizontal="right"/>
    </xf>
    <xf numFmtId="0" fontId="2" fillId="4" borderId="7" xfId="0" applyFont="1" applyFill="1" applyBorder="1" applyAlignment="1"/>
    <xf numFmtId="0" fontId="2" fillId="4" borderId="5" xfId="0" applyFont="1" applyFill="1" applyBorder="1" applyAlignment="1"/>
    <xf numFmtId="164" fontId="2" fillId="0" borderId="0" xfId="0" applyNumberFormat="1" applyFont="1" applyAlignment="1">
      <alignment horizontal="center"/>
    </xf>
    <xf numFmtId="1" fontId="13" fillId="2" borderId="1" xfId="0" applyNumberFormat="1" applyFont="1" applyFill="1" applyBorder="1" applyAlignment="1">
      <alignment horizontal="center"/>
    </xf>
    <xf numFmtId="0" fontId="6" fillId="0" borderId="1" xfId="0" applyFont="1" applyFill="1" applyBorder="1" applyAlignment="1">
      <alignment wrapText="1"/>
    </xf>
    <xf numFmtId="0" fontId="2" fillId="26" borderId="35" xfId="0" applyFont="1" applyFill="1" applyBorder="1" applyAlignment="1">
      <alignment horizontal="center" vertical="center"/>
    </xf>
    <xf numFmtId="0" fontId="2" fillId="26" borderId="42" xfId="0" applyFont="1" applyFill="1" applyBorder="1" applyAlignment="1">
      <alignment horizontal="center" vertical="center"/>
    </xf>
    <xf numFmtId="0" fontId="2" fillId="26" borderId="43" xfId="0" applyFont="1" applyFill="1" applyBorder="1" applyAlignment="1">
      <alignment horizontal="center" vertical="center"/>
    </xf>
    <xf numFmtId="0" fontId="2" fillId="26" borderId="43" xfId="0" applyFont="1" applyFill="1" applyBorder="1" applyAlignment="1">
      <alignment horizontal="center" vertical="center" wrapText="1"/>
    </xf>
    <xf numFmtId="0" fontId="2" fillId="26" borderId="44" xfId="0" applyFont="1" applyFill="1" applyBorder="1" applyAlignment="1">
      <alignment horizontal="center" vertical="center" wrapText="1"/>
    </xf>
    <xf numFmtId="0" fontId="2" fillId="26" borderId="37" xfId="0" applyFont="1" applyFill="1" applyBorder="1" applyAlignment="1">
      <alignment horizontal="center"/>
    </xf>
    <xf numFmtId="0" fontId="0" fillId="26" borderId="18" xfId="0" applyFill="1" applyBorder="1"/>
    <xf numFmtId="0" fontId="0" fillId="0" borderId="12" xfId="0" applyBorder="1" applyAlignment="1">
      <alignment horizontal="right"/>
    </xf>
    <xf numFmtId="0" fontId="0" fillId="0" borderId="45" xfId="0" applyBorder="1" applyAlignment="1">
      <alignment horizontal="right"/>
    </xf>
    <xf numFmtId="0" fontId="0" fillId="26" borderId="4" xfId="0" applyFill="1" applyBorder="1"/>
    <xf numFmtId="0" fontId="0" fillId="0" borderId="22" xfId="0" applyBorder="1" applyAlignment="1">
      <alignment horizontal="right"/>
    </xf>
    <xf numFmtId="0" fontId="0" fillId="0" borderId="38" xfId="0" applyBorder="1" applyAlignment="1">
      <alignment horizontal="right"/>
    </xf>
    <xf numFmtId="0" fontId="0" fillId="26" borderId="4" xfId="0" applyFill="1" applyBorder="1" applyAlignment="1">
      <alignment horizontal="center" vertical="center"/>
    </xf>
    <xf numFmtId="0" fontId="0" fillId="26" borderId="6" xfId="0" applyFill="1" applyBorder="1"/>
    <xf numFmtId="0" fontId="0" fillId="0" borderId="32" xfId="0" applyBorder="1" applyAlignment="1">
      <alignment horizontal="right"/>
    </xf>
    <xf numFmtId="0" fontId="0" fillId="26" borderId="38" xfId="0" applyFill="1" applyBorder="1" applyAlignment="1">
      <alignment horizontal="center" vertical="center"/>
    </xf>
    <xf numFmtId="0" fontId="0" fillId="26" borderId="50" xfId="0" applyFill="1" applyBorder="1"/>
    <xf numFmtId="165" fontId="2" fillId="0" borderId="0" xfId="0" applyNumberFormat="1" applyFont="1" applyBorder="1"/>
    <xf numFmtId="0" fontId="13" fillId="2" borderId="0" xfId="0" applyFont="1" applyFill="1" applyBorder="1" applyAlignment="1">
      <alignment horizontal="right"/>
    </xf>
    <xf numFmtId="3" fontId="11" fillId="2" borderId="0" xfId="0" applyNumberFormat="1" applyFont="1" applyFill="1" applyBorder="1" applyAlignment="1">
      <alignment horizontal="center"/>
    </xf>
    <xf numFmtId="0" fontId="13" fillId="0" borderId="0" xfId="0" applyFont="1" applyBorder="1"/>
    <xf numFmtId="1" fontId="2" fillId="0" borderId="0" xfId="0" applyNumberFormat="1" applyFont="1" applyBorder="1" applyAlignment="1">
      <alignment horizontal="center"/>
    </xf>
    <xf numFmtId="0" fontId="13" fillId="2" borderId="3" xfId="0" applyFont="1" applyFill="1" applyBorder="1" applyAlignment="1">
      <alignment horizontal="right"/>
    </xf>
    <xf numFmtId="1" fontId="11" fillId="0" borderId="3" xfId="0" applyNumberFormat="1" applyFont="1" applyBorder="1" applyAlignment="1">
      <alignment horizontal="center"/>
    </xf>
    <xf numFmtId="3" fontId="11" fillId="2" borderId="3" xfId="0" applyNumberFormat="1" applyFont="1" applyFill="1" applyBorder="1" applyAlignment="1">
      <alignment horizontal="center"/>
    </xf>
    <xf numFmtId="0" fontId="4" fillId="0" borderId="0" xfId="0" applyFont="1" applyAlignment="1">
      <alignment horizontal="center"/>
    </xf>
    <xf numFmtId="0" fontId="2" fillId="4" borderId="1" xfId="0" applyFont="1" applyFill="1" applyBorder="1" applyAlignment="1">
      <alignment horizontal="center"/>
    </xf>
    <xf numFmtId="0" fontId="0" fillId="4" borderId="1" xfId="0" applyFill="1" applyBorder="1" applyAlignment="1">
      <alignment horizontal="center"/>
    </xf>
    <xf numFmtId="0" fontId="2" fillId="0" borderId="9" xfId="0" applyFont="1" applyFill="1" applyBorder="1" applyAlignment="1">
      <alignment horizontal="center" vertical="top"/>
    </xf>
    <xf numFmtId="0" fontId="2" fillId="0" borderId="11" xfId="0" applyFont="1" applyFill="1" applyBorder="1" applyAlignment="1">
      <alignment horizontal="center" vertical="top"/>
    </xf>
    <xf numFmtId="0" fontId="20" fillId="0" borderId="13" xfId="0" applyFont="1" applyBorder="1" applyAlignment="1">
      <alignment horizontal="center"/>
    </xf>
    <xf numFmtId="0" fontId="10" fillId="0" borderId="9" xfId="0" applyFont="1" applyBorder="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4" fillId="0" borderId="0" xfId="0" applyFont="1" applyBorder="1" applyAlignment="1">
      <alignment horizontal="center"/>
    </xf>
    <xf numFmtId="0" fontId="9" fillId="0" borderId="0" xfId="0" applyFont="1" applyBorder="1" applyAlignment="1">
      <alignment horizontal="center"/>
    </xf>
    <xf numFmtId="0" fontId="2" fillId="2" borderId="9" xfId="0" applyFont="1" applyFill="1" applyBorder="1" applyAlignment="1">
      <alignment horizont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10" fillId="0" borderId="9" xfId="0" applyFont="1" applyFill="1" applyBorder="1" applyAlignment="1">
      <alignment vertical="top" wrapText="1"/>
    </xf>
    <xf numFmtId="0" fontId="10" fillId="0" borderId="11" xfId="0" applyFont="1" applyFill="1" applyBorder="1" applyAlignment="1">
      <alignment vertical="top" wrapText="1"/>
    </xf>
    <xf numFmtId="0" fontId="10" fillId="0" borderId="2" xfId="0" applyFont="1" applyFill="1" applyBorder="1" applyAlignment="1">
      <alignment vertical="top" wrapText="1"/>
    </xf>
    <xf numFmtId="165" fontId="4" fillId="0" borderId="1" xfId="0" applyNumberFormat="1"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165" fontId="4" fillId="0" borderId="13" xfId="0" applyNumberFormat="1" applyFont="1" applyBorder="1" applyAlignment="1">
      <alignment horizontal="center"/>
    </xf>
    <xf numFmtId="0" fontId="2" fillId="6" borderId="6" xfId="0" applyFont="1" applyFill="1" applyBorder="1" applyAlignment="1">
      <alignment horizontal="center"/>
    </xf>
    <xf numFmtId="0" fontId="2" fillId="6" borderId="13" xfId="0" applyFont="1" applyFill="1" applyBorder="1" applyAlignment="1">
      <alignment horizontal="center"/>
    </xf>
    <xf numFmtId="0" fontId="0" fillId="0" borderId="0" xfId="0" applyBorder="1" applyAlignment="1">
      <alignment horizontal="center" wrapText="1"/>
    </xf>
    <xf numFmtId="0" fontId="0" fillId="0" borderId="0" xfId="0" applyAlignment="1">
      <alignment horizontal="left"/>
    </xf>
    <xf numFmtId="0" fontId="2" fillId="0" borderId="13" xfId="0" applyFont="1" applyBorder="1" applyAlignment="1">
      <alignment horizontal="center"/>
    </xf>
    <xf numFmtId="15" fontId="0" fillId="9" borderId="1" xfId="0" applyNumberFormat="1" applyFill="1" applyBorder="1" applyAlignment="1">
      <alignment horizontal="center"/>
    </xf>
    <xf numFmtId="0" fontId="0" fillId="9" borderId="1" xfId="0" applyFill="1" applyBorder="1" applyAlignment="1">
      <alignment horizontal="center"/>
    </xf>
    <xf numFmtId="15" fontId="0" fillId="0" borderId="1" xfId="0" applyNumberFormat="1" applyBorder="1" applyAlignment="1">
      <alignment horizontal="center"/>
    </xf>
    <xf numFmtId="0" fontId="0" fillId="0" borderId="1" xfId="0" applyBorder="1" applyAlignment="1">
      <alignment horizontal="center"/>
    </xf>
    <xf numFmtId="0" fontId="2" fillId="0" borderId="9" xfId="7" applyFont="1" applyBorder="1" applyAlignment="1">
      <alignment horizontal="center"/>
    </xf>
    <xf numFmtId="0" fontId="2" fillId="0" borderId="11" xfId="7" applyFont="1" applyBorder="1" applyAlignment="1">
      <alignment horizontal="center"/>
    </xf>
    <xf numFmtId="0" fontId="2" fillId="0" borderId="2" xfId="7" applyFont="1" applyBorder="1" applyAlignment="1">
      <alignment horizontal="center"/>
    </xf>
    <xf numFmtId="0" fontId="4" fillId="11" borderId="15" xfId="0" applyFont="1" applyFill="1" applyBorder="1" applyAlignment="1">
      <alignment horizontal="center"/>
    </xf>
    <xf numFmtId="0" fontId="9" fillId="0" borderId="7" xfId="0" applyFont="1" applyBorder="1" applyAlignment="1">
      <alignment horizontal="left"/>
    </xf>
    <xf numFmtId="0" fontId="9" fillId="0" borderId="5" xfId="0" applyFont="1" applyBorder="1" applyAlignment="1">
      <alignment horizontal="left"/>
    </xf>
    <xf numFmtId="0" fontId="9" fillId="0" borderId="16" xfId="0" applyFont="1" applyBorder="1" applyAlignment="1">
      <alignment horizontal="center" vertical="top" wrapText="1"/>
    </xf>
    <xf numFmtId="0" fontId="4" fillId="11" borderId="15" xfId="0" applyFont="1" applyFill="1" applyBorder="1" applyAlignment="1">
      <alignment horizontal="left"/>
    </xf>
    <xf numFmtId="0" fontId="9" fillId="0" borderId="19" xfId="0" applyFont="1" applyBorder="1" applyAlignment="1">
      <alignment horizontal="center" vertical="top" wrapText="1"/>
    </xf>
    <xf numFmtId="0" fontId="1" fillId="0" borderId="19" xfId="0" applyFont="1" applyBorder="1" applyAlignment="1">
      <alignment horizontal="center" vertical="top" wrapText="1"/>
    </xf>
    <xf numFmtId="0" fontId="1" fillId="0" borderId="7" xfId="0" applyFont="1" applyBorder="1" applyAlignment="1">
      <alignment horizontal="left"/>
    </xf>
    <xf numFmtId="0" fontId="1" fillId="0" borderId="5" xfId="0" applyFont="1" applyBorder="1" applyAlignment="1">
      <alignment horizontal="left"/>
    </xf>
    <xf numFmtId="0" fontId="1" fillId="0" borderId="16" xfId="0" applyFont="1" applyBorder="1" applyAlignment="1">
      <alignment horizontal="center" vertical="top" wrapText="1"/>
    </xf>
    <xf numFmtId="0" fontId="2" fillId="11" borderId="15" xfId="0" applyFont="1" applyFill="1" applyBorder="1" applyAlignment="1">
      <alignment horizontal="center"/>
    </xf>
    <xf numFmtId="0" fontId="17" fillId="11" borderId="15" xfId="0" applyFont="1" applyFill="1" applyBorder="1" applyAlignment="1">
      <alignment horizontal="left"/>
    </xf>
    <xf numFmtId="9" fontId="9" fillId="0" borderId="16" xfId="0" applyNumberFormat="1" applyFont="1" applyBorder="1" applyAlignment="1">
      <alignment horizontal="center" vertical="top" wrapText="1"/>
    </xf>
    <xf numFmtId="0" fontId="13" fillId="0" borderId="28" xfId="0" applyFont="1" applyBorder="1" applyAlignment="1">
      <alignment horizontal="center"/>
    </xf>
    <xf numFmtId="0" fontId="13" fillId="0" borderId="20" xfId="0" applyFont="1" applyBorder="1" applyAlignment="1">
      <alignment horizontal="center"/>
    </xf>
    <xf numFmtId="0" fontId="13" fillId="16" borderId="24" xfId="0" applyFont="1" applyFill="1" applyBorder="1" applyAlignment="1">
      <alignment horizontal="center"/>
    </xf>
    <xf numFmtId="0" fontId="13" fillId="16" borderId="25" xfId="0" applyFont="1" applyFill="1" applyBorder="1" applyAlignment="1">
      <alignment horizontal="center"/>
    </xf>
    <xf numFmtId="0" fontId="13" fillId="16" borderId="26" xfId="0" applyFont="1" applyFill="1" applyBorder="1" applyAlignment="1">
      <alignment horizontal="center"/>
    </xf>
    <xf numFmtId="14" fontId="13" fillId="17" borderId="28" xfId="0" applyNumberFormat="1" applyFont="1" applyFill="1" applyBorder="1" applyAlignment="1">
      <alignment horizontal="center"/>
    </xf>
    <xf numFmtId="14" fontId="13" fillId="17" borderId="19" xfId="0" applyNumberFormat="1" applyFont="1" applyFill="1" applyBorder="1" applyAlignment="1">
      <alignment horizontal="center"/>
    </xf>
    <xf numFmtId="14" fontId="13" fillId="17" borderId="20" xfId="0" applyNumberFormat="1" applyFont="1" applyFill="1" applyBorder="1" applyAlignment="1">
      <alignment horizontal="center"/>
    </xf>
    <xf numFmtId="0" fontId="37" fillId="19" borderId="24" xfId="0" applyFont="1" applyFill="1" applyBorder="1" applyAlignment="1">
      <alignment horizontal="center" wrapText="1"/>
    </xf>
    <xf numFmtId="0" fontId="37" fillId="19" borderId="26" xfId="0" applyFont="1" applyFill="1" applyBorder="1" applyAlignment="1">
      <alignment horizontal="center" wrapText="1"/>
    </xf>
    <xf numFmtId="0" fontId="37" fillId="19" borderId="24" xfId="0" applyFont="1" applyFill="1" applyBorder="1" applyAlignment="1">
      <alignment horizontal="center" vertical="top" wrapText="1"/>
    </xf>
    <xf numFmtId="0" fontId="37" fillId="19" borderId="26" xfId="0" applyFont="1" applyFill="1" applyBorder="1" applyAlignment="1">
      <alignment horizontal="center" vertical="top" wrapText="1"/>
    </xf>
    <xf numFmtId="0" fontId="13" fillId="0" borderId="19" xfId="0" applyFont="1" applyBorder="1" applyAlignment="1">
      <alignment horizontal="center"/>
    </xf>
    <xf numFmtId="9" fontId="9" fillId="0" borderId="19" xfId="0" applyNumberFormat="1" applyFont="1" applyBorder="1" applyAlignment="1">
      <alignment horizontal="center" vertical="top" wrapText="1"/>
    </xf>
    <xf numFmtId="0" fontId="23" fillId="0" borderId="16" xfId="0" applyFont="1" applyBorder="1" applyAlignment="1">
      <alignment horizontal="center" vertical="top" wrapText="1"/>
    </xf>
    <xf numFmtId="0" fontId="23" fillId="0" borderId="19" xfId="0" applyFont="1" applyBorder="1" applyAlignment="1">
      <alignment horizontal="center" vertical="top" wrapText="1"/>
    </xf>
    <xf numFmtId="0" fontId="1" fillId="0" borderId="1" xfId="0" applyFont="1" applyBorder="1" applyAlignment="1">
      <alignment horizontal="left"/>
    </xf>
    <xf numFmtId="0" fontId="25" fillId="0" borderId="1" xfId="3" applyFont="1" applyFill="1" applyBorder="1" applyAlignment="1">
      <alignment horizontal="left"/>
    </xf>
    <xf numFmtId="0" fontId="2" fillId="9" borderId="1" xfId="0" applyFont="1" applyFill="1" applyBorder="1" applyAlignment="1">
      <alignment horizontal="center"/>
    </xf>
    <xf numFmtId="0" fontId="9" fillId="0" borderId="1" xfId="0" applyFont="1" applyBorder="1" applyAlignment="1">
      <alignment horizontal="center" vertical="top" wrapText="1"/>
    </xf>
    <xf numFmtId="0" fontId="4" fillId="11" borderId="1" xfId="0" applyFont="1" applyFill="1" applyBorder="1" applyAlignment="1">
      <alignment horizontal="left"/>
    </xf>
    <xf numFmtId="0" fontId="17" fillId="0" borderId="0" xfId="0" applyFont="1" applyAlignment="1">
      <alignment horizontal="center"/>
    </xf>
    <xf numFmtId="0" fontId="9" fillId="0" borderId="7" xfId="0" applyFont="1" applyBorder="1" applyAlignment="1">
      <alignment horizontal="center" vertical="top" wrapText="1"/>
    </xf>
    <xf numFmtId="0" fontId="9" fillId="0" borderId="5" xfId="0" applyFont="1" applyBorder="1" applyAlignment="1">
      <alignment horizontal="center" vertical="top" wrapText="1"/>
    </xf>
    <xf numFmtId="0" fontId="13" fillId="0" borderId="1" xfId="0" applyFont="1" applyBorder="1" applyAlignment="1">
      <alignment horizontal="center"/>
    </xf>
    <xf numFmtId="0" fontId="45" fillId="9" borderId="1" xfId="0" applyFont="1" applyFill="1" applyBorder="1" applyAlignment="1">
      <alignment horizontal="center"/>
    </xf>
    <xf numFmtId="0" fontId="42" fillId="9" borderId="7" xfId="0" applyFont="1" applyFill="1" applyBorder="1" applyAlignment="1">
      <alignment horizontal="center"/>
    </xf>
    <xf numFmtId="0" fontId="42" fillId="9" borderId="15" xfId="0" applyFont="1" applyFill="1" applyBorder="1" applyAlignment="1">
      <alignment horizontal="center"/>
    </xf>
    <xf numFmtId="0" fontId="42" fillId="9" borderId="5" xfId="0" applyFont="1" applyFill="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17" fillId="0" borderId="1" xfId="0" applyFont="1" applyBorder="1" applyAlignment="1">
      <alignment horizontal="center"/>
    </xf>
    <xf numFmtId="0" fontId="7" fillId="0" borderId="1" xfId="0" applyFont="1" applyBorder="1" applyAlignment="1">
      <alignment horizontal="left" vertical="top" wrapText="1"/>
    </xf>
    <xf numFmtId="171" fontId="17" fillId="0" borderId="1" xfId="0" applyNumberFormat="1" applyFont="1" applyBorder="1" applyAlignment="1">
      <alignment horizontal="center"/>
    </xf>
    <xf numFmtId="14" fontId="17" fillId="0" borderId="1" xfId="0" applyNumberFormat="1" applyFont="1" applyBorder="1" applyAlignment="1">
      <alignment horizontal="center"/>
    </xf>
    <xf numFmtId="0" fontId="13" fillId="9" borderId="7" xfId="0" applyFont="1" applyFill="1" applyBorder="1" applyAlignment="1">
      <alignment horizontal="center"/>
    </xf>
    <xf numFmtId="0" fontId="13" fillId="9" borderId="15" xfId="0" applyFont="1" applyFill="1" applyBorder="1" applyAlignment="1">
      <alignment horizontal="center"/>
    </xf>
    <xf numFmtId="0" fontId="13" fillId="9" borderId="5" xfId="0" applyFont="1" applyFill="1" applyBorder="1" applyAlignment="1">
      <alignment horizontal="center"/>
    </xf>
    <xf numFmtId="0" fontId="1" fillId="0" borderId="9" xfId="0" applyFont="1"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1" fillId="9" borderId="9" xfId="0" applyFont="1" applyFill="1" applyBorder="1" applyAlignment="1">
      <alignment horizontal="left" vertical="top" wrapText="1"/>
    </xf>
    <xf numFmtId="0" fontId="0" fillId="9" borderId="11" xfId="0" applyFill="1" applyBorder="1" applyAlignment="1">
      <alignment horizontal="left" vertical="top" wrapText="1"/>
    </xf>
    <xf numFmtId="0" fontId="0" fillId="9" borderId="2" xfId="0" applyFill="1" applyBorder="1" applyAlignment="1">
      <alignment horizontal="left" vertical="top" wrapText="1"/>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center" wrapText="1"/>
    </xf>
    <xf numFmtId="0" fontId="2" fillId="9" borderId="1" xfId="0" applyFont="1" applyFill="1" applyBorder="1" applyAlignment="1">
      <alignment horizontal="center" wrapText="1"/>
    </xf>
    <xf numFmtId="0" fontId="11" fillId="9" borderId="7" xfId="0" applyFont="1" applyFill="1" applyBorder="1" applyAlignment="1">
      <alignment horizontal="center"/>
    </xf>
    <xf numFmtId="0" fontId="11" fillId="9" borderId="15" xfId="0" applyFont="1" applyFill="1" applyBorder="1"/>
    <xf numFmtId="0" fontId="11" fillId="9" borderId="5" xfId="0" applyFont="1" applyFill="1" applyBorder="1"/>
    <xf numFmtId="0" fontId="1" fillId="10" borderId="7" xfId="0" applyFont="1" applyFill="1" applyBorder="1" applyAlignment="1">
      <alignment horizontal="center"/>
    </xf>
    <xf numFmtId="0" fontId="1" fillId="10" borderId="15" xfId="0" applyFont="1" applyFill="1" applyBorder="1" applyAlignment="1">
      <alignment horizontal="center"/>
    </xf>
    <xf numFmtId="0" fontId="1" fillId="10" borderId="5" xfId="0" applyFont="1" applyFill="1" applyBorder="1" applyAlignment="1">
      <alignment horizontal="center"/>
    </xf>
    <xf numFmtId="0" fontId="1" fillId="14" borderId="7" xfId="0" applyFont="1" applyFill="1" applyBorder="1" applyAlignment="1">
      <alignment horizontal="center"/>
    </xf>
    <xf numFmtId="0" fontId="1" fillId="14" borderId="15" xfId="0" applyFont="1" applyFill="1" applyBorder="1" applyAlignment="1">
      <alignment horizontal="center"/>
    </xf>
    <xf numFmtId="0" fontId="1" fillId="14" borderId="5" xfId="0" applyFont="1" applyFill="1" applyBorder="1" applyAlignment="1">
      <alignment horizontal="center"/>
    </xf>
    <xf numFmtId="0" fontId="32" fillId="0" borderId="1" xfId="0" applyFont="1" applyBorder="1" applyAlignment="1">
      <alignment horizontal="center"/>
    </xf>
    <xf numFmtId="0" fontId="2" fillId="26" borderId="46" xfId="0" applyFont="1" applyFill="1" applyBorder="1" applyAlignment="1">
      <alignment horizontal="center" vertical="center"/>
    </xf>
    <xf numFmtId="0" fontId="2" fillId="26" borderId="37" xfId="0" applyFont="1" applyFill="1" applyBorder="1" applyAlignment="1">
      <alignment horizontal="center" vertical="center"/>
    </xf>
    <xf numFmtId="0" fontId="2" fillId="26" borderId="40" xfId="0" applyFont="1" applyFill="1" applyBorder="1" applyAlignment="1">
      <alignment horizontal="center" vertical="center"/>
    </xf>
    <xf numFmtId="0" fontId="2" fillId="26" borderId="1" xfId="0" applyFont="1" applyFill="1" applyBorder="1" applyAlignment="1">
      <alignment horizontal="center" vertical="center"/>
    </xf>
    <xf numFmtId="0" fontId="2" fillId="26" borderId="33" xfId="0" applyFont="1" applyFill="1" applyBorder="1" applyAlignment="1">
      <alignment horizontal="center" vertical="center"/>
    </xf>
    <xf numFmtId="0" fontId="2" fillId="26" borderId="37" xfId="0" applyFont="1" applyFill="1" applyBorder="1" applyAlignment="1">
      <alignment horizontal="center"/>
    </xf>
    <xf numFmtId="0" fontId="2" fillId="26" borderId="40" xfId="0" applyFont="1" applyFill="1" applyBorder="1" applyAlignment="1">
      <alignment horizontal="center"/>
    </xf>
    <xf numFmtId="0" fontId="2" fillId="26" borderId="34" xfId="0" applyFont="1" applyFill="1" applyBorder="1" applyAlignment="1">
      <alignment horizontal="center" vertical="center" wrapText="1"/>
    </xf>
    <xf numFmtId="0" fontId="2" fillId="26" borderId="11" xfId="0" applyFont="1" applyFill="1" applyBorder="1" applyAlignment="1">
      <alignment horizontal="center"/>
    </xf>
    <xf numFmtId="0" fontId="2" fillId="26" borderId="2" xfId="0" applyFont="1" applyFill="1" applyBorder="1" applyAlignment="1">
      <alignment horizontal="center"/>
    </xf>
    <xf numFmtId="0" fontId="2" fillId="26" borderId="36" xfId="0" applyFont="1" applyFill="1" applyBorder="1" applyAlignment="1">
      <alignment horizontal="center" vertical="center"/>
    </xf>
    <xf numFmtId="0" fontId="2" fillId="26" borderId="39" xfId="0" applyFont="1" applyFill="1" applyBorder="1" applyAlignment="1">
      <alignment horizontal="center" vertical="center"/>
    </xf>
    <xf numFmtId="0" fontId="2" fillId="26" borderId="38" xfId="0" applyFont="1" applyFill="1" applyBorder="1" applyAlignment="1">
      <alignment horizontal="center" vertical="center"/>
    </xf>
    <xf numFmtId="0" fontId="2" fillId="26" borderId="41" xfId="0" applyFont="1" applyFill="1" applyBorder="1" applyAlignment="1">
      <alignment horizontal="center" vertical="center"/>
    </xf>
    <xf numFmtId="0" fontId="1" fillId="0" borderId="0" xfId="0" applyFont="1" applyBorder="1" applyAlignment="1">
      <alignment horizontal="right"/>
    </xf>
    <xf numFmtId="0" fontId="0" fillId="0" borderId="0" xfId="0" applyAlignment="1">
      <alignment horizontal="right"/>
    </xf>
    <xf numFmtId="0" fontId="0" fillId="0" borderId="47" xfId="0" applyBorder="1" applyAlignment="1">
      <alignment horizontal="right"/>
    </xf>
    <xf numFmtId="0" fontId="2" fillId="26" borderId="48" xfId="0" applyFont="1" applyFill="1" applyBorder="1" applyAlignment="1">
      <alignment horizontal="center" vertical="center"/>
    </xf>
    <xf numFmtId="0" fontId="2" fillId="26" borderId="49" xfId="0" applyFont="1" applyFill="1" applyBorder="1" applyAlignment="1">
      <alignment horizontal="center" vertical="center"/>
    </xf>
    <xf numFmtId="14" fontId="17" fillId="0" borderId="9" xfId="0" applyNumberFormat="1" applyFont="1" applyBorder="1" applyAlignment="1">
      <alignment horizontal="center"/>
    </xf>
    <xf numFmtId="0" fontId="2" fillId="11" borderId="7" xfId="0" applyFont="1" applyFill="1" applyBorder="1" applyAlignment="1">
      <alignment horizontal="center"/>
    </xf>
    <xf numFmtId="0" fontId="2" fillId="11" borderId="5" xfId="0" applyFont="1" applyFill="1" applyBorder="1" applyAlignment="1">
      <alignment horizontal="center"/>
    </xf>
    <xf numFmtId="20" fontId="9" fillId="0" borderId="1" xfId="0" applyNumberFormat="1" applyFont="1" applyBorder="1" applyAlignment="1">
      <alignment horizontal="center"/>
    </xf>
    <xf numFmtId="0" fontId="2" fillId="11" borderId="1" xfId="0" applyFont="1" applyFill="1" applyBorder="1" applyAlignment="1">
      <alignment horizontal="center"/>
    </xf>
    <xf numFmtId="20" fontId="9" fillId="0" borderId="7" xfId="0" applyNumberFormat="1" applyFont="1" applyBorder="1" applyAlignment="1">
      <alignment horizontal="center"/>
    </xf>
    <xf numFmtId="20" fontId="9" fillId="0" borderId="5" xfId="0" applyNumberFormat="1" applyFont="1" applyBorder="1" applyAlignment="1">
      <alignment horizontal="center"/>
    </xf>
    <xf numFmtId="0" fontId="22" fillId="0" borderId="7" xfId="0" applyFont="1" applyBorder="1" applyAlignment="1">
      <alignment horizontal="center"/>
    </xf>
    <xf numFmtId="0" fontId="22" fillId="0" borderId="5" xfId="0" applyFont="1" applyBorder="1" applyAlignment="1">
      <alignment horizontal="center"/>
    </xf>
    <xf numFmtId="20" fontId="0" fillId="0" borderId="7" xfId="0" applyNumberFormat="1" applyBorder="1" applyAlignment="1">
      <alignment horizontal="center"/>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xf>
    <xf numFmtId="0" fontId="1" fillId="0" borderId="5" xfId="0" applyFont="1" applyBorder="1" applyAlignment="1">
      <alignment horizontal="center"/>
    </xf>
    <xf numFmtId="15" fontId="2" fillId="9" borderId="1" xfId="0" applyNumberFormat="1" applyFont="1" applyFill="1" applyBorder="1" applyAlignment="1">
      <alignment horizontal="center"/>
    </xf>
    <xf numFmtId="0" fontId="2" fillId="9" borderId="9" xfId="0" applyFont="1" applyFill="1" applyBorder="1" applyAlignment="1">
      <alignment horizontal="center" vertical="center"/>
    </xf>
    <xf numFmtId="0" fontId="2" fillId="9" borderId="2" xfId="0" applyFont="1" applyFill="1" applyBorder="1" applyAlignment="1">
      <alignment horizontal="center" vertical="center"/>
    </xf>
    <xf numFmtId="0" fontId="4" fillId="9" borderId="13" xfId="0" applyFont="1" applyFill="1" applyBorder="1" applyAlignment="1">
      <alignment horizontal="center"/>
    </xf>
    <xf numFmtId="0" fontId="38" fillId="20" borderId="1" xfId="0" applyFont="1" applyFill="1" applyBorder="1" applyAlignment="1">
      <alignment horizontal="center"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xf>
    <xf numFmtId="0" fontId="0" fillId="0" borderId="6" xfId="0" applyBorder="1" applyAlignment="1">
      <alignment horizontal="center"/>
    </xf>
    <xf numFmtId="0" fontId="0" fillId="0" borderId="11" xfId="0" applyBorder="1" applyAlignment="1">
      <alignment horizontal="center" vertical="center"/>
    </xf>
    <xf numFmtId="0" fontId="0" fillId="0" borderId="9"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9" borderId="1" xfId="0" applyFont="1" applyFill="1" applyBorder="1" applyAlignment="1">
      <alignment horizontal="center" wrapText="1"/>
    </xf>
    <xf numFmtId="0" fontId="2" fillId="9" borderId="9" xfId="0" applyFont="1" applyFill="1" applyBorder="1" applyAlignment="1">
      <alignment horizontal="center"/>
    </xf>
    <xf numFmtId="0" fontId="2" fillId="9" borderId="2" xfId="0" applyFont="1" applyFill="1" applyBorder="1" applyAlignment="1">
      <alignment horizontal="center"/>
    </xf>
    <xf numFmtId="0" fontId="11" fillId="9" borderId="9" xfId="0" applyFont="1" applyFill="1" applyBorder="1" applyAlignment="1">
      <alignment horizontal="center"/>
    </xf>
    <xf numFmtId="0" fontId="11" fillId="9" borderId="2" xfId="0" applyFont="1" applyFill="1" applyBorder="1" applyAlignment="1">
      <alignment horizontal="center"/>
    </xf>
    <xf numFmtId="0" fontId="1" fillId="9" borderId="1" xfId="0" applyFont="1" applyFill="1" applyBorder="1" applyAlignment="1">
      <alignment horizontal="center"/>
    </xf>
    <xf numFmtId="0" fontId="2" fillId="9" borderId="22" xfId="0" applyFont="1" applyFill="1" applyBorder="1" applyAlignment="1">
      <alignment horizontal="center"/>
    </xf>
    <xf numFmtId="0" fontId="2" fillId="9" borderId="32" xfId="0" applyFont="1" applyFill="1" applyBorder="1" applyAlignment="1">
      <alignment horizontal="center"/>
    </xf>
    <xf numFmtId="3" fontId="2" fillId="9" borderId="1" xfId="7" applyNumberFormat="1" applyFont="1" applyFill="1" applyBorder="1" applyAlignment="1">
      <alignment horizontal="center" wrapText="1"/>
    </xf>
  </cellXfs>
  <cellStyles count="8">
    <cellStyle name="Bad" xfId="5" builtinId="27"/>
    <cellStyle name="Comma" xfId="1" builtinId="3"/>
    <cellStyle name="Hyperlink" xfId="2" builtinId="8"/>
    <cellStyle name="Normal" xfId="0" builtinId="0"/>
    <cellStyle name="Normal 2" xfId="7" xr:uid="{00000000-0005-0000-0000-000004000000}"/>
    <cellStyle name="Normal_AnalyteLookUp" xfId="3" xr:uid="{00000000-0005-0000-0000-000005000000}"/>
    <cellStyle name="Normal_MethodLookUp" xfId="4" xr:uid="{00000000-0005-0000-0000-000006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Trends'!$C$3:$T$3</c:f>
              <c:numCache>
                <c:formatCode>General</c:formatCod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'Annual Reservoir Trends'!$C$4:$T$4</c:f>
              <c:numCache>
                <c:formatCode>0.0</c:formatCode>
                <c:ptCount val="18"/>
                <c:pt idx="0">
                  <c:v>17.670000000000002</c:v>
                </c:pt>
                <c:pt idx="1">
                  <c:v>26.03</c:v>
                </c:pt>
                <c:pt idx="2">
                  <c:v>13.73</c:v>
                </c:pt>
                <c:pt idx="3">
                  <c:v>29.68</c:v>
                </c:pt>
                <c:pt idx="4">
                  <c:v>9.4</c:v>
                </c:pt>
                <c:pt idx="5">
                  <c:v>17.100000000000001</c:v>
                </c:pt>
                <c:pt idx="6">
                  <c:v>8.23</c:v>
                </c:pt>
                <c:pt idx="7">
                  <c:v>4.9000000000000004</c:v>
                </c:pt>
                <c:pt idx="8">
                  <c:v>6.2</c:v>
                </c:pt>
                <c:pt idx="9" formatCode="General">
                  <c:v>23.9</c:v>
                </c:pt>
                <c:pt idx="10" formatCode="General">
                  <c:v>24.6</c:v>
                </c:pt>
                <c:pt idx="11" formatCode="General">
                  <c:v>15.4</c:v>
                </c:pt>
                <c:pt idx="12" formatCode="General">
                  <c:v>14.8</c:v>
                </c:pt>
                <c:pt idx="13" formatCode="General">
                  <c:v>6.6</c:v>
                </c:pt>
                <c:pt idx="14" formatCode="General">
                  <c:v>15.4</c:v>
                </c:pt>
                <c:pt idx="15" formatCode="General">
                  <c:v>9.1</c:v>
                </c:pt>
                <c:pt idx="16" formatCode="General">
                  <c:v>9.3000000000000007</c:v>
                </c:pt>
                <c:pt idx="17" formatCode="General">
                  <c:v>17.3</c:v>
                </c:pt>
              </c:numCache>
            </c:numRef>
          </c:val>
          <c:extLst>
            <c:ext xmlns:c16="http://schemas.microsoft.com/office/drawing/2014/chart" uri="{C3380CC4-5D6E-409C-BE32-E72D297353CC}">
              <c16:uniqueId val="{00000001-500F-4DF7-BD5A-1802FDEDA135}"/>
            </c:ext>
          </c:extLst>
        </c:ser>
        <c:ser>
          <c:idx val="1"/>
          <c:order val="1"/>
          <c:tx>
            <c:strRef>
              <c:f>'Annual Reservoir Trends'!$B$5</c:f>
              <c:strCache>
                <c:ptCount val="1"/>
                <c:pt idx="0">
                  <c:v>Mid</c:v>
                </c:pt>
              </c:strCache>
            </c:strRef>
          </c:tx>
          <c:spPr>
            <a:solidFill>
              <a:srgbClr val="FFFFCC"/>
            </a:solidFill>
            <a:ln w="12700">
              <a:solidFill>
                <a:srgbClr val="000000"/>
              </a:solidFill>
              <a:prstDash val="solid"/>
            </a:ln>
          </c:spPr>
          <c:invertIfNegative val="0"/>
          <c:cat>
            <c:numRef>
              <c:f>'Annual Reservoir Trends'!$C$3:$R$3</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'Annual Reservoir Trends'!$C$5:$M$5</c:f>
              <c:numCache>
                <c:formatCode>0.0</c:formatCode>
                <c:ptCount val="11"/>
                <c:pt idx="0">
                  <c:v>19.82</c:v>
                </c:pt>
                <c:pt idx="1">
                  <c:v>15.51</c:v>
                </c:pt>
                <c:pt idx="2">
                  <c:v>5.85</c:v>
                </c:pt>
                <c:pt idx="3">
                  <c:v>17.02</c:v>
                </c:pt>
                <c:pt idx="4">
                  <c:v>6.2</c:v>
                </c:pt>
                <c:pt idx="5">
                  <c:v>10.3</c:v>
                </c:pt>
                <c:pt idx="6">
                  <c:v>2.4300000000000002</c:v>
                </c:pt>
                <c:pt idx="7">
                  <c:v>5.4</c:v>
                </c:pt>
                <c:pt idx="8">
                  <c:v>5.5</c:v>
                </c:pt>
                <c:pt idx="9" formatCode="General">
                  <c:v>8.9</c:v>
                </c:pt>
                <c:pt idx="10" formatCode="General">
                  <c:v>6.3</c:v>
                </c:pt>
              </c:numCache>
            </c:numRef>
          </c:val>
          <c:extLst>
            <c:ext xmlns:c16="http://schemas.microsoft.com/office/drawing/2014/chart" uri="{C3380CC4-5D6E-409C-BE32-E72D297353CC}">
              <c16:uniqueId val="{00000002-500F-4DF7-BD5A-1802FDEDA135}"/>
            </c:ext>
          </c:extLst>
        </c:ser>
        <c:dLbls>
          <c:showLegendKey val="0"/>
          <c:showVal val="0"/>
          <c:showCatName val="0"/>
          <c:showSerName val="0"/>
          <c:showPercent val="0"/>
          <c:showBubbleSize val="0"/>
        </c:dLbls>
        <c:gapWidth val="150"/>
        <c:axId val="77526144"/>
        <c:axId val="77527680"/>
      </c:barChart>
      <c:catAx>
        <c:axId val="77526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77527680"/>
        <c:crosses val="autoZero"/>
        <c:auto val="1"/>
        <c:lblAlgn val="ctr"/>
        <c:lblOffset val="100"/>
        <c:tickLblSkip val="1"/>
        <c:tickMarkSkip val="1"/>
        <c:noMultiLvlLbl val="0"/>
      </c:catAx>
      <c:valAx>
        <c:axId val="775276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7752614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en-US"/>
          </a:p>
        </c:txPr>
      </c:legendEntry>
      <c:legendEntry>
        <c:idx val="1"/>
        <c:txPr>
          <a:bodyPr/>
          <a:lstStyle/>
          <a:p>
            <a:pPr>
              <a:defRPr sz="620" b="0" i="0" u="none" strike="noStrike" baseline="0">
                <a:solidFill>
                  <a:srgbClr val="000000"/>
                </a:solidFill>
                <a:latin typeface="Arial"/>
                <a:ea typeface="Arial"/>
                <a:cs typeface="Arial"/>
              </a:defRPr>
            </a:pPr>
            <a:endParaRPr lang="en-US"/>
          </a:p>
        </c:txPr>
      </c:legendEntry>
      <c:layout>
        <c:manualLayout>
          <c:xMode val="edge"/>
          <c:yMode val="edge"/>
          <c:x val="0.74899745965491815"/>
          <c:y val="0.17479760151932994"/>
          <c:w val="0.23895624492722151"/>
          <c:h val="0.1829276828201425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Reservoir - Nitrate Trends </a:t>
            </a:r>
          </a:p>
        </c:rich>
      </c:tx>
      <c:layout>
        <c:manualLayout>
          <c:xMode val="edge"/>
          <c:yMode val="edge"/>
          <c:x val="0.27966607036375035"/>
          <c:y val="4.1431261770244816E-2"/>
        </c:manualLayout>
      </c:layout>
      <c:overlay val="0"/>
      <c:spPr>
        <a:noFill/>
        <a:ln w="25400">
          <a:noFill/>
        </a:ln>
      </c:spPr>
    </c:title>
    <c:autoTitleDeleted val="0"/>
    <c:plotArea>
      <c:layout>
        <c:manualLayout>
          <c:layoutTarget val="inner"/>
          <c:xMode val="edge"/>
          <c:yMode val="edge"/>
          <c:x val="0.14490173658820088"/>
          <c:y val="0.12994386129463856"/>
          <c:w val="0.83005439230768563"/>
          <c:h val="0.70056690437109459"/>
        </c:manualLayout>
      </c:layout>
      <c:lineChart>
        <c:grouping val="standard"/>
        <c:varyColors val="0"/>
        <c:ser>
          <c:idx val="0"/>
          <c:order val="0"/>
          <c:tx>
            <c:strRef>
              <c:f>'Nitrate Trends'!$A$89</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'Nitrate Trends'!$B$90:$B$109</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Trends'!$C$90:$C$109</c:f>
              <c:numCache>
                <c:formatCode>0</c:formatCode>
                <c:ptCount val="20"/>
                <c:pt idx="0">
                  <c:v>1334</c:v>
                </c:pt>
                <c:pt idx="1">
                  <c:v>1936</c:v>
                </c:pt>
                <c:pt idx="2">
                  <c:v>1238.5</c:v>
                </c:pt>
                <c:pt idx="3">
                  <c:v>1217.5</c:v>
                </c:pt>
                <c:pt idx="4">
                  <c:v>1204</c:v>
                </c:pt>
                <c:pt idx="5">
                  <c:v>992.875</c:v>
                </c:pt>
                <c:pt idx="6">
                  <c:v>609.06218750000005</c:v>
                </c:pt>
                <c:pt idx="7">
                  <c:v>530.5</c:v>
                </c:pt>
                <c:pt idx="8">
                  <c:v>356.5</c:v>
                </c:pt>
                <c:pt idx="9">
                  <c:v>1143</c:v>
                </c:pt>
                <c:pt idx="10">
                  <c:v>730</c:v>
                </c:pt>
                <c:pt idx="11">
                  <c:v>2500</c:v>
                </c:pt>
                <c:pt idx="12">
                  <c:v>1260.5</c:v>
                </c:pt>
                <c:pt idx="13">
                  <c:v>414.5</c:v>
                </c:pt>
                <c:pt idx="14">
                  <c:v>790.5</c:v>
                </c:pt>
                <c:pt idx="15">
                  <c:v>994.5</c:v>
                </c:pt>
                <c:pt idx="16">
                  <c:v>578.5</c:v>
                </c:pt>
                <c:pt idx="17">
                  <c:v>882</c:v>
                </c:pt>
                <c:pt idx="18">
                  <c:v>670</c:v>
                </c:pt>
                <c:pt idx="19">
                  <c:v>932.5</c:v>
                </c:pt>
              </c:numCache>
            </c:numRef>
          </c:val>
          <c:smooth val="0"/>
          <c:extLst>
            <c:ext xmlns:c16="http://schemas.microsoft.com/office/drawing/2014/chart" uri="{C3380CC4-5D6E-409C-BE32-E72D297353CC}">
              <c16:uniqueId val="{00000000-73E3-432F-A637-B7ACDCB4B0F6}"/>
            </c:ext>
          </c:extLst>
        </c:ser>
        <c:ser>
          <c:idx val="1"/>
          <c:order val="1"/>
          <c:tx>
            <c:strRef>
              <c:f>'Nitrate Trends'!$E$68</c:f>
              <c:strCache>
                <c:ptCount val="1"/>
                <c:pt idx="0">
                  <c:v>Reservoir Outflow</c:v>
                </c:pt>
              </c:strCache>
            </c:strRef>
          </c:tx>
          <c:spPr>
            <a:ln w="28575">
              <a:solidFill>
                <a:srgbClr val="FF00FF"/>
              </a:solidFill>
              <a:prstDash val="solid"/>
            </a:ln>
          </c:spPr>
          <c:marker>
            <c:symbol val="square"/>
            <c:size val="5"/>
            <c:spPr>
              <a:solidFill>
                <a:srgbClr val="FF00FF"/>
              </a:solidFill>
              <a:ln>
                <a:solidFill>
                  <a:srgbClr val="FF00FF"/>
                </a:solidFill>
                <a:prstDash val="solid"/>
              </a:ln>
            </c:spPr>
          </c:marker>
          <c:cat>
            <c:numRef>
              <c:f>'Nitrate Trends'!$B$90:$B$109</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Trends'!$G$68:$G$87</c:f>
              <c:numCache>
                <c:formatCode>0</c:formatCode>
                <c:ptCount val="20"/>
                <c:pt idx="0">
                  <c:v>589</c:v>
                </c:pt>
                <c:pt idx="1">
                  <c:v>325</c:v>
                </c:pt>
                <c:pt idx="2">
                  <c:v>431</c:v>
                </c:pt>
                <c:pt idx="3">
                  <c:v>351</c:v>
                </c:pt>
                <c:pt idx="4">
                  <c:v>491</c:v>
                </c:pt>
                <c:pt idx="5">
                  <c:v>579.375</c:v>
                </c:pt>
                <c:pt idx="6">
                  <c:v>520.40125</c:v>
                </c:pt>
                <c:pt idx="7">
                  <c:v>405</c:v>
                </c:pt>
                <c:pt idx="8">
                  <c:v>226</c:v>
                </c:pt>
                <c:pt idx="9">
                  <c:v>437</c:v>
                </c:pt>
                <c:pt idx="10">
                  <c:v>388</c:v>
                </c:pt>
                <c:pt idx="11">
                  <c:v>280</c:v>
                </c:pt>
                <c:pt idx="12">
                  <c:v>268</c:v>
                </c:pt>
                <c:pt idx="13">
                  <c:v>247</c:v>
                </c:pt>
                <c:pt idx="14">
                  <c:v>233</c:v>
                </c:pt>
                <c:pt idx="15">
                  <c:v>196</c:v>
                </c:pt>
                <c:pt idx="16">
                  <c:v>261</c:v>
                </c:pt>
                <c:pt idx="17">
                  <c:v>220</c:v>
                </c:pt>
                <c:pt idx="18">
                  <c:v>280</c:v>
                </c:pt>
                <c:pt idx="19">
                  <c:v>278</c:v>
                </c:pt>
              </c:numCache>
            </c:numRef>
          </c:val>
          <c:smooth val="0"/>
          <c:extLst>
            <c:ext xmlns:c16="http://schemas.microsoft.com/office/drawing/2014/chart" uri="{C3380CC4-5D6E-409C-BE32-E72D297353CC}">
              <c16:uniqueId val="{00000001-73E3-432F-A637-B7ACDCB4B0F6}"/>
            </c:ext>
          </c:extLst>
        </c:ser>
        <c:ser>
          <c:idx val="2"/>
          <c:order val="2"/>
          <c:tx>
            <c:strRef>
              <c:f>'Nitrate Trends'!$E$89</c:f>
              <c:strCache>
                <c:ptCount val="1"/>
                <c:pt idx="0">
                  <c:v>Retained in Reservoir</c:v>
                </c:pt>
              </c:strCache>
            </c:strRef>
          </c:tx>
          <c:spPr>
            <a:ln w="38100">
              <a:solidFill>
                <a:srgbClr val="FF0000"/>
              </a:solidFill>
              <a:prstDash val="solid"/>
            </a:ln>
          </c:spPr>
          <c:marker>
            <c:symbol val="triangle"/>
            <c:size val="6"/>
            <c:spPr>
              <a:solidFill>
                <a:srgbClr val="FF0000"/>
              </a:solidFill>
              <a:ln>
                <a:solidFill>
                  <a:srgbClr val="FF0000"/>
                </a:solidFill>
                <a:prstDash val="solid"/>
              </a:ln>
            </c:spPr>
          </c:marker>
          <c:cat>
            <c:numRef>
              <c:f>'Nitrate Trends'!$B$90:$B$109</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Trends'!$G$89:$G$108</c:f>
              <c:numCache>
                <c:formatCode>0</c:formatCode>
                <c:ptCount val="20"/>
                <c:pt idx="0">
                  <c:v>745</c:v>
                </c:pt>
                <c:pt idx="1">
                  <c:v>1611</c:v>
                </c:pt>
                <c:pt idx="2">
                  <c:v>807.5</c:v>
                </c:pt>
                <c:pt idx="3">
                  <c:v>866.5</c:v>
                </c:pt>
                <c:pt idx="4">
                  <c:v>713</c:v>
                </c:pt>
                <c:pt idx="5">
                  <c:v>413.5</c:v>
                </c:pt>
                <c:pt idx="6">
                  <c:v>88.660937500000045</c:v>
                </c:pt>
                <c:pt idx="7">
                  <c:v>125.5</c:v>
                </c:pt>
                <c:pt idx="8">
                  <c:v>130.5</c:v>
                </c:pt>
                <c:pt idx="9">
                  <c:v>706</c:v>
                </c:pt>
                <c:pt idx="10">
                  <c:v>342</c:v>
                </c:pt>
                <c:pt idx="11">
                  <c:v>2220</c:v>
                </c:pt>
                <c:pt idx="12">
                  <c:v>992.5</c:v>
                </c:pt>
                <c:pt idx="13">
                  <c:v>167.5</c:v>
                </c:pt>
                <c:pt idx="14">
                  <c:v>557.5</c:v>
                </c:pt>
                <c:pt idx="15">
                  <c:v>798.5</c:v>
                </c:pt>
                <c:pt idx="16">
                  <c:v>317.5</c:v>
                </c:pt>
                <c:pt idx="17">
                  <c:v>662</c:v>
                </c:pt>
                <c:pt idx="18">
                  <c:v>390</c:v>
                </c:pt>
                <c:pt idx="19">
                  <c:v>654.5</c:v>
                </c:pt>
              </c:numCache>
            </c:numRef>
          </c:val>
          <c:smooth val="0"/>
          <c:extLst>
            <c:ext xmlns:c16="http://schemas.microsoft.com/office/drawing/2014/chart" uri="{C3380CC4-5D6E-409C-BE32-E72D297353CC}">
              <c16:uniqueId val="{00000002-73E3-432F-A637-B7ACDCB4B0F6}"/>
            </c:ext>
          </c:extLst>
        </c:ser>
        <c:dLbls>
          <c:showLegendKey val="0"/>
          <c:showVal val="0"/>
          <c:showCatName val="0"/>
          <c:showSerName val="0"/>
          <c:showPercent val="0"/>
          <c:showBubbleSize val="0"/>
        </c:dLbls>
        <c:marker val="1"/>
        <c:smooth val="0"/>
        <c:axId val="52141056"/>
        <c:axId val="52511872"/>
      </c:lineChart>
      <c:catAx>
        <c:axId val="52141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1" i="0" u="none" strike="noStrike" baseline="0">
                <a:solidFill>
                  <a:srgbClr val="000000"/>
                </a:solidFill>
                <a:latin typeface="Arial"/>
                <a:ea typeface="Arial"/>
                <a:cs typeface="Arial"/>
              </a:defRPr>
            </a:pPr>
            <a:endParaRPr lang="en-US"/>
          </a:p>
        </c:txPr>
        <c:crossAx val="52511872"/>
        <c:crossesAt val="-500"/>
        <c:auto val="1"/>
        <c:lblAlgn val="ctr"/>
        <c:lblOffset val="100"/>
        <c:tickLblSkip val="1"/>
        <c:tickMarkSkip val="1"/>
        <c:noMultiLvlLbl val="0"/>
      </c:catAx>
      <c:valAx>
        <c:axId val="52511872"/>
        <c:scaling>
          <c:orientation val="minMax"/>
        </c:scaling>
        <c:delete val="0"/>
        <c:axPos val="l"/>
        <c:majorGridlines>
          <c:spPr>
            <a:ln w="3175">
              <a:solidFill>
                <a:srgbClr val="000000"/>
              </a:solidFill>
              <a:prstDash val="solid"/>
            </a:ln>
          </c:spPr>
        </c:majorGridlines>
        <c:minorGridlines/>
        <c:title>
          <c:tx>
            <c:rich>
              <a:bodyPr/>
              <a:lstStyle/>
              <a:p>
                <a:pPr>
                  <a:defRPr sz="975" b="1" i="0" u="none" strike="noStrike" baseline="0">
                    <a:solidFill>
                      <a:srgbClr val="000000"/>
                    </a:solidFill>
                    <a:latin typeface="Arial"/>
                    <a:ea typeface="Arial"/>
                    <a:cs typeface="Arial"/>
                  </a:defRPr>
                </a:pPr>
                <a:r>
                  <a:rPr lang="en-US"/>
                  <a:t>Nitrate (ug/l)</a:t>
                </a:r>
              </a:p>
            </c:rich>
          </c:tx>
          <c:layout>
            <c:manualLayout>
              <c:xMode val="edge"/>
              <c:yMode val="edge"/>
              <c:x val="3.7567084078711989E-2"/>
              <c:y val="0.3644076693803224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2141056"/>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8604669943985094"/>
          <c:y val="0.13653543307086968"/>
          <c:w val="0.35241540245751934"/>
          <c:h val="0.11864436436970795"/>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Nitrate Distribution In Water Column</a:t>
            </a:r>
          </a:p>
        </c:rich>
      </c:tx>
      <c:layout>
        <c:manualLayout>
          <c:xMode val="edge"/>
          <c:yMode val="edge"/>
          <c:x val="0.23166023166023444"/>
          <c:y val="3.333333333333334E-2"/>
        </c:manualLayout>
      </c:layout>
      <c:overlay val="0"/>
      <c:spPr>
        <a:noFill/>
        <a:ln w="25400">
          <a:noFill/>
        </a:ln>
      </c:spPr>
    </c:title>
    <c:autoTitleDeleted val="0"/>
    <c:plotArea>
      <c:layout>
        <c:manualLayout>
          <c:layoutTarget val="inner"/>
          <c:xMode val="edge"/>
          <c:yMode val="edge"/>
          <c:x val="0.16023166023166022"/>
          <c:y val="0.12820566659936741"/>
          <c:w val="0.81274131274132666"/>
          <c:h val="0.71795033313143564"/>
        </c:manualLayout>
      </c:layout>
      <c:barChart>
        <c:barDir val="col"/>
        <c:grouping val="stacked"/>
        <c:varyColors val="0"/>
        <c:ser>
          <c:idx val="0"/>
          <c:order val="0"/>
          <c:tx>
            <c:strRef>
              <c:f>'Nitrate Trends'!$E$3</c:f>
              <c:strCache>
                <c:ptCount val="1"/>
                <c:pt idx="0">
                  <c:v>Reservoir Top</c:v>
                </c:pt>
              </c:strCache>
            </c:strRef>
          </c:tx>
          <c:spPr>
            <a:solidFill>
              <a:srgbClr val="9999FF"/>
            </a:solidFill>
            <a:ln w="12700">
              <a:solidFill>
                <a:srgbClr val="000000"/>
              </a:solidFill>
              <a:prstDash val="solid"/>
            </a:ln>
          </c:spPr>
          <c:invertIfNegative val="0"/>
          <c:cat>
            <c:numRef>
              <c:f>'Nitrate Trends'!$F$3:$F$22</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Trends'!$G$3:$G$22</c:f>
              <c:numCache>
                <c:formatCode>0</c:formatCode>
                <c:ptCount val="20"/>
                <c:pt idx="0">
                  <c:v>442</c:v>
                </c:pt>
                <c:pt idx="1">
                  <c:v>288</c:v>
                </c:pt>
                <c:pt idx="2">
                  <c:v>504</c:v>
                </c:pt>
                <c:pt idx="3">
                  <c:v>382</c:v>
                </c:pt>
                <c:pt idx="4">
                  <c:v>474</c:v>
                </c:pt>
                <c:pt idx="5">
                  <c:v>577.75</c:v>
                </c:pt>
                <c:pt idx="6">
                  <c:v>392.83071428571424</c:v>
                </c:pt>
                <c:pt idx="7">
                  <c:v>388</c:v>
                </c:pt>
                <c:pt idx="8">
                  <c:v>224</c:v>
                </c:pt>
                <c:pt idx="9">
                  <c:v>431</c:v>
                </c:pt>
                <c:pt idx="10">
                  <c:v>401</c:v>
                </c:pt>
                <c:pt idx="11">
                  <c:v>289</c:v>
                </c:pt>
                <c:pt idx="12">
                  <c:v>268</c:v>
                </c:pt>
                <c:pt idx="13">
                  <c:v>268</c:v>
                </c:pt>
                <c:pt idx="14">
                  <c:v>186</c:v>
                </c:pt>
                <c:pt idx="15">
                  <c:v>158</c:v>
                </c:pt>
                <c:pt idx="16">
                  <c:v>222</c:v>
                </c:pt>
                <c:pt idx="17">
                  <c:v>233</c:v>
                </c:pt>
                <c:pt idx="18">
                  <c:v>291</c:v>
                </c:pt>
                <c:pt idx="19">
                  <c:v>287</c:v>
                </c:pt>
              </c:numCache>
            </c:numRef>
          </c:val>
          <c:extLst>
            <c:ext xmlns:c16="http://schemas.microsoft.com/office/drawing/2014/chart" uri="{C3380CC4-5D6E-409C-BE32-E72D297353CC}">
              <c16:uniqueId val="{00000000-DD2D-434B-BBFD-78BA40BCA462}"/>
            </c:ext>
          </c:extLst>
        </c:ser>
        <c:ser>
          <c:idx val="2"/>
          <c:order val="1"/>
          <c:tx>
            <c:strRef>
              <c:f>'Nitrate Trends'!$E$45</c:f>
              <c:strCache>
                <c:ptCount val="1"/>
                <c:pt idx="0">
                  <c:v>Reservoir Bottom</c:v>
                </c:pt>
              </c:strCache>
            </c:strRef>
          </c:tx>
          <c:spPr>
            <a:solidFill>
              <a:srgbClr val="FFFFCC"/>
            </a:solidFill>
            <a:ln w="12700">
              <a:solidFill>
                <a:srgbClr val="000000"/>
              </a:solidFill>
              <a:prstDash val="solid"/>
            </a:ln>
          </c:spPr>
          <c:invertIfNegative val="0"/>
          <c:cat>
            <c:numRef>
              <c:f>'Nitrate Trends'!$F$3:$F$22</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Trends'!$G$45:$G$64</c:f>
              <c:numCache>
                <c:formatCode>0</c:formatCode>
                <c:ptCount val="20"/>
                <c:pt idx="0">
                  <c:v>341</c:v>
                </c:pt>
                <c:pt idx="1">
                  <c:v>228</c:v>
                </c:pt>
                <c:pt idx="2">
                  <c:v>332</c:v>
                </c:pt>
                <c:pt idx="3">
                  <c:v>308</c:v>
                </c:pt>
                <c:pt idx="4">
                  <c:v>503</c:v>
                </c:pt>
                <c:pt idx="5">
                  <c:v>560.9375</c:v>
                </c:pt>
                <c:pt idx="6">
                  <c:v>340.9935714285715</c:v>
                </c:pt>
                <c:pt idx="7">
                  <c:v>342</c:v>
                </c:pt>
                <c:pt idx="8">
                  <c:v>231</c:v>
                </c:pt>
                <c:pt idx="9">
                  <c:v>483</c:v>
                </c:pt>
                <c:pt idx="10">
                  <c:v>390</c:v>
                </c:pt>
                <c:pt idx="11">
                  <c:v>268</c:v>
                </c:pt>
                <c:pt idx="12">
                  <c:v>259</c:v>
                </c:pt>
                <c:pt idx="13">
                  <c:v>224</c:v>
                </c:pt>
                <c:pt idx="14">
                  <c:v>210</c:v>
                </c:pt>
                <c:pt idx="15">
                  <c:v>151</c:v>
                </c:pt>
                <c:pt idx="16">
                  <c:v>232</c:v>
                </c:pt>
                <c:pt idx="17">
                  <c:v>230</c:v>
                </c:pt>
                <c:pt idx="18">
                  <c:v>244</c:v>
                </c:pt>
                <c:pt idx="19">
                  <c:v>222</c:v>
                </c:pt>
              </c:numCache>
            </c:numRef>
          </c:val>
          <c:extLst>
            <c:ext xmlns:c16="http://schemas.microsoft.com/office/drawing/2014/chart" uri="{C3380CC4-5D6E-409C-BE32-E72D297353CC}">
              <c16:uniqueId val="{00000001-DD2D-434B-BBFD-78BA40BCA462}"/>
            </c:ext>
          </c:extLst>
        </c:ser>
        <c:dLbls>
          <c:showLegendKey val="0"/>
          <c:showVal val="0"/>
          <c:showCatName val="0"/>
          <c:showSerName val="0"/>
          <c:showPercent val="0"/>
          <c:showBubbleSize val="0"/>
        </c:dLbls>
        <c:gapWidth val="70"/>
        <c:overlap val="100"/>
        <c:axId val="52545408"/>
        <c:axId val="52546944"/>
      </c:barChart>
      <c:catAx>
        <c:axId val="5254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1" i="0" u="none" strike="noStrike" baseline="0">
                <a:solidFill>
                  <a:srgbClr val="000000"/>
                </a:solidFill>
                <a:latin typeface="Arial"/>
                <a:ea typeface="Arial"/>
                <a:cs typeface="Arial"/>
              </a:defRPr>
            </a:pPr>
            <a:endParaRPr lang="en-US"/>
          </a:p>
        </c:txPr>
        <c:crossAx val="52546944"/>
        <c:crosses val="autoZero"/>
        <c:auto val="1"/>
        <c:lblAlgn val="ctr"/>
        <c:lblOffset val="100"/>
        <c:tickLblSkip val="1"/>
        <c:tickMarkSkip val="1"/>
        <c:noMultiLvlLbl val="0"/>
      </c:catAx>
      <c:valAx>
        <c:axId val="5254694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Nitrate ug/l</a:t>
                </a:r>
              </a:p>
            </c:rich>
          </c:tx>
          <c:layout>
            <c:manualLayout>
              <c:xMode val="edge"/>
              <c:yMode val="edge"/>
              <c:x val="3.0888030888030892E-2"/>
              <c:y val="0.453847230634632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545408"/>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71386661529694106"/>
          <c:y val="0.11141581274943355"/>
          <c:w val="0.19283761548155087"/>
          <c:h val="0.1649868766404199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Bear Creek Reservoir Annual Average
Total Phosphorus Trend</a:t>
            </a:r>
          </a:p>
        </c:rich>
      </c:tx>
      <c:layout>
        <c:manualLayout>
          <c:xMode val="edge"/>
          <c:yMode val="edge"/>
          <c:x val="0.28368794326242402"/>
          <c:y val="3.333333333333334E-2"/>
        </c:manualLayout>
      </c:layout>
      <c:overlay val="0"/>
      <c:spPr>
        <a:noFill/>
        <a:ln w="25400">
          <a:noFill/>
        </a:ln>
      </c:spPr>
    </c:title>
    <c:autoTitleDeleted val="0"/>
    <c:plotArea>
      <c:layout>
        <c:manualLayout>
          <c:layoutTarget val="inner"/>
          <c:xMode val="edge"/>
          <c:yMode val="edge"/>
          <c:x val="0.10815621564061369"/>
          <c:y val="0.13672940150778837"/>
          <c:w val="0.86524972512490061"/>
          <c:h val="0.7533521926213147"/>
        </c:manualLayout>
      </c:layout>
      <c:barChart>
        <c:barDir val="col"/>
        <c:grouping val="clustered"/>
        <c:varyColors val="0"/>
        <c:ser>
          <c:idx val="0"/>
          <c:order val="0"/>
          <c:tx>
            <c:strRef>
              <c:f>'Phosphorus Trends'!$A$90</c:f>
              <c:strCache>
                <c:ptCount val="1"/>
                <c:pt idx="0">
                  <c:v>Reservoir Average</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'Phosphorus Trends'!$B$90:$B$109</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Trends'!$C$90:$C$109</c:f>
              <c:numCache>
                <c:formatCode>0</c:formatCode>
                <c:ptCount val="20"/>
                <c:pt idx="0">
                  <c:v>124.33333333333333</c:v>
                </c:pt>
                <c:pt idx="1">
                  <c:v>183.73333333333335</c:v>
                </c:pt>
                <c:pt idx="2">
                  <c:v>162.40476666666666</c:v>
                </c:pt>
                <c:pt idx="3">
                  <c:v>193</c:v>
                </c:pt>
                <c:pt idx="4">
                  <c:v>87.333333333333329</c:v>
                </c:pt>
                <c:pt idx="5">
                  <c:v>41</c:v>
                </c:pt>
                <c:pt idx="6">
                  <c:v>42.895833333333336</c:v>
                </c:pt>
                <c:pt idx="7">
                  <c:v>56.052465322207688</c:v>
                </c:pt>
                <c:pt idx="8">
                  <c:v>47.433333333333337</c:v>
                </c:pt>
                <c:pt idx="9">
                  <c:v>41.666666666666664</c:v>
                </c:pt>
                <c:pt idx="10">
                  <c:v>57.333333333333336</c:v>
                </c:pt>
                <c:pt idx="11">
                  <c:v>49.333333333333336</c:v>
                </c:pt>
                <c:pt idx="12">
                  <c:v>50.199999999999996</c:v>
                </c:pt>
                <c:pt idx="13">
                  <c:v>49.533333333333331</c:v>
                </c:pt>
                <c:pt idx="14">
                  <c:v>31.833333333333329</c:v>
                </c:pt>
                <c:pt idx="15">
                  <c:v>39</c:v>
                </c:pt>
                <c:pt idx="16" formatCode="General">
                  <c:v>24</c:v>
                </c:pt>
                <c:pt idx="17" formatCode="General">
                  <c:v>30.7</c:v>
                </c:pt>
                <c:pt idx="18">
                  <c:v>50.6</c:v>
                </c:pt>
                <c:pt idx="19">
                  <c:v>34.799999999999997</c:v>
                </c:pt>
              </c:numCache>
            </c:numRef>
          </c:val>
          <c:extLst>
            <c:ext xmlns:c16="http://schemas.microsoft.com/office/drawing/2014/chart" uri="{C3380CC4-5D6E-409C-BE32-E72D297353CC}">
              <c16:uniqueId val="{00000001-AC2D-4BE9-8688-50D1ABBE5A2F}"/>
            </c:ext>
          </c:extLst>
        </c:ser>
        <c:dLbls>
          <c:showLegendKey val="0"/>
          <c:showVal val="0"/>
          <c:showCatName val="0"/>
          <c:showSerName val="0"/>
          <c:showPercent val="0"/>
          <c:showBubbleSize val="0"/>
        </c:dLbls>
        <c:gapWidth val="150"/>
        <c:axId val="76870400"/>
        <c:axId val="76871936"/>
      </c:barChart>
      <c:catAx>
        <c:axId val="76870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871936"/>
        <c:crosses val="autoZero"/>
        <c:auto val="1"/>
        <c:lblAlgn val="ctr"/>
        <c:lblOffset val="100"/>
        <c:tickLblSkip val="1"/>
        <c:tickMarkSkip val="1"/>
        <c:noMultiLvlLbl val="0"/>
      </c:catAx>
      <c:valAx>
        <c:axId val="76871936"/>
        <c:scaling>
          <c:orientation val="minMax"/>
        </c:scaling>
        <c:delete val="0"/>
        <c:axPos val="l"/>
        <c:majorGridlines>
          <c:spPr>
            <a:ln w="3175">
              <a:solidFill>
                <a:srgbClr val="000000"/>
              </a:solidFill>
              <a:prstDash val="solid"/>
            </a:ln>
          </c:spPr>
        </c:majorGridlines>
        <c:minorGridlines/>
        <c:title>
          <c:tx>
            <c:rich>
              <a:bodyPr/>
              <a:lstStyle/>
              <a:p>
                <a:pPr>
                  <a:defRPr sz="800" b="1" i="0" u="none" strike="noStrike" baseline="0">
                    <a:solidFill>
                      <a:srgbClr val="000000"/>
                    </a:solidFill>
                    <a:latin typeface="Arial"/>
                    <a:ea typeface="Arial"/>
                    <a:cs typeface="Arial"/>
                  </a:defRPr>
                </a:pPr>
                <a:r>
                  <a:rPr lang="en-US"/>
                  <a:t>Total Phosphorus [ug/l]</a:t>
                </a:r>
              </a:p>
            </c:rich>
          </c:tx>
          <c:layout>
            <c:manualLayout>
              <c:xMode val="edge"/>
              <c:yMode val="edge"/>
              <c:x val="2.1276595744680847E-2"/>
              <c:y val="0.335121340601655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870400"/>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Bear Creek Reservoir - Total Phosphorus Average Trends</a:t>
            </a:r>
          </a:p>
        </c:rich>
      </c:tx>
      <c:layout>
        <c:manualLayout>
          <c:xMode val="edge"/>
          <c:yMode val="edge"/>
          <c:x val="0.13982300884955737"/>
          <c:y val="4.6461465044142412E-2"/>
        </c:manualLayout>
      </c:layout>
      <c:overlay val="0"/>
      <c:spPr>
        <a:noFill/>
        <a:ln w="25400">
          <a:noFill/>
        </a:ln>
      </c:spPr>
    </c:title>
    <c:autoTitleDeleted val="0"/>
    <c:plotArea>
      <c:layout>
        <c:manualLayout>
          <c:layoutTarget val="inner"/>
          <c:xMode val="edge"/>
          <c:yMode val="edge"/>
          <c:x val="0.12212399934665627"/>
          <c:y val="0.14130434782608794"/>
          <c:w val="0.86017773452862012"/>
          <c:h val="0.69836956521739058"/>
        </c:manualLayout>
      </c:layout>
      <c:lineChart>
        <c:grouping val="standard"/>
        <c:varyColors val="0"/>
        <c:ser>
          <c:idx val="0"/>
          <c:order val="0"/>
          <c:tx>
            <c:strRef>
              <c:f>'Phosphorus Trends'!$E$68</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'Phosphorus Trends'!$F$68:$F$87</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Trends'!$G$68:$G$87</c:f>
              <c:numCache>
                <c:formatCode>0</c:formatCode>
                <c:ptCount val="20"/>
                <c:pt idx="0">
                  <c:v>435.5</c:v>
                </c:pt>
                <c:pt idx="1">
                  <c:v>325</c:v>
                </c:pt>
                <c:pt idx="2">
                  <c:v>319.5</c:v>
                </c:pt>
                <c:pt idx="3">
                  <c:v>242.5</c:v>
                </c:pt>
                <c:pt idx="4">
                  <c:v>106.5</c:v>
                </c:pt>
                <c:pt idx="5">
                  <c:v>60</c:v>
                </c:pt>
                <c:pt idx="6">
                  <c:v>37.28125</c:v>
                </c:pt>
                <c:pt idx="7">
                  <c:v>71.546519746997504</c:v>
                </c:pt>
                <c:pt idx="8">
                  <c:v>36.9</c:v>
                </c:pt>
                <c:pt idx="9">
                  <c:v>42.5</c:v>
                </c:pt>
                <c:pt idx="10">
                  <c:v>28</c:v>
                </c:pt>
                <c:pt idx="11">
                  <c:v>22</c:v>
                </c:pt>
                <c:pt idx="12">
                  <c:v>76.100000000000009</c:v>
                </c:pt>
                <c:pt idx="13">
                  <c:v>67.95</c:v>
                </c:pt>
                <c:pt idx="14">
                  <c:v>27.9</c:v>
                </c:pt>
                <c:pt idx="15">
                  <c:v>33.5</c:v>
                </c:pt>
                <c:pt idx="16">
                  <c:v>14.45</c:v>
                </c:pt>
                <c:pt idx="17">
                  <c:v>32</c:v>
                </c:pt>
                <c:pt idx="18">
                  <c:v>26.25</c:v>
                </c:pt>
                <c:pt idx="19">
                  <c:v>27.3</c:v>
                </c:pt>
              </c:numCache>
            </c:numRef>
          </c:val>
          <c:smooth val="0"/>
          <c:extLst>
            <c:ext xmlns:c16="http://schemas.microsoft.com/office/drawing/2014/chart" uri="{C3380CC4-5D6E-409C-BE32-E72D297353CC}">
              <c16:uniqueId val="{00000000-1005-45D1-A8A4-9C9E47A911F0}"/>
            </c:ext>
          </c:extLst>
        </c:ser>
        <c:ser>
          <c:idx val="1"/>
          <c:order val="1"/>
          <c:tx>
            <c:strRef>
              <c:f>'Phosphorus Trends'!$E$90</c:f>
              <c:strCache>
                <c:ptCount val="1"/>
                <c:pt idx="0">
                  <c:v>Retained In Reservoir</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cat>
            <c:numRef>
              <c:f>'Phosphorus Trends'!$F$68:$F$87</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Trends'!$G$90:$G$109</c:f>
              <c:numCache>
                <c:formatCode>0</c:formatCode>
                <c:ptCount val="20"/>
                <c:pt idx="0" formatCode="General">
                  <c:v>307.5</c:v>
                </c:pt>
                <c:pt idx="1">
                  <c:v>144</c:v>
                </c:pt>
                <c:pt idx="2">
                  <c:v>162.5</c:v>
                </c:pt>
                <c:pt idx="3">
                  <c:v>65.5</c:v>
                </c:pt>
                <c:pt idx="4">
                  <c:v>14.5</c:v>
                </c:pt>
                <c:pt idx="5">
                  <c:v>24</c:v>
                </c:pt>
                <c:pt idx="6">
                  <c:v>2.34375</c:v>
                </c:pt>
                <c:pt idx="7">
                  <c:v>32.546519746997504</c:v>
                </c:pt>
                <c:pt idx="8">
                  <c:v>2.3999999999999986</c:v>
                </c:pt>
                <c:pt idx="9">
                  <c:v>7.5</c:v>
                </c:pt>
                <c:pt idx="10">
                  <c:v>-30</c:v>
                </c:pt>
                <c:pt idx="11">
                  <c:v>-24</c:v>
                </c:pt>
                <c:pt idx="12">
                  <c:v>29.20000000000001</c:v>
                </c:pt>
                <c:pt idx="13">
                  <c:v>4.6500000000000057</c:v>
                </c:pt>
                <c:pt idx="14">
                  <c:v>-2.2000000000000028</c:v>
                </c:pt>
                <c:pt idx="15">
                  <c:v>1.5</c:v>
                </c:pt>
                <c:pt idx="16">
                  <c:v>-8.3500000000000014</c:v>
                </c:pt>
                <c:pt idx="17">
                  <c:v>1</c:v>
                </c:pt>
                <c:pt idx="18">
                  <c:v>-2.75</c:v>
                </c:pt>
                <c:pt idx="19">
                  <c:v>3.1000000000000014</c:v>
                </c:pt>
              </c:numCache>
            </c:numRef>
          </c:val>
          <c:smooth val="0"/>
          <c:extLst>
            <c:ext xmlns:c16="http://schemas.microsoft.com/office/drawing/2014/chart" uri="{C3380CC4-5D6E-409C-BE32-E72D297353CC}">
              <c16:uniqueId val="{00000001-1005-45D1-A8A4-9C9E47A911F0}"/>
            </c:ext>
          </c:extLst>
        </c:ser>
        <c:ser>
          <c:idx val="2"/>
          <c:order val="2"/>
          <c:tx>
            <c:strRef>
              <c:f>'Phosphorus Trends'!$A$68</c:f>
              <c:strCache>
                <c:ptCount val="1"/>
                <c:pt idx="0">
                  <c:v>Bear Creek Outflow</c:v>
                </c:pt>
              </c:strCache>
            </c:strRef>
          </c:tx>
          <c:spPr>
            <a:ln w="38100">
              <a:solidFill>
                <a:srgbClr val="FF0000"/>
              </a:solidFill>
              <a:prstDash val="solid"/>
            </a:ln>
          </c:spPr>
          <c:marker>
            <c:symbol val="triangle"/>
            <c:size val="9"/>
            <c:spPr>
              <a:solidFill>
                <a:srgbClr val="FFFF00"/>
              </a:solidFill>
              <a:ln>
                <a:solidFill>
                  <a:srgbClr val="FF0000"/>
                </a:solidFill>
                <a:prstDash val="solid"/>
              </a:ln>
            </c:spPr>
          </c:marker>
          <c:cat>
            <c:numRef>
              <c:f>'Phosphorus Trends'!$F$68:$F$87</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Trends'!$C$68:$C$87</c:f>
              <c:numCache>
                <c:formatCode>0</c:formatCode>
                <c:ptCount val="20"/>
                <c:pt idx="0">
                  <c:v>128</c:v>
                </c:pt>
                <c:pt idx="1">
                  <c:v>181</c:v>
                </c:pt>
                <c:pt idx="2">
                  <c:v>157</c:v>
                </c:pt>
                <c:pt idx="3">
                  <c:v>177</c:v>
                </c:pt>
                <c:pt idx="4">
                  <c:v>92</c:v>
                </c:pt>
                <c:pt idx="5">
                  <c:v>36</c:v>
                </c:pt>
                <c:pt idx="6">
                  <c:v>34.9375</c:v>
                </c:pt>
                <c:pt idx="7">
                  <c:v>39</c:v>
                </c:pt>
                <c:pt idx="8">
                  <c:v>34.5</c:v>
                </c:pt>
                <c:pt idx="9">
                  <c:v>35</c:v>
                </c:pt>
                <c:pt idx="10">
                  <c:v>58</c:v>
                </c:pt>
                <c:pt idx="11">
                  <c:v>46</c:v>
                </c:pt>
                <c:pt idx="12">
                  <c:v>46.9</c:v>
                </c:pt>
                <c:pt idx="13">
                  <c:v>63.3</c:v>
                </c:pt>
                <c:pt idx="14">
                  <c:v>30.1</c:v>
                </c:pt>
                <c:pt idx="15">
                  <c:v>32</c:v>
                </c:pt>
                <c:pt idx="16">
                  <c:v>22.8</c:v>
                </c:pt>
                <c:pt idx="17">
                  <c:v>31</c:v>
                </c:pt>
                <c:pt idx="18">
                  <c:v>29</c:v>
                </c:pt>
                <c:pt idx="19">
                  <c:v>24.2</c:v>
                </c:pt>
              </c:numCache>
            </c:numRef>
          </c:val>
          <c:smooth val="0"/>
          <c:extLst>
            <c:ext xmlns:c16="http://schemas.microsoft.com/office/drawing/2014/chart" uri="{C3380CC4-5D6E-409C-BE32-E72D297353CC}">
              <c16:uniqueId val="{00000002-1005-45D1-A8A4-9C9E47A911F0}"/>
            </c:ext>
          </c:extLst>
        </c:ser>
        <c:dLbls>
          <c:showLegendKey val="0"/>
          <c:showVal val="0"/>
          <c:showCatName val="0"/>
          <c:showSerName val="0"/>
          <c:showPercent val="0"/>
          <c:showBubbleSize val="0"/>
        </c:dLbls>
        <c:marker val="1"/>
        <c:smooth val="0"/>
        <c:axId val="77343744"/>
        <c:axId val="77476992"/>
      </c:lineChart>
      <c:catAx>
        <c:axId val="7734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640000" vert="horz"/>
          <a:lstStyle/>
          <a:p>
            <a:pPr>
              <a:defRPr sz="800" b="1" i="0" u="none" strike="noStrike" baseline="0">
                <a:solidFill>
                  <a:srgbClr val="000000"/>
                </a:solidFill>
                <a:latin typeface="Arial"/>
                <a:ea typeface="Arial"/>
                <a:cs typeface="Arial"/>
              </a:defRPr>
            </a:pPr>
            <a:endParaRPr lang="en-US"/>
          </a:p>
        </c:txPr>
        <c:crossAx val="77476992"/>
        <c:crossesAt val="-50"/>
        <c:auto val="1"/>
        <c:lblAlgn val="ctr"/>
        <c:lblOffset val="100"/>
        <c:tickLblSkip val="1"/>
        <c:tickMarkSkip val="1"/>
        <c:noMultiLvlLbl val="0"/>
      </c:catAx>
      <c:valAx>
        <c:axId val="77476992"/>
        <c:scaling>
          <c:orientation val="minMax"/>
          <c:max val="500"/>
          <c:min val="-50"/>
        </c:scaling>
        <c:delete val="0"/>
        <c:axPos val="l"/>
        <c:majorGridlines>
          <c:spPr>
            <a:ln w="3175">
              <a:solidFill>
                <a:srgbClr val="000000"/>
              </a:solidFill>
              <a:prstDash val="solid"/>
            </a:ln>
          </c:spPr>
        </c:majorGridlines>
        <c:minorGridlines/>
        <c:title>
          <c:tx>
            <c:rich>
              <a:bodyPr/>
              <a:lstStyle/>
              <a:p>
                <a:pPr>
                  <a:defRPr sz="900" b="1" i="0" u="none" strike="noStrike" baseline="0">
                    <a:solidFill>
                      <a:srgbClr val="000000"/>
                    </a:solidFill>
                    <a:latin typeface="Arial"/>
                    <a:ea typeface="Arial"/>
                    <a:cs typeface="Arial"/>
                  </a:defRPr>
                </a:pPr>
                <a:r>
                  <a:rPr lang="en-US"/>
                  <a:t>Total Phosphorus [ug/l]
</a:t>
                </a:r>
              </a:p>
            </c:rich>
          </c:tx>
          <c:layout>
            <c:manualLayout>
              <c:xMode val="edge"/>
              <c:yMode val="edge"/>
              <c:x val="8.8495575221241747E-3"/>
              <c:y val="0.307065217391304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77343744"/>
        <c:crosses val="autoZero"/>
        <c:crossBetween val="between"/>
        <c:majorUnit val="50"/>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57876161939936299"/>
          <c:y val="0.20108695652173941"/>
          <c:w val="0.34513311499779326"/>
          <c:h val="0.15217391304347827"/>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Watershed - Total Phosphorus Trends 
</a:t>
            </a:r>
          </a:p>
        </c:rich>
      </c:tx>
      <c:layout>
        <c:manualLayout>
          <c:xMode val="edge"/>
          <c:yMode val="edge"/>
          <c:x val="0.19651347068145841"/>
          <c:y val="3.4482758620689655E-2"/>
        </c:manualLayout>
      </c:layout>
      <c:overlay val="0"/>
      <c:spPr>
        <a:noFill/>
        <a:ln w="25400">
          <a:noFill/>
        </a:ln>
      </c:spPr>
    </c:title>
    <c:autoTitleDeleted val="0"/>
    <c:plotArea>
      <c:layout>
        <c:manualLayout>
          <c:layoutTarget val="inner"/>
          <c:xMode val="edge"/>
          <c:yMode val="edge"/>
          <c:x val="8.8748087692594582E-2"/>
          <c:y val="0.1285268424992079"/>
          <c:w val="0.9033287497281951"/>
          <c:h val="0.74608264670271851"/>
        </c:manualLayout>
      </c:layout>
      <c:barChart>
        <c:barDir val="col"/>
        <c:grouping val="clustered"/>
        <c:varyColors val="0"/>
        <c:ser>
          <c:idx val="0"/>
          <c:order val="0"/>
          <c:tx>
            <c:strRef>
              <c:f>'Phosphorus Trends'!$E$3</c:f>
              <c:strCache>
                <c:ptCount val="1"/>
                <c:pt idx="0">
                  <c:v>Bear Creek Inflow</c:v>
                </c:pt>
              </c:strCache>
            </c:strRef>
          </c:tx>
          <c:spPr>
            <a:solidFill>
              <a:srgbClr val="9999FF"/>
            </a:solidFill>
            <a:ln w="12700">
              <a:solidFill>
                <a:srgbClr val="000000"/>
              </a:solidFill>
              <a:prstDash val="solid"/>
            </a:ln>
          </c:spPr>
          <c:invertIfNegative val="0"/>
          <c:cat>
            <c:numRef>
              <c:f>'Phosphorus Trends'!$F$3:$F$22</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Trends'!$G$3:$G$22</c:f>
              <c:numCache>
                <c:formatCode>0</c:formatCode>
                <c:ptCount val="20"/>
                <c:pt idx="0">
                  <c:v>334</c:v>
                </c:pt>
                <c:pt idx="1">
                  <c:v>267</c:v>
                </c:pt>
                <c:pt idx="2">
                  <c:v>277</c:v>
                </c:pt>
                <c:pt idx="3">
                  <c:v>216</c:v>
                </c:pt>
                <c:pt idx="4">
                  <c:v>122</c:v>
                </c:pt>
                <c:pt idx="5">
                  <c:v>73</c:v>
                </c:pt>
                <c:pt idx="6">
                  <c:v>58.5</c:v>
                </c:pt>
                <c:pt idx="7">
                  <c:v>63.093039493995008</c:v>
                </c:pt>
                <c:pt idx="8">
                  <c:v>40.799999999999997</c:v>
                </c:pt>
                <c:pt idx="9">
                  <c:v>38</c:v>
                </c:pt>
                <c:pt idx="10">
                  <c:v>37</c:v>
                </c:pt>
                <c:pt idx="11">
                  <c:v>22</c:v>
                </c:pt>
                <c:pt idx="12">
                  <c:v>137.30000000000001</c:v>
                </c:pt>
                <c:pt idx="13">
                  <c:v>113.3</c:v>
                </c:pt>
                <c:pt idx="14">
                  <c:v>34.1</c:v>
                </c:pt>
                <c:pt idx="15">
                  <c:v>44</c:v>
                </c:pt>
                <c:pt idx="16">
                  <c:v>21.3</c:v>
                </c:pt>
                <c:pt idx="17">
                  <c:v>41</c:v>
                </c:pt>
                <c:pt idx="18">
                  <c:v>37.700000000000003</c:v>
                </c:pt>
                <c:pt idx="19">
                  <c:v>19.100000000000001</c:v>
                </c:pt>
              </c:numCache>
            </c:numRef>
          </c:val>
          <c:extLst>
            <c:ext xmlns:c16="http://schemas.microsoft.com/office/drawing/2014/chart" uri="{C3380CC4-5D6E-409C-BE32-E72D297353CC}">
              <c16:uniqueId val="{00000000-83C7-4C62-BFAF-24D65773BD1E}"/>
            </c:ext>
          </c:extLst>
        </c:ser>
        <c:ser>
          <c:idx val="1"/>
          <c:order val="1"/>
          <c:tx>
            <c:strRef>
              <c:f>'Phosphorus Trends'!$E$45</c:f>
              <c:strCache>
                <c:ptCount val="1"/>
                <c:pt idx="0">
                  <c:v>Turkey Creek Inflow</c:v>
                </c:pt>
              </c:strCache>
            </c:strRef>
          </c:tx>
          <c:spPr>
            <a:solidFill>
              <a:srgbClr val="993366"/>
            </a:solidFill>
            <a:ln w="12700">
              <a:solidFill>
                <a:srgbClr val="000000"/>
              </a:solidFill>
              <a:prstDash val="solid"/>
            </a:ln>
          </c:spPr>
          <c:invertIfNegative val="0"/>
          <c:cat>
            <c:numRef>
              <c:f>'Phosphorus Trends'!$F$3:$F$19</c:f>
              <c:numCache>
                <c:formatCode>General</c:formatCod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'Phosphorus Trends'!$G$45:$G$63</c:f>
              <c:numCache>
                <c:formatCode>0</c:formatCode>
                <c:ptCount val="19"/>
                <c:pt idx="0" formatCode="General">
                  <c:v>537</c:v>
                </c:pt>
                <c:pt idx="1">
                  <c:v>383</c:v>
                </c:pt>
                <c:pt idx="2">
                  <c:v>362</c:v>
                </c:pt>
                <c:pt idx="3">
                  <c:v>269</c:v>
                </c:pt>
                <c:pt idx="4">
                  <c:v>91</c:v>
                </c:pt>
                <c:pt idx="5">
                  <c:v>47</c:v>
                </c:pt>
                <c:pt idx="6">
                  <c:v>16.0625</c:v>
                </c:pt>
                <c:pt idx="7" formatCode="0.0_)">
                  <c:v>80</c:v>
                </c:pt>
                <c:pt idx="8" formatCode="0.0_)">
                  <c:v>33</c:v>
                </c:pt>
                <c:pt idx="9" formatCode="0.0_)">
                  <c:v>47</c:v>
                </c:pt>
                <c:pt idx="10" formatCode="0.0_)">
                  <c:v>19</c:v>
                </c:pt>
                <c:pt idx="11" formatCode="0.0_)">
                  <c:v>22</c:v>
                </c:pt>
                <c:pt idx="12" formatCode="0.0_)">
                  <c:v>14.9</c:v>
                </c:pt>
                <c:pt idx="13" formatCode="0.0_)">
                  <c:v>22.6</c:v>
                </c:pt>
                <c:pt idx="14" formatCode="0.0_)">
                  <c:v>21.7</c:v>
                </c:pt>
                <c:pt idx="15" formatCode="0.0_)">
                  <c:v>23</c:v>
                </c:pt>
                <c:pt idx="16" formatCode="0.0_)">
                  <c:v>7.6</c:v>
                </c:pt>
                <c:pt idx="17" formatCode="0.0_)">
                  <c:v>23</c:v>
                </c:pt>
                <c:pt idx="18" formatCode="0.0_)">
                  <c:v>14.8</c:v>
                </c:pt>
              </c:numCache>
            </c:numRef>
          </c:val>
          <c:extLst>
            <c:ext xmlns:c16="http://schemas.microsoft.com/office/drawing/2014/chart" uri="{C3380CC4-5D6E-409C-BE32-E72D297353CC}">
              <c16:uniqueId val="{00000001-83C7-4C62-BFAF-24D65773BD1E}"/>
            </c:ext>
          </c:extLst>
        </c:ser>
        <c:dLbls>
          <c:showLegendKey val="0"/>
          <c:showVal val="0"/>
          <c:showCatName val="0"/>
          <c:showSerName val="0"/>
          <c:showPercent val="0"/>
          <c:showBubbleSize val="0"/>
        </c:dLbls>
        <c:gapWidth val="150"/>
        <c:axId val="77490048"/>
        <c:axId val="77491584"/>
      </c:barChart>
      <c:catAx>
        <c:axId val="7749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491584"/>
        <c:crosses val="autoZero"/>
        <c:auto val="1"/>
        <c:lblAlgn val="ctr"/>
        <c:lblOffset val="100"/>
        <c:tickLblSkip val="1"/>
        <c:tickMarkSkip val="1"/>
        <c:noMultiLvlLbl val="0"/>
      </c:catAx>
      <c:valAx>
        <c:axId val="77491584"/>
        <c:scaling>
          <c:orientation val="minMax"/>
        </c:scaling>
        <c:delete val="0"/>
        <c:axPos val="l"/>
        <c:majorGridlines>
          <c:spPr>
            <a:ln w="3175">
              <a:solidFill>
                <a:srgbClr val="000000"/>
              </a:solidFill>
              <a:prstDash val="solid"/>
            </a:ln>
          </c:spPr>
        </c:majorGridlines>
        <c:minorGridlines/>
        <c:title>
          <c:tx>
            <c:rich>
              <a:bodyPr/>
              <a:lstStyle/>
              <a:p>
                <a:pPr>
                  <a:defRPr sz="1150" b="1" i="0" u="none" strike="noStrike" baseline="0">
                    <a:solidFill>
                      <a:srgbClr val="000000"/>
                    </a:solidFill>
                    <a:latin typeface="Arial"/>
                    <a:ea typeface="Arial"/>
                    <a:cs typeface="Arial"/>
                  </a:defRPr>
                </a:pPr>
                <a:r>
                  <a:rPr lang="en-US"/>
                  <a:t>Total Phosphorus [ug/l]</a:t>
                </a:r>
              </a:p>
            </c:rich>
          </c:tx>
          <c:layout>
            <c:manualLayout>
              <c:xMode val="edge"/>
              <c:yMode val="edge"/>
              <c:x val="7.9239302694136312E-3"/>
              <c:y val="0.235110046980804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7490048"/>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41732749333434543"/>
          <c:y val="0.13585509048211244"/>
          <c:w val="0.22345499997920226"/>
          <c:h val="0.1436096145876502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Total Phosphorus Distributon In Water Column</a:t>
            </a:r>
          </a:p>
        </c:rich>
      </c:tx>
      <c:layout>
        <c:manualLayout>
          <c:xMode val="edge"/>
          <c:yMode val="edge"/>
          <c:x val="0.21894409937888754"/>
          <c:y val="3.333333333333334E-2"/>
        </c:manualLayout>
      </c:layout>
      <c:overlay val="0"/>
      <c:spPr>
        <a:noFill/>
        <a:ln w="25400">
          <a:noFill/>
        </a:ln>
      </c:spPr>
    </c:title>
    <c:autoTitleDeleted val="0"/>
    <c:plotArea>
      <c:layout>
        <c:manualLayout>
          <c:layoutTarget val="inner"/>
          <c:xMode val="edge"/>
          <c:yMode val="edge"/>
          <c:x val="0.13899613899614632"/>
          <c:y val="0.11794925634295711"/>
          <c:w val="0.83397683397683464"/>
          <c:h val="0.68557486917908861"/>
        </c:manualLayout>
      </c:layout>
      <c:barChart>
        <c:barDir val="col"/>
        <c:grouping val="stacked"/>
        <c:varyColors val="0"/>
        <c:ser>
          <c:idx val="0"/>
          <c:order val="0"/>
          <c:tx>
            <c:strRef>
              <c:f>'Phosphorus Trends'!$A$45</c:f>
              <c:strCache>
                <c:ptCount val="1"/>
                <c:pt idx="0">
                  <c:v>Reservoir Top</c:v>
                </c:pt>
              </c:strCache>
            </c:strRef>
          </c:tx>
          <c:spPr>
            <a:solidFill>
              <a:srgbClr val="9999FF"/>
            </a:solidFill>
            <a:ln w="12700">
              <a:solidFill>
                <a:srgbClr val="000000"/>
              </a:solidFill>
              <a:prstDash val="solid"/>
            </a:ln>
          </c:spPr>
          <c:invertIfNegative val="0"/>
          <c:cat>
            <c:numRef>
              <c:f>'Phosphorus Trends'!$B$45:$B$64</c:f>
              <c:numCache>
                <c:formatCode>General</c:formatCode>
                <c:ptCount val="2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'Phosphorus Trends'!$C$45:$C$64</c:f>
              <c:numCache>
                <c:formatCode>0</c:formatCode>
                <c:ptCount val="20"/>
                <c:pt idx="0">
                  <c:v>129</c:v>
                </c:pt>
                <c:pt idx="1">
                  <c:v>144</c:v>
                </c:pt>
                <c:pt idx="2">
                  <c:v>146</c:v>
                </c:pt>
                <c:pt idx="3">
                  <c:v>175</c:v>
                </c:pt>
                <c:pt idx="4">
                  <c:v>83</c:v>
                </c:pt>
                <c:pt idx="5">
                  <c:v>34</c:v>
                </c:pt>
                <c:pt idx="6">
                  <c:v>29.4375</c:v>
                </c:pt>
                <c:pt idx="7" formatCode="0.0_)">
                  <c:v>38</c:v>
                </c:pt>
                <c:pt idx="8" formatCode="0.0_)">
                  <c:v>33.299999999999997</c:v>
                </c:pt>
                <c:pt idx="9" formatCode="0.0_)">
                  <c:v>34</c:v>
                </c:pt>
                <c:pt idx="10" formatCode="0.0_)">
                  <c:v>59</c:v>
                </c:pt>
                <c:pt idx="11" formatCode="0.0_)">
                  <c:v>42</c:v>
                </c:pt>
                <c:pt idx="12" formatCode="0.0_)">
                  <c:v>46.1</c:v>
                </c:pt>
                <c:pt idx="13" formatCode="0.0_)">
                  <c:v>49.1</c:v>
                </c:pt>
                <c:pt idx="14" formatCode="0.0_)">
                  <c:v>24.3</c:v>
                </c:pt>
                <c:pt idx="15" formatCode="0.0_)">
                  <c:v>33</c:v>
                </c:pt>
                <c:pt idx="16" formatCode="0.0_)">
                  <c:v>21.6</c:v>
                </c:pt>
                <c:pt idx="17" formatCode="0.0_)">
                  <c:v>30</c:v>
                </c:pt>
                <c:pt idx="18" formatCode="0.0_)">
                  <c:v>39.799999999999997</c:v>
                </c:pt>
                <c:pt idx="19" formatCode="0.0_)">
                  <c:v>34.200000000000003</c:v>
                </c:pt>
              </c:numCache>
            </c:numRef>
          </c:val>
          <c:extLst>
            <c:ext xmlns:c16="http://schemas.microsoft.com/office/drawing/2014/chart" uri="{C3380CC4-5D6E-409C-BE32-E72D297353CC}">
              <c16:uniqueId val="{00000000-C44F-46E8-89AF-981D4511BC43}"/>
            </c:ext>
          </c:extLst>
        </c:ser>
        <c:ser>
          <c:idx val="1"/>
          <c:order val="1"/>
          <c:tx>
            <c:strRef>
              <c:f>'Phosphorus Trends'!$A$24</c:f>
              <c:strCache>
                <c:ptCount val="1"/>
                <c:pt idx="0">
                  <c:v>Reservoir Middle</c:v>
                </c:pt>
              </c:strCache>
            </c:strRef>
          </c:tx>
          <c:spPr>
            <a:solidFill>
              <a:srgbClr val="993366"/>
            </a:solidFill>
            <a:ln w="12700">
              <a:solidFill>
                <a:srgbClr val="000000"/>
              </a:solidFill>
              <a:prstDash val="solid"/>
            </a:ln>
          </c:spPr>
          <c:invertIfNegative val="0"/>
          <c:val>
            <c:numRef>
              <c:f>'Phosphorus Trends'!$C$24:$C$43</c:f>
              <c:numCache>
                <c:formatCode>0</c:formatCode>
                <c:ptCount val="20"/>
                <c:pt idx="0">
                  <c:v>124.5</c:v>
                </c:pt>
                <c:pt idx="1">
                  <c:v>137.19999999999999</c:v>
                </c:pt>
                <c:pt idx="2">
                  <c:v>140.21430000000001</c:v>
                </c:pt>
                <c:pt idx="3">
                  <c:v>164</c:v>
                </c:pt>
                <c:pt idx="4">
                  <c:v>79</c:v>
                </c:pt>
                <c:pt idx="5">
                  <c:v>37</c:v>
                </c:pt>
                <c:pt idx="6">
                  <c:v>33.0625</c:v>
                </c:pt>
                <c:pt idx="7">
                  <c:v>44.577577959420516</c:v>
                </c:pt>
                <c:pt idx="8">
                  <c:v>39.799999999999997</c:v>
                </c:pt>
                <c:pt idx="9">
                  <c:v>37</c:v>
                </c:pt>
                <c:pt idx="10">
                  <c:v>57</c:v>
                </c:pt>
                <c:pt idx="11">
                  <c:v>42</c:v>
                </c:pt>
                <c:pt idx="12">
                  <c:v>49</c:v>
                </c:pt>
                <c:pt idx="13">
                  <c:v>46.6</c:v>
                </c:pt>
                <c:pt idx="14">
                  <c:v>26.9</c:v>
                </c:pt>
                <c:pt idx="15">
                  <c:v>34</c:v>
                </c:pt>
                <c:pt idx="16">
                  <c:v>24.3</c:v>
                </c:pt>
                <c:pt idx="17">
                  <c:v>31</c:v>
                </c:pt>
              </c:numCache>
            </c:numRef>
          </c:val>
          <c:extLst>
            <c:ext xmlns:c16="http://schemas.microsoft.com/office/drawing/2014/chart" uri="{C3380CC4-5D6E-409C-BE32-E72D297353CC}">
              <c16:uniqueId val="{00000001-C44F-46E8-89AF-981D4511BC43}"/>
            </c:ext>
          </c:extLst>
        </c:ser>
        <c:ser>
          <c:idx val="2"/>
          <c:order val="2"/>
          <c:tx>
            <c:strRef>
              <c:f>'Phosphorus Trends'!$A$3</c:f>
              <c:strCache>
                <c:ptCount val="1"/>
                <c:pt idx="0">
                  <c:v>Reservoir Bottom</c:v>
                </c:pt>
              </c:strCache>
            </c:strRef>
          </c:tx>
          <c:spPr>
            <a:solidFill>
              <a:srgbClr val="FFFFCC"/>
            </a:solidFill>
            <a:ln w="12700">
              <a:solidFill>
                <a:srgbClr val="000000"/>
              </a:solidFill>
              <a:prstDash val="solid"/>
            </a:ln>
          </c:spPr>
          <c:invertIfNegative val="0"/>
          <c:val>
            <c:numRef>
              <c:f>'Phosphorus Trends'!$C$3:$C$22</c:f>
              <c:numCache>
                <c:formatCode>0</c:formatCode>
                <c:ptCount val="20"/>
                <c:pt idx="0">
                  <c:v>119.5</c:v>
                </c:pt>
                <c:pt idx="1">
                  <c:v>270</c:v>
                </c:pt>
                <c:pt idx="2">
                  <c:v>201</c:v>
                </c:pt>
                <c:pt idx="3">
                  <c:v>240</c:v>
                </c:pt>
                <c:pt idx="4">
                  <c:v>100</c:v>
                </c:pt>
                <c:pt idx="5">
                  <c:v>52</c:v>
                </c:pt>
                <c:pt idx="6">
                  <c:v>66.1875</c:v>
                </c:pt>
                <c:pt idx="7">
                  <c:v>85.579818007202547</c:v>
                </c:pt>
                <c:pt idx="8">
                  <c:v>69.2</c:v>
                </c:pt>
                <c:pt idx="9">
                  <c:v>54</c:v>
                </c:pt>
                <c:pt idx="10">
                  <c:v>56</c:v>
                </c:pt>
                <c:pt idx="11">
                  <c:v>64</c:v>
                </c:pt>
                <c:pt idx="12">
                  <c:v>55.5</c:v>
                </c:pt>
                <c:pt idx="13">
                  <c:v>52.9</c:v>
                </c:pt>
                <c:pt idx="14">
                  <c:v>44.3</c:v>
                </c:pt>
                <c:pt idx="15">
                  <c:v>47</c:v>
                </c:pt>
                <c:pt idx="16">
                  <c:v>26</c:v>
                </c:pt>
                <c:pt idx="17">
                  <c:v>31</c:v>
                </c:pt>
                <c:pt idx="18">
                  <c:v>62.2</c:v>
                </c:pt>
                <c:pt idx="19">
                  <c:v>35.299999999999997</c:v>
                </c:pt>
              </c:numCache>
            </c:numRef>
          </c:val>
          <c:extLst>
            <c:ext xmlns:c16="http://schemas.microsoft.com/office/drawing/2014/chart" uri="{C3380CC4-5D6E-409C-BE32-E72D297353CC}">
              <c16:uniqueId val="{00000002-C44F-46E8-89AF-981D4511BC43}"/>
            </c:ext>
          </c:extLst>
        </c:ser>
        <c:dLbls>
          <c:showLegendKey val="0"/>
          <c:showVal val="0"/>
          <c:showCatName val="0"/>
          <c:showSerName val="0"/>
          <c:showPercent val="0"/>
          <c:showBubbleSize val="0"/>
        </c:dLbls>
        <c:gapWidth val="150"/>
        <c:overlap val="100"/>
        <c:axId val="77689984"/>
        <c:axId val="77691520"/>
      </c:barChart>
      <c:catAx>
        <c:axId val="77689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77691520"/>
        <c:crosses val="autoZero"/>
        <c:auto val="1"/>
        <c:lblAlgn val="ctr"/>
        <c:lblOffset val="100"/>
        <c:tickLblSkip val="1"/>
        <c:tickMarkSkip val="1"/>
        <c:noMultiLvlLbl val="0"/>
      </c:catAx>
      <c:valAx>
        <c:axId val="77691520"/>
        <c:scaling>
          <c:orientation val="minMax"/>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Total Phosphorus ug/l</a:t>
                </a:r>
              </a:p>
            </c:rich>
          </c:tx>
          <c:layout>
            <c:manualLayout>
              <c:xMode val="edge"/>
              <c:yMode val="edge"/>
              <c:x val="3.7099166951957092E-2"/>
              <c:y val="0.215030621172353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77689984"/>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23938230547268549"/>
          <c:y val="0.12307719227404265"/>
          <c:w val="0.6332047081071388"/>
          <c:h val="6.1538730735581137E-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Bear Creek Reservoir Annual Average
Total Phosphorus Trend</a:t>
            </a:r>
          </a:p>
        </c:rich>
      </c:tx>
      <c:layout>
        <c:manualLayout>
          <c:xMode val="edge"/>
          <c:yMode val="edge"/>
          <c:x val="0.28368794326242125"/>
          <c:y val="3.333333333333334E-2"/>
        </c:manualLayout>
      </c:layout>
      <c:overlay val="0"/>
      <c:spPr>
        <a:noFill/>
        <a:ln w="25400">
          <a:noFill/>
        </a:ln>
      </c:spPr>
    </c:title>
    <c:autoTitleDeleted val="0"/>
    <c:plotArea>
      <c:layout>
        <c:manualLayout>
          <c:layoutTarget val="inner"/>
          <c:xMode val="edge"/>
          <c:yMode val="edge"/>
          <c:x val="0.10815621564061301"/>
          <c:y val="0.13672940150778726"/>
          <c:w val="0.86524972512490061"/>
          <c:h val="0.7533521926213147"/>
        </c:manualLayout>
      </c:layout>
      <c:barChart>
        <c:barDir val="col"/>
        <c:grouping val="clustered"/>
        <c:varyColors val="0"/>
        <c:ser>
          <c:idx val="0"/>
          <c:order val="0"/>
          <c:tx>
            <c:strRef>
              <c:f>'Phosphorus Trends'!$A$90</c:f>
              <c:strCache>
                <c:ptCount val="1"/>
                <c:pt idx="0">
                  <c:v>Reservoir Average</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'Phosphorus Trends'!$B$90:$B$110</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Trends'!$C$90:$C$110</c:f>
              <c:numCache>
                <c:formatCode>0</c:formatCode>
                <c:ptCount val="21"/>
                <c:pt idx="0">
                  <c:v>124.33333333333333</c:v>
                </c:pt>
                <c:pt idx="1">
                  <c:v>183.73333333333335</c:v>
                </c:pt>
                <c:pt idx="2">
                  <c:v>162.40476666666666</c:v>
                </c:pt>
                <c:pt idx="3">
                  <c:v>193</c:v>
                </c:pt>
                <c:pt idx="4">
                  <c:v>87.333333333333329</c:v>
                </c:pt>
                <c:pt idx="5">
                  <c:v>41</c:v>
                </c:pt>
                <c:pt idx="6">
                  <c:v>42.895833333333336</c:v>
                </c:pt>
                <c:pt idx="7">
                  <c:v>56.052465322207688</c:v>
                </c:pt>
                <c:pt idx="8">
                  <c:v>47.433333333333337</c:v>
                </c:pt>
                <c:pt idx="9">
                  <c:v>41.666666666666664</c:v>
                </c:pt>
                <c:pt idx="10">
                  <c:v>57.333333333333336</c:v>
                </c:pt>
                <c:pt idx="11">
                  <c:v>49.333333333333336</c:v>
                </c:pt>
                <c:pt idx="12">
                  <c:v>50.199999999999996</c:v>
                </c:pt>
                <c:pt idx="13">
                  <c:v>49.533333333333331</c:v>
                </c:pt>
                <c:pt idx="14">
                  <c:v>31.833333333333329</c:v>
                </c:pt>
                <c:pt idx="15">
                  <c:v>39</c:v>
                </c:pt>
                <c:pt idx="16" formatCode="General">
                  <c:v>24</c:v>
                </c:pt>
                <c:pt idx="17" formatCode="General">
                  <c:v>30.7</c:v>
                </c:pt>
                <c:pt idx="18">
                  <c:v>50.6</c:v>
                </c:pt>
                <c:pt idx="19">
                  <c:v>34.799999999999997</c:v>
                </c:pt>
                <c:pt idx="20">
                  <c:v>33.6</c:v>
                </c:pt>
              </c:numCache>
            </c:numRef>
          </c:val>
          <c:extLst>
            <c:ext xmlns:c16="http://schemas.microsoft.com/office/drawing/2014/chart" uri="{C3380CC4-5D6E-409C-BE32-E72D297353CC}">
              <c16:uniqueId val="{00000001-7FA8-47B3-BFF9-D0FC116E9DE9}"/>
            </c:ext>
          </c:extLst>
        </c:ser>
        <c:dLbls>
          <c:showLegendKey val="0"/>
          <c:showVal val="0"/>
          <c:showCatName val="0"/>
          <c:showSerName val="0"/>
          <c:showPercent val="0"/>
          <c:showBubbleSize val="0"/>
        </c:dLbls>
        <c:gapWidth val="150"/>
        <c:axId val="79085952"/>
        <c:axId val="79087488"/>
      </c:barChart>
      <c:catAx>
        <c:axId val="7908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087488"/>
        <c:crosses val="autoZero"/>
        <c:auto val="1"/>
        <c:lblAlgn val="ctr"/>
        <c:lblOffset val="100"/>
        <c:tickLblSkip val="1"/>
        <c:tickMarkSkip val="1"/>
        <c:noMultiLvlLbl val="0"/>
      </c:catAx>
      <c:valAx>
        <c:axId val="79087488"/>
        <c:scaling>
          <c:orientation val="minMax"/>
        </c:scaling>
        <c:delete val="0"/>
        <c:axPos val="l"/>
        <c:majorGridlines>
          <c:spPr>
            <a:ln w="3175">
              <a:solidFill>
                <a:srgbClr val="000000"/>
              </a:solidFill>
              <a:prstDash val="solid"/>
            </a:ln>
          </c:spPr>
        </c:majorGridlines>
        <c:minorGridlines/>
        <c:title>
          <c:tx>
            <c:rich>
              <a:bodyPr/>
              <a:lstStyle/>
              <a:p>
                <a:pPr>
                  <a:defRPr sz="800" b="1" i="0" u="none" strike="noStrike" baseline="0">
                    <a:solidFill>
                      <a:srgbClr val="000000"/>
                    </a:solidFill>
                    <a:latin typeface="Arial"/>
                    <a:ea typeface="Arial"/>
                    <a:cs typeface="Arial"/>
                  </a:defRPr>
                </a:pPr>
                <a:r>
                  <a:rPr lang="en-US"/>
                  <a:t>Total Phosphorus [ug/l]</a:t>
                </a:r>
              </a:p>
            </c:rich>
          </c:tx>
          <c:layout>
            <c:manualLayout>
              <c:xMode val="edge"/>
              <c:yMode val="edge"/>
              <c:x val="2.1276595744680847E-2"/>
              <c:y val="0.335121340601655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085952"/>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Bear Creek Reservoir - Total Phosphorus Average Trends</a:t>
            </a:r>
          </a:p>
        </c:rich>
      </c:tx>
      <c:layout>
        <c:manualLayout>
          <c:xMode val="edge"/>
          <c:yMode val="edge"/>
          <c:x val="0.13982300884955737"/>
          <c:y val="4.6461465044142412E-2"/>
        </c:manualLayout>
      </c:layout>
      <c:overlay val="0"/>
      <c:spPr>
        <a:noFill/>
        <a:ln w="25400">
          <a:noFill/>
        </a:ln>
      </c:spPr>
    </c:title>
    <c:autoTitleDeleted val="0"/>
    <c:plotArea>
      <c:layout>
        <c:manualLayout>
          <c:layoutTarget val="inner"/>
          <c:xMode val="edge"/>
          <c:yMode val="edge"/>
          <c:x val="0.12212399934665563"/>
          <c:y val="0.14130434782608794"/>
          <c:w val="0.8601777345286159"/>
          <c:h val="0.69836956521739058"/>
        </c:manualLayout>
      </c:layout>
      <c:lineChart>
        <c:grouping val="standard"/>
        <c:varyColors val="0"/>
        <c:ser>
          <c:idx val="0"/>
          <c:order val="0"/>
          <c:tx>
            <c:strRef>
              <c:f>'Phosphorus Trends'!$E$68</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'Phosphorus Trends'!$F$68:$F$88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Trends'!$G$68:$G$88</c:f>
              <c:numCache>
                <c:formatCode>0</c:formatCode>
                <c:ptCount val="21"/>
                <c:pt idx="0">
                  <c:v>435.5</c:v>
                </c:pt>
                <c:pt idx="1">
                  <c:v>325</c:v>
                </c:pt>
                <c:pt idx="2">
                  <c:v>319.5</c:v>
                </c:pt>
                <c:pt idx="3">
                  <c:v>242.5</c:v>
                </c:pt>
                <c:pt idx="4">
                  <c:v>106.5</c:v>
                </c:pt>
                <c:pt idx="5">
                  <c:v>60</c:v>
                </c:pt>
                <c:pt idx="6">
                  <c:v>37.28125</c:v>
                </c:pt>
                <c:pt idx="7">
                  <c:v>71.546519746997504</c:v>
                </c:pt>
                <c:pt idx="8">
                  <c:v>36.9</c:v>
                </c:pt>
                <c:pt idx="9">
                  <c:v>42.5</c:v>
                </c:pt>
                <c:pt idx="10">
                  <c:v>28</c:v>
                </c:pt>
                <c:pt idx="11">
                  <c:v>22</c:v>
                </c:pt>
                <c:pt idx="12">
                  <c:v>76.100000000000009</c:v>
                </c:pt>
                <c:pt idx="13">
                  <c:v>67.95</c:v>
                </c:pt>
                <c:pt idx="14">
                  <c:v>27.9</c:v>
                </c:pt>
                <c:pt idx="15">
                  <c:v>33.5</c:v>
                </c:pt>
                <c:pt idx="16">
                  <c:v>14.45</c:v>
                </c:pt>
                <c:pt idx="17">
                  <c:v>32</c:v>
                </c:pt>
                <c:pt idx="18">
                  <c:v>26.25</c:v>
                </c:pt>
                <c:pt idx="19">
                  <c:v>27.3</c:v>
                </c:pt>
                <c:pt idx="20">
                  <c:v>32.6</c:v>
                </c:pt>
              </c:numCache>
            </c:numRef>
          </c:val>
          <c:smooth val="0"/>
          <c:extLst>
            <c:ext xmlns:c16="http://schemas.microsoft.com/office/drawing/2014/chart" uri="{C3380CC4-5D6E-409C-BE32-E72D297353CC}">
              <c16:uniqueId val="{00000000-A16A-4F34-807A-77F9E12735B8}"/>
            </c:ext>
          </c:extLst>
        </c:ser>
        <c:ser>
          <c:idx val="1"/>
          <c:order val="1"/>
          <c:tx>
            <c:strRef>
              <c:f>'Phosphorus Trends'!$E$90</c:f>
              <c:strCache>
                <c:ptCount val="1"/>
                <c:pt idx="0">
                  <c:v>Retained In Reservoir</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cat>
            <c:numRef>
              <c:f>'Phosphorus Trends'!$F$68:$F$88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Trends'!$G$90:$G$110</c:f>
              <c:numCache>
                <c:formatCode>0</c:formatCode>
                <c:ptCount val="21"/>
                <c:pt idx="0" formatCode="General">
                  <c:v>307.5</c:v>
                </c:pt>
                <c:pt idx="1">
                  <c:v>144</c:v>
                </c:pt>
                <c:pt idx="2">
                  <c:v>162.5</c:v>
                </c:pt>
                <c:pt idx="3">
                  <c:v>65.5</c:v>
                </c:pt>
                <c:pt idx="4">
                  <c:v>14.5</c:v>
                </c:pt>
                <c:pt idx="5">
                  <c:v>24</c:v>
                </c:pt>
                <c:pt idx="6">
                  <c:v>2.34375</c:v>
                </c:pt>
                <c:pt idx="7">
                  <c:v>32.546519746997504</c:v>
                </c:pt>
                <c:pt idx="8">
                  <c:v>2.3999999999999986</c:v>
                </c:pt>
                <c:pt idx="9">
                  <c:v>7.5</c:v>
                </c:pt>
                <c:pt idx="10">
                  <c:v>-30</c:v>
                </c:pt>
                <c:pt idx="11">
                  <c:v>-24</c:v>
                </c:pt>
                <c:pt idx="12">
                  <c:v>29.20000000000001</c:v>
                </c:pt>
                <c:pt idx="13">
                  <c:v>4.6500000000000057</c:v>
                </c:pt>
                <c:pt idx="14">
                  <c:v>-2.2000000000000028</c:v>
                </c:pt>
                <c:pt idx="15">
                  <c:v>1.5</c:v>
                </c:pt>
                <c:pt idx="16">
                  <c:v>-8.3500000000000014</c:v>
                </c:pt>
                <c:pt idx="17">
                  <c:v>1</c:v>
                </c:pt>
                <c:pt idx="18">
                  <c:v>-2.75</c:v>
                </c:pt>
                <c:pt idx="19">
                  <c:v>3.1000000000000014</c:v>
                </c:pt>
                <c:pt idx="20">
                  <c:v>1.5</c:v>
                </c:pt>
              </c:numCache>
            </c:numRef>
          </c:val>
          <c:smooth val="0"/>
          <c:extLst>
            <c:ext xmlns:c16="http://schemas.microsoft.com/office/drawing/2014/chart" uri="{C3380CC4-5D6E-409C-BE32-E72D297353CC}">
              <c16:uniqueId val="{00000001-A16A-4F34-807A-77F9E12735B8}"/>
            </c:ext>
          </c:extLst>
        </c:ser>
        <c:ser>
          <c:idx val="2"/>
          <c:order val="2"/>
          <c:tx>
            <c:strRef>
              <c:f>'Phosphorus Trends'!$A$68</c:f>
              <c:strCache>
                <c:ptCount val="1"/>
                <c:pt idx="0">
                  <c:v>Bear Creek Outflow</c:v>
                </c:pt>
              </c:strCache>
            </c:strRef>
          </c:tx>
          <c:spPr>
            <a:ln w="38100">
              <a:solidFill>
                <a:srgbClr val="FF0000"/>
              </a:solidFill>
              <a:prstDash val="solid"/>
            </a:ln>
          </c:spPr>
          <c:marker>
            <c:symbol val="triangle"/>
            <c:size val="9"/>
            <c:spPr>
              <a:solidFill>
                <a:srgbClr val="FF0000"/>
              </a:solidFill>
              <a:ln>
                <a:solidFill>
                  <a:srgbClr val="FF0000"/>
                </a:solidFill>
                <a:prstDash val="solid"/>
              </a:ln>
            </c:spPr>
          </c:marker>
          <c:cat>
            <c:numRef>
              <c:f>'Phosphorus Trends'!$F$68:$F$88</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Trends'!$C$68:$C$88</c:f>
              <c:numCache>
                <c:formatCode>0</c:formatCode>
                <c:ptCount val="21"/>
                <c:pt idx="0">
                  <c:v>128</c:v>
                </c:pt>
                <c:pt idx="1">
                  <c:v>181</c:v>
                </c:pt>
                <c:pt idx="2">
                  <c:v>157</c:v>
                </c:pt>
                <c:pt idx="3">
                  <c:v>177</c:v>
                </c:pt>
                <c:pt idx="4">
                  <c:v>92</c:v>
                </c:pt>
                <c:pt idx="5">
                  <c:v>36</c:v>
                </c:pt>
                <c:pt idx="6">
                  <c:v>34.9375</c:v>
                </c:pt>
                <c:pt idx="7">
                  <c:v>39</c:v>
                </c:pt>
                <c:pt idx="8">
                  <c:v>34.5</c:v>
                </c:pt>
                <c:pt idx="9">
                  <c:v>35</c:v>
                </c:pt>
                <c:pt idx="10">
                  <c:v>58</c:v>
                </c:pt>
                <c:pt idx="11">
                  <c:v>46</c:v>
                </c:pt>
                <c:pt idx="12">
                  <c:v>46.9</c:v>
                </c:pt>
                <c:pt idx="13">
                  <c:v>63.3</c:v>
                </c:pt>
                <c:pt idx="14">
                  <c:v>30.1</c:v>
                </c:pt>
                <c:pt idx="15">
                  <c:v>32</c:v>
                </c:pt>
                <c:pt idx="16">
                  <c:v>22.8</c:v>
                </c:pt>
                <c:pt idx="17">
                  <c:v>31</c:v>
                </c:pt>
                <c:pt idx="18">
                  <c:v>29</c:v>
                </c:pt>
                <c:pt idx="19">
                  <c:v>24.2</c:v>
                </c:pt>
                <c:pt idx="20">
                  <c:v>31.1</c:v>
                </c:pt>
              </c:numCache>
            </c:numRef>
          </c:val>
          <c:smooth val="0"/>
          <c:extLst>
            <c:ext xmlns:c16="http://schemas.microsoft.com/office/drawing/2014/chart" uri="{C3380CC4-5D6E-409C-BE32-E72D297353CC}">
              <c16:uniqueId val="{00000002-A16A-4F34-807A-77F9E12735B8}"/>
            </c:ext>
          </c:extLst>
        </c:ser>
        <c:dLbls>
          <c:showLegendKey val="0"/>
          <c:showVal val="0"/>
          <c:showCatName val="0"/>
          <c:showSerName val="0"/>
          <c:showPercent val="0"/>
          <c:showBubbleSize val="0"/>
        </c:dLbls>
        <c:marker val="1"/>
        <c:smooth val="0"/>
        <c:axId val="79180160"/>
        <c:axId val="79182080"/>
      </c:lineChart>
      <c:catAx>
        <c:axId val="7918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640000" vert="horz"/>
          <a:lstStyle/>
          <a:p>
            <a:pPr>
              <a:defRPr sz="800" b="1" i="0" u="none" strike="noStrike" baseline="0">
                <a:solidFill>
                  <a:srgbClr val="000000"/>
                </a:solidFill>
                <a:latin typeface="Arial"/>
                <a:ea typeface="Arial"/>
                <a:cs typeface="Arial"/>
              </a:defRPr>
            </a:pPr>
            <a:endParaRPr lang="en-US"/>
          </a:p>
        </c:txPr>
        <c:crossAx val="79182080"/>
        <c:crossesAt val="-50"/>
        <c:auto val="1"/>
        <c:lblAlgn val="ctr"/>
        <c:lblOffset val="100"/>
        <c:tickLblSkip val="1"/>
        <c:tickMarkSkip val="1"/>
        <c:noMultiLvlLbl val="0"/>
      </c:catAx>
      <c:valAx>
        <c:axId val="79182080"/>
        <c:scaling>
          <c:orientation val="minMax"/>
          <c:max val="500"/>
          <c:min val="-50"/>
        </c:scaling>
        <c:delete val="0"/>
        <c:axPos val="l"/>
        <c:majorGridlines>
          <c:spPr>
            <a:ln w="3175">
              <a:solidFill>
                <a:srgbClr val="000000"/>
              </a:solidFill>
              <a:prstDash val="solid"/>
            </a:ln>
          </c:spPr>
        </c:majorGridlines>
        <c:minorGridlines/>
        <c:title>
          <c:tx>
            <c:rich>
              <a:bodyPr/>
              <a:lstStyle/>
              <a:p>
                <a:pPr>
                  <a:defRPr sz="900" b="1" i="0" u="none" strike="noStrike" baseline="0">
                    <a:solidFill>
                      <a:srgbClr val="000000"/>
                    </a:solidFill>
                    <a:latin typeface="Arial"/>
                    <a:ea typeface="Arial"/>
                    <a:cs typeface="Arial"/>
                  </a:defRPr>
                </a:pPr>
                <a:r>
                  <a:rPr lang="en-US"/>
                  <a:t>Total Phosphorus [ug/l]
</a:t>
                </a:r>
              </a:p>
            </c:rich>
          </c:tx>
          <c:layout>
            <c:manualLayout>
              <c:xMode val="edge"/>
              <c:yMode val="edge"/>
              <c:x val="8.8495575221241747E-3"/>
              <c:y val="0.307065217391304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79180160"/>
        <c:crosses val="autoZero"/>
        <c:crossBetween val="between"/>
        <c:majorUnit val="50"/>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57876161939935922"/>
          <c:y val="0.20108695652173941"/>
          <c:w val="0.34513311499779326"/>
          <c:h val="0.15217391304347827"/>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Watershed - Total Phosphorus Trends 
</a:t>
            </a:r>
          </a:p>
        </c:rich>
      </c:tx>
      <c:layout>
        <c:manualLayout>
          <c:xMode val="edge"/>
          <c:yMode val="edge"/>
          <c:x val="0.19651347068145841"/>
          <c:y val="3.4482758620689655E-2"/>
        </c:manualLayout>
      </c:layout>
      <c:overlay val="0"/>
      <c:spPr>
        <a:noFill/>
        <a:ln w="25400">
          <a:noFill/>
        </a:ln>
      </c:spPr>
    </c:title>
    <c:autoTitleDeleted val="0"/>
    <c:plotArea>
      <c:layout>
        <c:manualLayout>
          <c:layoutTarget val="inner"/>
          <c:xMode val="edge"/>
          <c:yMode val="edge"/>
          <c:x val="8.8748087692594582E-2"/>
          <c:y val="0.1285268424992079"/>
          <c:w val="0.9033287497281951"/>
          <c:h val="0.74608264670271851"/>
        </c:manualLayout>
      </c:layout>
      <c:barChart>
        <c:barDir val="col"/>
        <c:grouping val="clustered"/>
        <c:varyColors val="0"/>
        <c:ser>
          <c:idx val="0"/>
          <c:order val="0"/>
          <c:tx>
            <c:strRef>
              <c:f>'Phosphorus Trends'!$E$3</c:f>
              <c:strCache>
                <c:ptCount val="1"/>
                <c:pt idx="0">
                  <c:v>Bear Creek Inflow</c:v>
                </c:pt>
              </c:strCache>
            </c:strRef>
          </c:tx>
          <c:spPr>
            <a:solidFill>
              <a:srgbClr val="9999FF"/>
            </a:solidFill>
            <a:ln w="12700">
              <a:solidFill>
                <a:srgbClr val="000000"/>
              </a:solidFill>
              <a:prstDash val="solid"/>
            </a:ln>
          </c:spPr>
          <c:invertIfNegative val="0"/>
          <c:cat>
            <c:numRef>
              <c:f>'Phosphorus Trends'!$F$3:$F$23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Trends'!$G$3:$G$23</c:f>
              <c:numCache>
                <c:formatCode>0</c:formatCode>
                <c:ptCount val="21"/>
                <c:pt idx="0">
                  <c:v>334</c:v>
                </c:pt>
                <c:pt idx="1">
                  <c:v>267</c:v>
                </c:pt>
                <c:pt idx="2">
                  <c:v>277</c:v>
                </c:pt>
                <c:pt idx="3">
                  <c:v>216</c:v>
                </c:pt>
                <c:pt idx="4">
                  <c:v>122</c:v>
                </c:pt>
                <c:pt idx="5">
                  <c:v>73</c:v>
                </c:pt>
                <c:pt idx="6">
                  <c:v>58.5</c:v>
                </c:pt>
                <c:pt idx="7">
                  <c:v>63.093039493995008</c:v>
                </c:pt>
                <c:pt idx="8">
                  <c:v>40.799999999999997</c:v>
                </c:pt>
                <c:pt idx="9">
                  <c:v>38</c:v>
                </c:pt>
                <c:pt idx="10">
                  <c:v>37</c:v>
                </c:pt>
                <c:pt idx="11">
                  <c:v>22</c:v>
                </c:pt>
                <c:pt idx="12">
                  <c:v>137.30000000000001</c:v>
                </c:pt>
                <c:pt idx="13">
                  <c:v>113.3</c:v>
                </c:pt>
                <c:pt idx="14">
                  <c:v>34.1</c:v>
                </c:pt>
                <c:pt idx="15">
                  <c:v>44</c:v>
                </c:pt>
                <c:pt idx="16">
                  <c:v>21.3</c:v>
                </c:pt>
                <c:pt idx="17">
                  <c:v>41</c:v>
                </c:pt>
                <c:pt idx="18">
                  <c:v>37.700000000000003</c:v>
                </c:pt>
                <c:pt idx="19">
                  <c:v>19.100000000000001</c:v>
                </c:pt>
                <c:pt idx="20">
                  <c:v>45.9</c:v>
                </c:pt>
              </c:numCache>
            </c:numRef>
          </c:val>
          <c:extLst>
            <c:ext xmlns:c16="http://schemas.microsoft.com/office/drawing/2014/chart" uri="{C3380CC4-5D6E-409C-BE32-E72D297353CC}">
              <c16:uniqueId val="{00000000-2EB3-42E9-A8DB-E01B4452F5DD}"/>
            </c:ext>
          </c:extLst>
        </c:ser>
        <c:ser>
          <c:idx val="1"/>
          <c:order val="1"/>
          <c:tx>
            <c:strRef>
              <c:f>'Phosphorus Trends'!$E$45</c:f>
              <c:strCache>
                <c:ptCount val="1"/>
                <c:pt idx="0">
                  <c:v>Turkey Creek Inflow</c:v>
                </c:pt>
              </c:strCache>
            </c:strRef>
          </c:tx>
          <c:spPr>
            <a:solidFill>
              <a:srgbClr val="993366"/>
            </a:solidFill>
            <a:ln w="12700">
              <a:solidFill>
                <a:srgbClr val="000000"/>
              </a:solidFill>
              <a:prstDash val="solid"/>
            </a:ln>
          </c:spPr>
          <c:invertIfNegative val="0"/>
          <c:cat>
            <c:numRef>
              <c:f>'Phosphorus Trends'!$F$3:$F$23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Trends'!$G$45:$G$65</c:f>
              <c:numCache>
                <c:formatCode>0</c:formatCode>
                <c:ptCount val="21"/>
                <c:pt idx="0" formatCode="General">
                  <c:v>537</c:v>
                </c:pt>
                <c:pt idx="1">
                  <c:v>383</c:v>
                </c:pt>
                <c:pt idx="2">
                  <c:v>362</c:v>
                </c:pt>
                <c:pt idx="3">
                  <c:v>269</c:v>
                </c:pt>
                <c:pt idx="4">
                  <c:v>91</c:v>
                </c:pt>
                <c:pt idx="5">
                  <c:v>47</c:v>
                </c:pt>
                <c:pt idx="6">
                  <c:v>16.0625</c:v>
                </c:pt>
                <c:pt idx="7" formatCode="0.0_)">
                  <c:v>80</c:v>
                </c:pt>
                <c:pt idx="8" formatCode="0.0_)">
                  <c:v>33</c:v>
                </c:pt>
                <c:pt idx="9" formatCode="0.0_)">
                  <c:v>47</c:v>
                </c:pt>
                <c:pt idx="10" formatCode="0.0_)">
                  <c:v>19</c:v>
                </c:pt>
                <c:pt idx="11" formatCode="0.0_)">
                  <c:v>22</c:v>
                </c:pt>
                <c:pt idx="12" formatCode="0.0_)">
                  <c:v>14.9</c:v>
                </c:pt>
                <c:pt idx="13" formatCode="0.0_)">
                  <c:v>22.6</c:v>
                </c:pt>
                <c:pt idx="14" formatCode="0.0_)">
                  <c:v>21.7</c:v>
                </c:pt>
                <c:pt idx="15" formatCode="0.0_)">
                  <c:v>23</c:v>
                </c:pt>
                <c:pt idx="16" formatCode="0.0_)">
                  <c:v>7.6</c:v>
                </c:pt>
                <c:pt idx="17" formatCode="0.0_)">
                  <c:v>23</c:v>
                </c:pt>
                <c:pt idx="18" formatCode="0.0_)">
                  <c:v>14.8</c:v>
                </c:pt>
                <c:pt idx="19" formatCode="0.0_)">
                  <c:v>35.5</c:v>
                </c:pt>
                <c:pt idx="20" formatCode="0.0_)">
                  <c:v>19.3</c:v>
                </c:pt>
              </c:numCache>
            </c:numRef>
          </c:val>
          <c:extLst>
            <c:ext xmlns:c16="http://schemas.microsoft.com/office/drawing/2014/chart" uri="{C3380CC4-5D6E-409C-BE32-E72D297353CC}">
              <c16:uniqueId val="{00000001-2EB3-42E9-A8DB-E01B4452F5DD}"/>
            </c:ext>
          </c:extLst>
        </c:ser>
        <c:dLbls>
          <c:showLegendKey val="0"/>
          <c:showVal val="0"/>
          <c:showCatName val="0"/>
          <c:showSerName val="0"/>
          <c:showPercent val="0"/>
          <c:showBubbleSize val="0"/>
        </c:dLbls>
        <c:gapWidth val="150"/>
        <c:axId val="79304960"/>
        <c:axId val="79314944"/>
      </c:barChart>
      <c:catAx>
        <c:axId val="79304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314944"/>
        <c:crosses val="autoZero"/>
        <c:auto val="1"/>
        <c:lblAlgn val="ctr"/>
        <c:lblOffset val="100"/>
        <c:tickLblSkip val="1"/>
        <c:tickMarkSkip val="1"/>
        <c:noMultiLvlLbl val="0"/>
      </c:catAx>
      <c:valAx>
        <c:axId val="79314944"/>
        <c:scaling>
          <c:orientation val="minMax"/>
        </c:scaling>
        <c:delete val="0"/>
        <c:axPos val="l"/>
        <c:majorGridlines>
          <c:spPr>
            <a:ln w="3175">
              <a:solidFill>
                <a:srgbClr val="000000"/>
              </a:solidFill>
              <a:prstDash val="solid"/>
            </a:ln>
          </c:spPr>
        </c:majorGridlines>
        <c:minorGridlines/>
        <c:title>
          <c:tx>
            <c:rich>
              <a:bodyPr/>
              <a:lstStyle/>
              <a:p>
                <a:pPr>
                  <a:defRPr sz="1150" b="1" i="0" u="none" strike="noStrike" baseline="0">
                    <a:solidFill>
                      <a:srgbClr val="000000"/>
                    </a:solidFill>
                    <a:latin typeface="Arial"/>
                    <a:ea typeface="Arial"/>
                    <a:cs typeface="Arial"/>
                  </a:defRPr>
                </a:pPr>
                <a:r>
                  <a:rPr lang="en-US"/>
                  <a:t>Total Phosphorus [ug/l]</a:t>
                </a:r>
              </a:p>
            </c:rich>
          </c:tx>
          <c:layout>
            <c:manualLayout>
              <c:xMode val="edge"/>
              <c:yMode val="edge"/>
              <c:x val="7.9239302694136312E-3"/>
              <c:y val="0.235110046980804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304960"/>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68779764653031761"/>
          <c:y val="0.14374473900821574"/>
          <c:w val="0.22345499997920226"/>
          <c:h val="0.1436096145876502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16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Total Phosphorus Distributon In Water Column</a:t>
            </a:r>
          </a:p>
        </c:rich>
      </c:tx>
      <c:layout>
        <c:manualLayout>
          <c:xMode val="edge"/>
          <c:yMode val="edge"/>
          <c:x val="0.21894409937888643"/>
          <c:y val="3.333333333333334E-2"/>
        </c:manualLayout>
      </c:layout>
      <c:overlay val="0"/>
      <c:spPr>
        <a:noFill/>
        <a:ln w="25400">
          <a:noFill/>
        </a:ln>
      </c:spPr>
    </c:title>
    <c:autoTitleDeleted val="0"/>
    <c:plotArea>
      <c:layout>
        <c:manualLayout>
          <c:layoutTarget val="inner"/>
          <c:xMode val="edge"/>
          <c:yMode val="edge"/>
          <c:x val="0.13899613899614477"/>
          <c:y val="0.11794925634295711"/>
          <c:w val="0.83397683397683464"/>
          <c:h val="0.68557486917908861"/>
        </c:manualLayout>
      </c:layout>
      <c:barChart>
        <c:barDir val="col"/>
        <c:grouping val="stacked"/>
        <c:varyColors val="0"/>
        <c:ser>
          <c:idx val="0"/>
          <c:order val="0"/>
          <c:tx>
            <c:strRef>
              <c:f>'Phosphorus Trends'!$A$45</c:f>
              <c:strCache>
                <c:ptCount val="1"/>
                <c:pt idx="0">
                  <c:v>Reservoir Top</c:v>
                </c:pt>
              </c:strCache>
            </c:strRef>
          </c:tx>
          <c:spPr>
            <a:solidFill>
              <a:srgbClr val="9999FF"/>
            </a:solidFill>
            <a:ln w="12700">
              <a:solidFill>
                <a:srgbClr val="000000"/>
              </a:solidFill>
              <a:prstDash val="solid"/>
            </a:ln>
          </c:spPr>
          <c:invertIfNegative val="0"/>
          <c:cat>
            <c:numRef>
              <c:f>'Phosphorus Trends'!$B$45:$B$65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Trends'!$C$45:$C$65</c:f>
              <c:numCache>
                <c:formatCode>0</c:formatCode>
                <c:ptCount val="21"/>
                <c:pt idx="0">
                  <c:v>129</c:v>
                </c:pt>
                <c:pt idx="1">
                  <c:v>144</c:v>
                </c:pt>
                <c:pt idx="2">
                  <c:v>146</c:v>
                </c:pt>
                <c:pt idx="3">
                  <c:v>175</c:v>
                </c:pt>
                <c:pt idx="4">
                  <c:v>83</c:v>
                </c:pt>
                <c:pt idx="5">
                  <c:v>34</c:v>
                </c:pt>
                <c:pt idx="6">
                  <c:v>29.4375</c:v>
                </c:pt>
                <c:pt idx="7" formatCode="0.0_)">
                  <c:v>38</c:v>
                </c:pt>
                <c:pt idx="8" formatCode="0.0_)">
                  <c:v>33.299999999999997</c:v>
                </c:pt>
                <c:pt idx="9" formatCode="0.0_)">
                  <c:v>34</c:v>
                </c:pt>
                <c:pt idx="10" formatCode="0.0_)">
                  <c:v>59</c:v>
                </c:pt>
                <c:pt idx="11" formatCode="0.0_)">
                  <c:v>42</c:v>
                </c:pt>
                <c:pt idx="12" formatCode="0.0_)">
                  <c:v>46.1</c:v>
                </c:pt>
                <c:pt idx="13" formatCode="0.0_)">
                  <c:v>49.1</c:v>
                </c:pt>
                <c:pt idx="14" formatCode="0.0_)">
                  <c:v>24.3</c:v>
                </c:pt>
                <c:pt idx="15" formatCode="0.0_)">
                  <c:v>33</c:v>
                </c:pt>
                <c:pt idx="16" formatCode="0.0_)">
                  <c:v>21.6</c:v>
                </c:pt>
                <c:pt idx="17" formatCode="0.0_)">
                  <c:v>30</c:v>
                </c:pt>
                <c:pt idx="18" formatCode="0.0_)">
                  <c:v>39.799999999999997</c:v>
                </c:pt>
                <c:pt idx="19" formatCode="0.0_)">
                  <c:v>34.200000000000003</c:v>
                </c:pt>
                <c:pt idx="20" formatCode="0.0_)">
                  <c:v>28.3</c:v>
                </c:pt>
              </c:numCache>
            </c:numRef>
          </c:val>
          <c:extLst>
            <c:ext xmlns:c16="http://schemas.microsoft.com/office/drawing/2014/chart" uri="{C3380CC4-5D6E-409C-BE32-E72D297353CC}">
              <c16:uniqueId val="{00000000-E7EA-49FA-8D47-3F5204364ACB}"/>
            </c:ext>
          </c:extLst>
        </c:ser>
        <c:ser>
          <c:idx val="2"/>
          <c:order val="1"/>
          <c:tx>
            <c:strRef>
              <c:f>'Phosphorus Trends'!$A$3</c:f>
              <c:strCache>
                <c:ptCount val="1"/>
                <c:pt idx="0">
                  <c:v>Reservoir Bottom</c:v>
                </c:pt>
              </c:strCache>
            </c:strRef>
          </c:tx>
          <c:spPr>
            <a:solidFill>
              <a:srgbClr val="FFFFCC"/>
            </a:solidFill>
            <a:ln w="12700">
              <a:solidFill>
                <a:srgbClr val="000000"/>
              </a:solidFill>
              <a:prstDash val="solid"/>
            </a:ln>
          </c:spPr>
          <c:invertIfNegative val="0"/>
          <c:cat>
            <c:numRef>
              <c:f>'Phosphorus Trends'!$B$45:$B$65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'Phosphorus Trends'!$C$3:$C$23</c:f>
              <c:numCache>
                <c:formatCode>0</c:formatCode>
                <c:ptCount val="21"/>
                <c:pt idx="0">
                  <c:v>119.5</c:v>
                </c:pt>
                <c:pt idx="1">
                  <c:v>270</c:v>
                </c:pt>
                <c:pt idx="2">
                  <c:v>201</c:v>
                </c:pt>
                <c:pt idx="3">
                  <c:v>240</c:v>
                </c:pt>
                <c:pt idx="4">
                  <c:v>100</c:v>
                </c:pt>
                <c:pt idx="5">
                  <c:v>52</c:v>
                </c:pt>
                <c:pt idx="6">
                  <c:v>66.1875</c:v>
                </c:pt>
                <c:pt idx="7">
                  <c:v>85.579818007202547</c:v>
                </c:pt>
                <c:pt idx="8">
                  <c:v>69.2</c:v>
                </c:pt>
                <c:pt idx="9">
                  <c:v>54</c:v>
                </c:pt>
                <c:pt idx="10">
                  <c:v>56</c:v>
                </c:pt>
                <c:pt idx="11">
                  <c:v>64</c:v>
                </c:pt>
                <c:pt idx="12">
                  <c:v>55.5</c:v>
                </c:pt>
                <c:pt idx="13">
                  <c:v>52.9</c:v>
                </c:pt>
                <c:pt idx="14">
                  <c:v>44.3</c:v>
                </c:pt>
                <c:pt idx="15">
                  <c:v>47</c:v>
                </c:pt>
                <c:pt idx="16">
                  <c:v>26</c:v>
                </c:pt>
                <c:pt idx="17">
                  <c:v>31</c:v>
                </c:pt>
                <c:pt idx="18">
                  <c:v>62.2</c:v>
                </c:pt>
                <c:pt idx="19">
                  <c:v>35.299999999999997</c:v>
                </c:pt>
                <c:pt idx="20">
                  <c:v>38.9</c:v>
                </c:pt>
              </c:numCache>
            </c:numRef>
          </c:val>
          <c:extLst>
            <c:ext xmlns:c16="http://schemas.microsoft.com/office/drawing/2014/chart" uri="{C3380CC4-5D6E-409C-BE32-E72D297353CC}">
              <c16:uniqueId val="{00000001-E7EA-49FA-8D47-3F5204364ACB}"/>
            </c:ext>
          </c:extLst>
        </c:ser>
        <c:dLbls>
          <c:showLegendKey val="0"/>
          <c:showVal val="0"/>
          <c:showCatName val="0"/>
          <c:showSerName val="0"/>
          <c:showPercent val="0"/>
          <c:showBubbleSize val="0"/>
        </c:dLbls>
        <c:gapWidth val="150"/>
        <c:overlap val="100"/>
        <c:axId val="79336192"/>
        <c:axId val="79337728"/>
      </c:barChart>
      <c:catAx>
        <c:axId val="79336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79337728"/>
        <c:crosses val="autoZero"/>
        <c:auto val="1"/>
        <c:lblAlgn val="ctr"/>
        <c:lblOffset val="100"/>
        <c:tickLblSkip val="1"/>
        <c:tickMarkSkip val="1"/>
        <c:noMultiLvlLbl val="0"/>
      </c:catAx>
      <c:valAx>
        <c:axId val="79337728"/>
        <c:scaling>
          <c:orientation val="minMax"/>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Total Phosphorus ug/l</a:t>
                </a:r>
              </a:p>
            </c:rich>
          </c:tx>
          <c:layout>
            <c:manualLayout>
              <c:xMode val="edge"/>
              <c:yMode val="edge"/>
              <c:x val="3.7099166951957092E-2"/>
              <c:y val="0.215030621172353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79336192"/>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62447547317455199"/>
          <c:y val="0.12307719227404265"/>
          <c:w val="0.24811154040527544"/>
          <c:h val="0.1537820036646362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en-US"/>
              <a:t>Bear Creek Reservoir Total Phosphorus [ug/l] Trend</a:t>
            </a:r>
          </a:p>
        </c:rich>
      </c:tx>
      <c:layout>
        <c:manualLayout>
          <c:xMode val="edge"/>
          <c:yMode val="edge"/>
          <c:x val="0.23974763406940852"/>
          <c:y val="3.6423841059602655E-2"/>
        </c:manualLayout>
      </c:layout>
      <c:overlay val="0"/>
      <c:spPr>
        <a:noFill/>
        <a:ln w="25400">
          <a:noFill/>
        </a:ln>
      </c:spPr>
    </c:title>
    <c:autoTitleDeleted val="0"/>
    <c:plotArea>
      <c:layout>
        <c:manualLayout>
          <c:layoutTarget val="inner"/>
          <c:xMode val="edge"/>
          <c:yMode val="edge"/>
          <c:x val="8.8480801335559273E-2"/>
          <c:y val="0.19867549668874168"/>
          <c:w val="0.90150250417360756"/>
          <c:h val="0.6655629139072845"/>
        </c:manualLayout>
      </c:layout>
      <c:barChart>
        <c:barDir val="col"/>
        <c:grouping val="clustered"/>
        <c:varyColors val="0"/>
        <c:ser>
          <c:idx val="0"/>
          <c:order val="0"/>
          <c:tx>
            <c:strRef>
              <c:f>'Annual Reservoir Trends'!$B$11</c:f>
              <c:strCache>
                <c:ptCount val="1"/>
                <c:pt idx="0">
                  <c:v>Top</c:v>
                </c:pt>
              </c:strCache>
            </c:strRef>
          </c:tx>
          <c:spPr>
            <a:solidFill>
              <a:srgbClr val="9999FF"/>
            </a:solidFill>
            <a:ln w="12700">
              <a:solidFill>
                <a:srgbClr val="000000"/>
              </a:solidFill>
              <a:prstDash val="solid"/>
            </a:ln>
          </c:spPr>
          <c:invertIfNegative val="0"/>
          <c:cat>
            <c:numRef>
              <c:f>'Annual Reservoir Trends'!$C$3:$T$3</c:f>
              <c:numCache>
                <c:formatCode>General</c:formatCod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'Annual Reservoir Trends'!$C$11:$T$11</c:f>
              <c:numCache>
                <c:formatCode>General</c:formatCode>
                <c:ptCount val="18"/>
                <c:pt idx="0">
                  <c:v>144</c:v>
                </c:pt>
                <c:pt idx="1">
                  <c:v>146</c:v>
                </c:pt>
                <c:pt idx="2">
                  <c:v>175</c:v>
                </c:pt>
                <c:pt idx="3">
                  <c:v>83</c:v>
                </c:pt>
                <c:pt idx="4">
                  <c:v>34</c:v>
                </c:pt>
                <c:pt idx="5">
                  <c:v>29</c:v>
                </c:pt>
                <c:pt idx="6">
                  <c:v>38</c:v>
                </c:pt>
                <c:pt idx="7">
                  <c:v>33</c:v>
                </c:pt>
                <c:pt idx="8">
                  <c:v>34</c:v>
                </c:pt>
                <c:pt idx="9">
                  <c:v>59</c:v>
                </c:pt>
                <c:pt idx="10">
                  <c:v>42</c:v>
                </c:pt>
                <c:pt idx="11">
                  <c:v>46</c:v>
                </c:pt>
                <c:pt idx="12">
                  <c:v>79</c:v>
                </c:pt>
                <c:pt idx="13">
                  <c:v>24</c:v>
                </c:pt>
                <c:pt idx="14" formatCode="0">
                  <c:v>33.021419788316948</c:v>
                </c:pt>
                <c:pt idx="15" formatCode="0">
                  <c:v>66.601427985887796</c:v>
                </c:pt>
                <c:pt idx="16" formatCode="0.0">
                  <c:v>29.742840573556929</c:v>
                </c:pt>
                <c:pt idx="17" formatCode="0.0">
                  <c:v>39.799999999999997</c:v>
                </c:pt>
              </c:numCache>
            </c:numRef>
          </c:val>
          <c:extLst>
            <c:ext xmlns:c16="http://schemas.microsoft.com/office/drawing/2014/chart" uri="{C3380CC4-5D6E-409C-BE32-E72D297353CC}">
              <c16:uniqueId val="{00000000-01BA-4CB5-869E-250C15FA3908}"/>
            </c:ext>
          </c:extLst>
        </c:ser>
        <c:ser>
          <c:idx val="3"/>
          <c:order val="1"/>
          <c:tx>
            <c:strRef>
              <c:f>'Annual Reservoir Trends'!$B$14</c:f>
              <c:strCache>
                <c:ptCount val="1"/>
                <c:pt idx="0">
                  <c:v>Water Column</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Trends'!$C$3:$S$3</c:f>
              <c:numCache>
                <c:formatCode>General</c:formatCod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'Annual Reservoir Trends'!$C$14:$T$14</c:f>
              <c:numCache>
                <c:formatCode>0</c:formatCode>
                <c:ptCount val="18"/>
                <c:pt idx="0">
                  <c:v>184</c:v>
                </c:pt>
                <c:pt idx="1">
                  <c:v>162.33333333333334</c:v>
                </c:pt>
                <c:pt idx="2">
                  <c:v>193</c:v>
                </c:pt>
                <c:pt idx="3">
                  <c:v>87</c:v>
                </c:pt>
                <c:pt idx="4">
                  <c:v>41</c:v>
                </c:pt>
                <c:pt idx="5">
                  <c:v>42.666666666666664</c:v>
                </c:pt>
                <c:pt idx="6">
                  <c:v>56.333333333333336</c:v>
                </c:pt>
                <c:pt idx="7">
                  <c:v>47.333333333333336</c:v>
                </c:pt>
                <c:pt idx="8">
                  <c:v>41.666666666666664</c:v>
                </c:pt>
                <c:pt idx="9" formatCode="General">
                  <c:v>60</c:v>
                </c:pt>
                <c:pt idx="10" formatCode="General">
                  <c:v>50</c:v>
                </c:pt>
                <c:pt idx="11">
                  <c:v>50.333333333333336</c:v>
                </c:pt>
                <c:pt idx="12">
                  <c:v>66</c:v>
                </c:pt>
                <c:pt idx="13">
                  <c:v>31.666666666666668</c:v>
                </c:pt>
                <c:pt idx="14">
                  <c:v>38.087186371365974</c:v>
                </c:pt>
                <c:pt idx="15">
                  <c:v>76.539145758091067</c:v>
                </c:pt>
                <c:pt idx="16">
                  <c:v>30.681185101920438</c:v>
                </c:pt>
                <c:pt idx="17">
                  <c:v>51</c:v>
                </c:pt>
              </c:numCache>
            </c:numRef>
          </c:val>
          <c:extLst>
            <c:ext xmlns:c16="http://schemas.microsoft.com/office/drawing/2014/chart" uri="{C3380CC4-5D6E-409C-BE32-E72D297353CC}">
              <c16:uniqueId val="{00000002-01BA-4CB5-869E-250C15FA3908}"/>
            </c:ext>
          </c:extLst>
        </c:ser>
        <c:dLbls>
          <c:showLegendKey val="0"/>
          <c:showVal val="0"/>
          <c:showCatName val="0"/>
          <c:showSerName val="0"/>
          <c:showPercent val="0"/>
          <c:showBubbleSize val="0"/>
        </c:dLbls>
        <c:gapWidth val="150"/>
        <c:axId val="124270848"/>
        <c:axId val="176609152"/>
      </c:barChart>
      <c:catAx>
        <c:axId val="12427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6609152"/>
        <c:crosses val="autoZero"/>
        <c:auto val="1"/>
        <c:lblAlgn val="ctr"/>
        <c:lblOffset val="100"/>
        <c:tickLblSkip val="1"/>
        <c:tickMarkSkip val="1"/>
        <c:noMultiLvlLbl val="0"/>
      </c:catAx>
      <c:valAx>
        <c:axId val="176609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27084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en-US"/>
          </a:p>
        </c:txPr>
      </c:legendEntry>
      <c:layout>
        <c:manualLayout>
          <c:xMode val="edge"/>
          <c:yMode val="edge"/>
          <c:x val="0.76627718853755267"/>
          <c:y val="0.19536423841059641"/>
          <c:w val="0.22203664605015838"/>
          <c:h val="0.1887417218543109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2008 Total Suspended Sediment Load into Reservoir</a:t>
            </a:r>
          </a:p>
        </c:rich>
      </c:tx>
      <c:layout>
        <c:manualLayout>
          <c:xMode val="edge"/>
          <c:yMode val="edge"/>
          <c:x val="0.30093209054593872"/>
          <c:y val="4.2194092827004523E-2"/>
        </c:manualLayout>
      </c:layout>
      <c:overlay val="0"/>
      <c:spPr>
        <a:noFill/>
        <a:ln w="25400">
          <a:noFill/>
        </a:ln>
      </c:spPr>
    </c:title>
    <c:autoTitleDeleted val="0"/>
    <c:plotArea>
      <c:layout>
        <c:manualLayout>
          <c:layoutTarget val="inner"/>
          <c:xMode val="edge"/>
          <c:yMode val="edge"/>
          <c:x val="0.14233576642335766"/>
          <c:y val="0.12658280006757675"/>
          <c:w val="0.83211678832114933"/>
          <c:h val="0.71730253371624719"/>
        </c:manualLayout>
      </c:layout>
      <c:lineChart>
        <c:grouping val="standard"/>
        <c:varyColors val="0"/>
        <c:ser>
          <c:idx val="0"/>
          <c:order val="0"/>
          <c:tx>
            <c:strRef>
              <c:f>Loading!$A$40</c:f>
              <c:strCache>
                <c:ptCount val="1"/>
                <c:pt idx="0">
                  <c:v>Bear Creek </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Loading!$B$38:$M$38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Loading!$B$40:$M$40</c:f>
              <c:numCache>
                <c:formatCode>#,##0</c:formatCode>
                <c:ptCount val="12"/>
                <c:pt idx="0">
                  <c:v>9243.4378545599975</c:v>
                </c:pt>
                <c:pt idx="1">
                  <c:v>0</c:v>
                </c:pt>
                <c:pt idx="2">
                  <c:v>17420.325187440001</c:v>
                </c:pt>
                <c:pt idx="3">
                  <c:v>103810.91744351998</c:v>
                </c:pt>
                <c:pt idx="4">
                  <c:v>69325.783909199978</c:v>
                </c:pt>
                <c:pt idx="5">
                  <c:v>19908.943071359998</c:v>
                </c:pt>
                <c:pt idx="6">
                  <c:v>21331.010433599997</c:v>
                </c:pt>
                <c:pt idx="7">
                  <c:v>14042.915202119995</c:v>
                </c:pt>
                <c:pt idx="8">
                  <c:v>31640.998809839995</c:v>
                </c:pt>
                <c:pt idx="9">
                  <c:v>69859.059170039982</c:v>
                </c:pt>
                <c:pt idx="10">
                  <c:v>8176.8873328799982</c:v>
                </c:pt>
                <c:pt idx="11">
                  <c:v>7465.8536517599987</c:v>
                </c:pt>
              </c:numCache>
            </c:numRef>
          </c:val>
          <c:smooth val="0"/>
          <c:extLst>
            <c:ext xmlns:c16="http://schemas.microsoft.com/office/drawing/2014/chart" uri="{C3380CC4-5D6E-409C-BE32-E72D297353CC}">
              <c16:uniqueId val="{00000000-D921-44A2-808B-CDF67DF89C1E}"/>
            </c:ext>
          </c:extLst>
        </c:ser>
        <c:ser>
          <c:idx val="1"/>
          <c:order val="1"/>
          <c:tx>
            <c:strRef>
              <c:f>Loading!$A$39</c:f>
              <c:strCache>
                <c:ptCount val="1"/>
                <c:pt idx="0">
                  <c:v>Turkey Creek </c:v>
                </c:pt>
              </c:strCache>
            </c:strRef>
          </c:tx>
          <c:spPr>
            <a:ln w="38100">
              <a:solidFill>
                <a:srgbClr val="FF00FF"/>
              </a:solidFill>
              <a:prstDash val="solid"/>
            </a:ln>
          </c:spPr>
          <c:marker>
            <c:symbol val="square"/>
            <c:size val="6"/>
            <c:spPr>
              <a:solidFill>
                <a:srgbClr val="FF00FF"/>
              </a:solidFill>
              <a:ln>
                <a:solidFill>
                  <a:srgbClr val="FF00FF"/>
                </a:solidFill>
                <a:prstDash val="solid"/>
              </a:ln>
            </c:spPr>
          </c:marker>
          <c:cat>
            <c:strRef>
              <c:f>Loading!$B$38:$M$38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Loading!$B$39:$M$39</c:f>
              <c:numCache>
                <c:formatCode>#,##0</c:formatCode>
                <c:ptCount val="12"/>
                <c:pt idx="0">
                  <c:v>2999.6463436800009</c:v>
                </c:pt>
                <c:pt idx="1">
                  <c:v>9213.1994841600026</c:v>
                </c:pt>
                <c:pt idx="2">
                  <c:v>15962.403757440004</c:v>
                </c:pt>
                <c:pt idx="3">
                  <c:v>31389.156382080011</c:v>
                </c:pt>
                <c:pt idx="4">
                  <c:v>7927.6367654400037</c:v>
                </c:pt>
                <c:pt idx="5">
                  <c:v>5838.5973475200026</c:v>
                </c:pt>
                <c:pt idx="6">
                  <c:v>5195.8159881600004</c:v>
                </c:pt>
                <c:pt idx="7">
                  <c:v>4017.3834960000008</c:v>
                </c:pt>
                <c:pt idx="8">
                  <c:v>6213.5531404800013</c:v>
                </c:pt>
                <c:pt idx="9">
                  <c:v>2196.1696444800009</c:v>
                </c:pt>
                <c:pt idx="10">
                  <c:v>0</c:v>
                </c:pt>
                <c:pt idx="11">
                  <c:v>2142.6045312000006</c:v>
                </c:pt>
              </c:numCache>
            </c:numRef>
          </c:val>
          <c:smooth val="0"/>
          <c:extLst>
            <c:ext xmlns:c16="http://schemas.microsoft.com/office/drawing/2014/chart" uri="{C3380CC4-5D6E-409C-BE32-E72D297353CC}">
              <c16:uniqueId val="{00000001-D921-44A2-808B-CDF67DF89C1E}"/>
            </c:ext>
          </c:extLst>
        </c:ser>
        <c:dLbls>
          <c:showLegendKey val="0"/>
          <c:showVal val="0"/>
          <c:showCatName val="0"/>
          <c:showSerName val="0"/>
          <c:showPercent val="0"/>
          <c:showBubbleSize val="0"/>
        </c:dLbls>
        <c:marker val="1"/>
        <c:smooth val="0"/>
        <c:axId val="79406592"/>
        <c:axId val="79408512"/>
      </c:lineChart>
      <c:catAx>
        <c:axId val="7940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408512"/>
        <c:crosses val="autoZero"/>
        <c:auto val="1"/>
        <c:lblAlgn val="ctr"/>
        <c:lblOffset val="100"/>
        <c:tickLblSkip val="1"/>
        <c:tickMarkSkip val="1"/>
        <c:noMultiLvlLbl val="0"/>
      </c:catAx>
      <c:valAx>
        <c:axId val="79408512"/>
        <c:scaling>
          <c:orientation val="minMax"/>
          <c:min val="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Total TSS Load (Pounds)</a:t>
                </a:r>
              </a:p>
            </c:rich>
          </c:tx>
          <c:layout>
            <c:manualLayout>
              <c:xMode val="edge"/>
              <c:yMode val="edge"/>
              <c:x val="2.1897802055702412E-2"/>
              <c:y val="0.1476797678771167"/>
            </c:manualLayout>
          </c:layout>
          <c:overlay val="0"/>
          <c:spPr>
            <a:noFill/>
            <a:ln w="25400">
              <a:noFill/>
            </a:ln>
          </c:spPr>
        </c:title>
        <c:numFmt formatCode="#,##0" sourceLinked="1"/>
        <c:majorTickMark val="out"/>
        <c:minorTickMark val="none"/>
        <c:tickLblPos val="nextTo"/>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406592"/>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83955460960189565"/>
          <c:y val="0.14205433181612612"/>
          <c:w val="0.13237824632773099"/>
          <c:h val="0.22362957794832417"/>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2008 Bear Creek ReservoirTotal Suspended Sediment Load (pounds, %) </a:t>
            </a:r>
          </a:p>
        </c:rich>
      </c:tx>
      <c:layout>
        <c:manualLayout>
          <c:xMode val="edge"/>
          <c:yMode val="edge"/>
          <c:x val="0.12405063291139252"/>
          <c:y val="3.913043478260869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3.9804644672580484E-2"/>
          <c:y val="0.24347826086956989"/>
          <c:w val="0.93994219077045749"/>
          <c:h val="0.62898550724639712"/>
        </c:manualLayout>
      </c:layout>
      <c:pie3DChart>
        <c:varyColors val="1"/>
        <c:ser>
          <c:idx val="0"/>
          <c:order val="0"/>
          <c:tx>
            <c:strRef>
              <c:f>Loading!$A$38</c:f>
              <c:strCache>
                <c:ptCount val="1"/>
                <c:pt idx="0">
                  <c:v>TSS (Pounds)</c:v>
                </c:pt>
              </c:strCache>
            </c:strRef>
          </c:tx>
          <c:spPr>
            <a:solidFill>
              <a:srgbClr val="00FF00"/>
            </a:solidFill>
            <a:ln w="12700">
              <a:solidFill>
                <a:srgbClr val="000000"/>
              </a:solidFill>
              <a:prstDash val="solid"/>
            </a:ln>
          </c:spPr>
          <c:explosion val="20"/>
          <c:dPt>
            <c:idx val="0"/>
            <c:bubble3D val="0"/>
            <c:explosion val="112"/>
            <c:spPr>
              <a:solidFill>
                <a:srgbClr val="CC99FF"/>
              </a:solidFill>
              <a:ln w="12700">
                <a:solidFill>
                  <a:srgbClr val="000000"/>
                </a:solidFill>
                <a:prstDash val="solid"/>
              </a:ln>
            </c:spPr>
            <c:extLst>
              <c:ext xmlns:c16="http://schemas.microsoft.com/office/drawing/2014/chart" uri="{C3380CC4-5D6E-409C-BE32-E72D297353CC}">
                <c16:uniqueId val="{00000000-8426-4336-91F7-DAB7B2D04F83}"/>
              </c:ext>
            </c:extLst>
          </c:dPt>
          <c:dPt>
            <c:idx val="1"/>
            <c:bubble3D val="0"/>
            <c:explosion val="102"/>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426-4336-91F7-DAB7B2D04F83}"/>
              </c:ext>
            </c:extLst>
          </c:dPt>
          <c:dLbls>
            <c:dLbl>
              <c:idx val="0"/>
              <c:layout>
                <c:manualLayout>
                  <c:x val="8.6157546762351225E-2"/>
                  <c:y val="0.1143238616912016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426-4336-91F7-DAB7B2D04F83}"/>
                </c:ext>
              </c:extLst>
            </c:dLbl>
            <c:dLbl>
              <c:idx val="1"/>
              <c:layout>
                <c:manualLayout>
                  <c:x val="-0.22832811721319637"/>
                  <c:y val="-0.14153600365171745"/>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26-4336-91F7-DAB7B2D04F83}"/>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Loading!$A$39:$A$40</c:f>
              <c:strCache>
                <c:ptCount val="2"/>
                <c:pt idx="0">
                  <c:v>Turkey Creek </c:v>
                </c:pt>
                <c:pt idx="1">
                  <c:v>Bear Creek </c:v>
                </c:pt>
              </c:strCache>
            </c:strRef>
          </c:cat>
          <c:val>
            <c:numRef>
              <c:f>Loading!$N$39:$N$40</c:f>
              <c:numCache>
                <c:formatCode>#,##0</c:formatCode>
                <c:ptCount val="2"/>
                <c:pt idx="0">
                  <c:v>93096.166880640027</c:v>
                </c:pt>
                <c:pt idx="1">
                  <c:v>372226.13206631993</c:v>
                </c:pt>
              </c:numCache>
            </c:numRef>
          </c:val>
          <c:extLst>
            <c:ext xmlns:c16="http://schemas.microsoft.com/office/drawing/2014/chart" uri="{C3380CC4-5D6E-409C-BE32-E72D297353CC}">
              <c16:uniqueId val="{00000002-8426-4336-91F7-DAB7B2D04F83}"/>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2008 Bear Creek Reservoir Nitrate Loading (Pounds, %) </a:t>
            </a:r>
          </a:p>
        </c:rich>
      </c:tx>
      <c:layout>
        <c:manualLayout>
          <c:xMode val="edge"/>
          <c:yMode val="edge"/>
          <c:x val="0.14319248826291553"/>
          <c:y val="3.947368421052635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7.2463939047259923E-2"/>
          <c:y val="0.33490566037737757"/>
          <c:w val="0.70531567339334578"/>
          <c:h val="0.55188679245283023"/>
        </c:manualLayout>
      </c:layout>
      <c:pie3DChart>
        <c:varyColors val="1"/>
        <c:ser>
          <c:idx val="0"/>
          <c:order val="0"/>
          <c:tx>
            <c:strRef>
              <c:f>Loading!$A$16</c:f>
              <c:strCache>
                <c:ptCount val="1"/>
                <c:pt idx="0">
                  <c:v>Nitrate Pounds</c:v>
                </c:pt>
              </c:strCache>
            </c:strRef>
          </c:tx>
          <c:spPr>
            <a:solidFill>
              <a:srgbClr val="00FF00"/>
            </a:solidFill>
            <a:ln w="12700">
              <a:solidFill>
                <a:srgbClr val="000000"/>
              </a:solidFill>
              <a:prstDash val="solid"/>
            </a:ln>
          </c:spPr>
          <c:explosion val="29"/>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232F-4333-9C74-B977613EC6AB}"/>
              </c:ext>
            </c:extLst>
          </c:dPt>
          <c:dPt>
            <c:idx val="1"/>
            <c:bubble3D val="0"/>
            <c:explosion val="34"/>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232F-4333-9C74-B977613EC6AB}"/>
              </c:ext>
            </c:extLst>
          </c:dPt>
          <c:dLbls>
            <c:dLbl>
              <c:idx val="0"/>
              <c:layout>
                <c:manualLayout>
                  <c:x val="2.8018680763496107E-2"/>
                  <c:y val="-0.1282815305981489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32F-4333-9C74-B977613EC6AB}"/>
                </c:ext>
              </c:extLst>
            </c:dLbl>
            <c:dLbl>
              <c:idx val="1"/>
              <c:layout>
                <c:manualLayout>
                  <c:x val="6.8066491688541883E-2"/>
                  <c:y val="-0.4222461665975963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2F-4333-9C74-B977613EC6AB}"/>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Loading!$A$17:$A$18</c:f>
              <c:strCache>
                <c:ptCount val="2"/>
                <c:pt idx="0">
                  <c:v>Turkey Creek</c:v>
                </c:pt>
                <c:pt idx="1">
                  <c:v>Bear Creek </c:v>
                </c:pt>
              </c:strCache>
            </c:strRef>
          </c:cat>
          <c:val>
            <c:numRef>
              <c:f>Loading!$N$17:$N$18</c:f>
              <c:numCache>
                <c:formatCode>#,##0</c:formatCode>
                <c:ptCount val="2"/>
                <c:pt idx="0">
                  <c:v>11178.438423909751</c:v>
                </c:pt>
                <c:pt idx="1">
                  <c:v>36689.405219198772</c:v>
                </c:pt>
              </c:numCache>
            </c:numRef>
          </c:val>
          <c:extLst>
            <c:ext xmlns:c16="http://schemas.microsoft.com/office/drawing/2014/chart" uri="{C3380CC4-5D6E-409C-BE32-E72D297353CC}">
              <c16:uniqueId val="{00000002-232F-4333-9C74-B977613EC6AB}"/>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2008 Bear Creek Reservoir Total Phosphorus Load (Pounds, %) </a:t>
            </a:r>
          </a:p>
        </c:rich>
      </c:tx>
      <c:layout>
        <c:manualLayout>
          <c:xMode val="edge"/>
          <c:yMode val="edge"/>
          <c:x val="0.11032863849765258"/>
          <c:y val="3.930131004366824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8.2125797586894228E-2"/>
          <c:y val="0.30373901079469096"/>
          <c:w val="0.78019507707551961"/>
          <c:h val="0.59813220587259153"/>
        </c:manualLayout>
      </c:layout>
      <c:pie3DChart>
        <c:varyColors val="1"/>
        <c:ser>
          <c:idx val="0"/>
          <c:order val="0"/>
          <c:tx>
            <c:strRef>
              <c:f>Loading!$A$27</c:f>
              <c:strCache>
                <c:ptCount val="1"/>
                <c:pt idx="0">
                  <c:v>Total Phosphorus Pounds</c:v>
                </c:pt>
              </c:strCache>
            </c:strRef>
          </c:tx>
          <c:spPr>
            <a:solidFill>
              <a:srgbClr val="9999FF"/>
            </a:solidFill>
            <a:ln w="12700">
              <a:solidFill>
                <a:srgbClr val="000000"/>
              </a:solidFill>
              <a:prstDash val="solid"/>
            </a:ln>
          </c:spPr>
          <c:explosion val="24"/>
          <c:dPt>
            <c:idx val="1"/>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0-ED46-4C82-96C1-6DD96C3FBAB8}"/>
              </c:ext>
            </c:extLst>
          </c:dPt>
          <c:dLbls>
            <c:dLbl>
              <c:idx val="0"/>
              <c:layout>
                <c:manualLayout>
                  <c:x val="4.6648675957758796E-2"/>
                  <c:y val="-7.4572316015083434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D46-4C82-96C1-6DD96C3FBAB8}"/>
                </c:ext>
              </c:extLst>
            </c:dLbl>
            <c:dLbl>
              <c:idx val="1"/>
              <c:layout>
                <c:manualLayout>
                  <c:x val="7.37111382203985E-2"/>
                  <c:y val="-0.5824598562734373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D46-4C82-96C1-6DD96C3FBAB8}"/>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Loading!$A$28:$A$29</c:f>
              <c:strCache>
                <c:ptCount val="2"/>
                <c:pt idx="0">
                  <c:v>Turkey Creek </c:v>
                </c:pt>
                <c:pt idx="1">
                  <c:v>Bear Creek </c:v>
                </c:pt>
              </c:strCache>
            </c:strRef>
          </c:cat>
          <c:val>
            <c:numRef>
              <c:f>Loading!$N$28:$N$29</c:f>
              <c:numCache>
                <c:formatCode>#,##0</c:formatCode>
                <c:ptCount val="2"/>
                <c:pt idx="0">
                  <c:v>1018.0142923844251</c:v>
                </c:pt>
                <c:pt idx="1">
                  <c:v>2635.5945070862399</c:v>
                </c:pt>
              </c:numCache>
            </c:numRef>
          </c:val>
          <c:extLst>
            <c:ext xmlns:c16="http://schemas.microsoft.com/office/drawing/2014/chart" uri="{C3380CC4-5D6E-409C-BE32-E72D297353CC}">
              <c16:uniqueId val="{00000002-ED46-4C82-96C1-6DD96C3FBAB8}"/>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2008 Bear Creek Reservoir Estimated Inflow Contributions (acre-feet, %)</a:t>
            </a:r>
          </a:p>
        </c:rich>
      </c:tx>
      <c:layout>
        <c:manualLayout>
          <c:xMode val="edge"/>
          <c:yMode val="edge"/>
          <c:x val="0.19191919191919818"/>
          <c:y val="4.000000000000002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1.3781494367468469E-2"/>
          <c:y val="0.28204934383202102"/>
          <c:w val="0.89405874653265238"/>
          <c:h val="0.67427284922719755"/>
        </c:manualLayout>
      </c:layout>
      <c:pie3DChart>
        <c:varyColors val="1"/>
        <c:ser>
          <c:idx val="0"/>
          <c:order val="0"/>
          <c:tx>
            <c:strRef>
              <c:f>Loading!$N$3</c:f>
              <c:strCache>
                <c:ptCount val="1"/>
                <c:pt idx="0">
                  <c:v>Annual ac-ft/yr</c:v>
                </c:pt>
              </c:strCache>
            </c:strRef>
          </c:tx>
          <c:spPr>
            <a:solidFill>
              <a:srgbClr val="00FF00"/>
            </a:solidFill>
            <a:ln w="12700">
              <a:solidFill>
                <a:srgbClr val="000000"/>
              </a:solidFill>
              <a:prstDash val="solid"/>
            </a:ln>
          </c:spPr>
          <c:explosion val="9"/>
          <c:dPt>
            <c:idx val="0"/>
            <c:bubble3D val="0"/>
            <c:explosion val="16"/>
            <c:spPr>
              <a:solidFill>
                <a:srgbClr val="CC99FF"/>
              </a:solidFill>
              <a:ln w="12700">
                <a:solidFill>
                  <a:srgbClr val="000000"/>
                </a:solidFill>
                <a:prstDash val="solid"/>
              </a:ln>
            </c:spPr>
            <c:extLst>
              <c:ext xmlns:c16="http://schemas.microsoft.com/office/drawing/2014/chart" uri="{C3380CC4-5D6E-409C-BE32-E72D297353CC}">
                <c16:uniqueId val="{00000000-91DB-41C0-9AA1-C1EEAD1D233C}"/>
              </c:ext>
            </c:extLst>
          </c:dPt>
          <c:dPt>
            <c:idx val="1"/>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91DB-41C0-9AA1-C1EEAD1D233C}"/>
              </c:ext>
            </c:extLst>
          </c:dPt>
          <c:dLbls>
            <c:dLbl>
              <c:idx val="0"/>
              <c:layout>
                <c:manualLayout>
                  <c:x val="-5.7224901150922033E-2"/>
                  <c:y val="-9.0408165645960964E-2"/>
                </c:manualLayout>
              </c:layout>
              <c:spPr>
                <a:noFill/>
                <a:ln w="25400">
                  <a:noFill/>
                </a:ln>
              </c:spPr>
              <c:txPr>
                <a:bodyPr/>
                <a:lstStyle/>
                <a:p>
                  <a:pPr>
                    <a:defRPr sz="8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1DB-41C0-9AA1-C1EEAD1D233C}"/>
                </c:ext>
              </c:extLst>
            </c:dLbl>
            <c:dLbl>
              <c:idx val="1"/>
              <c:layout>
                <c:manualLayout>
                  <c:x val="0.20671886789120836"/>
                  <c:y val="-0.2722888157230557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DB-41C0-9AA1-C1EEAD1D233C}"/>
                </c:ext>
              </c:extLst>
            </c:dLbl>
            <c:numFmt formatCode="0%" sourceLinked="0"/>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Loading!$A$4:$A$5</c:f>
              <c:strCache>
                <c:ptCount val="2"/>
                <c:pt idx="0">
                  <c:v>Turkey Creek Inflow</c:v>
                </c:pt>
                <c:pt idx="1">
                  <c:v>Bear Creek Inflow</c:v>
                </c:pt>
              </c:strCache>
            </c:strRef>
          </c:cat>
          <c:val>
            <c:numRef>
              <c:f>Loading!$N$4:$N$5</c:f>
              <c:numCache>
                <c:formatCode>#,##0</c:formatCode>
                <c:ptCount val="2"/>
                <c:pt idx="0">
                  <c:v>8401.1778000000013</c:v>
                </c:pt>
                <c:pt idx="1">
                  <c:v>21226.184882903228</c:v>
                </c:pt>
              </c:numCache>
            </c:numRef>
          </c:val>
          <c:extLst>
            <c:ext xmlns:c16="http://schemas.microsoft.com/office/drawing/2014/chart" uri="{C3380CC4-5D6E-409C-BE32-E72D297353CC}">
              <c16:uniqueId val="{00000002-91DB-41C0-9AA1-C1EEAD1D233C}"/>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2010 Total Suspended Sediment Load into Reservoir</a:t>
            </a:r>
          </a:p>
        </c:rich>
      </c:tx>
      <c:layout>
        <c:manualLayout>
          <c:xMode val="edge"/>
          <c:yMode val="edge"/>
          <c:x val="0.30093209054593872"/>
          <c:y val="4.2194092827004523E-2"/>
        </c:manualLayout>
      </c:layout>
      <c:overlay val="0"/>
      <c:spPr>
        <a:noFill/>
        <a:ln w="25400">
          <a:noFill/>
        </a:ln>
      </c:spPr>
    </c:title>
    <c:autoTitleDeleted val="0"/>
    <c:plotArea>
      <c:layout>
        <c:manualLayout>
          <c:layoutTarget val="inner"/>
          <c:xMode val="edge"/>
          <c:yMode val="edge"/>
          <c:x val="0.14233576642335766"/>
          <c:y val="0.12658280006757675"/>
          <c:w val="0.8321167883211531"/>
          <c:h val="0.71730253371625141"/>
        </c:manualLayout>
      </c:layout>
      <c:lineChart>
        <c:grouping val="standard"/>
        <c:varyColors val="0"/>
        <c:ser>
          <c:idx val="0"/>
          <c:order val="0"/>
          <c:tx>
            <c:strRef>
              <c:f>Loading!$A$40</c:f>
              <c:strCache>
                <c:ptCount val="1"/>
                <c:pt idx="0">
                  <c:v>Bear Creek </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[1]Loading!$B$31:$M$31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Loading!$B$40:$M$40</c:f>
              <c:numCache>
                <c:formatCode>#,##0</c:formatCode>
                <c:ptCount val="12"/>
                <c:pt idx="0">
                  <c:v>9243.4378545599975</c:v>
                </c:pt>
                <c:pt idx="1">
                  <c:v>0</c:v>
                </c:pt>
                <c:pt idx="2">
                  <c:v>17420.325187440001</c:v>
                </c:pt>
                <c:pt idx="3">
                  <c:v>103810.91744351998</c:v>
                </c:pt>
                <c:pt idx="4">
                  <c:v>69325.783909199978</c:v>
                </c:pt>
                <c:pt idx="5">
                  <c:v>19908.943071359998</c:v>
                </c:pt>
                <c:pt idx="6">
                  <c:v>21331.010433599997</c:v>
                </c:pt>
                <c:pt idx="7">
                  <c:v>14042.915202119995</c:v>
                </c:pt>
                <c:pt idx="8">
                  <c:v>31640.998809839995</c:v>
                </c:pt>
                <c:pt idx="9">
                  <c:v>69859.059170039982</c:v>
                </c:pt>
                <c:pt idx="10">
                  <c:v>8176.8873328799982</c:v>
                </c:pt>
                <c:pt idx="11">
                  <c:v>7465.8536517599987</c:v>
                </c:pt>
              </c:numCache>
            </c:numRef>
          </c:val>
          <c:smooth val="0"/>
          <c:extLst>
            <c:ext xmlns:c16="http://schemas.microsoft.com/office/drawing/2014/chart" uri="{C3380CC4-5D6E-409C-BE32-E72D297353CC}">
              <c16:uniqueId val="{00000000-5D29-4D40-9082-FB471F390924}"/>
            </c:ext>
          </c:extLst>
        </c:ser>
        <c:ser>
          <c:idx val="1"/>
          <c:order val="1"/>
          <c:tx>
            <c:strRef>
              <c:f>Loading!$A$39</c:f>
              <c:strCache>
                <c:ptCount val="1"/>
                <c:pt idx="0">
                  <c:v>Turkey Creek </c:v>
                </c:pt>
              </c:strCache>
            </c:strRef>
          </c:tx>
          <c:spPr>
            <a:ln w="38100">
              <a:solidFill>
                <a:srgbClr val="FF00FF"/>
              </a:solidFill>
              <a:prstDash val="solid"/>
            </a:ln>
          </c:spPr>
          <c:marker>
            <c:symbol val="square"/>
            <c:size val="6"/>
            <c:spPr>
              <a:solidFill>
                <a:srgbClr val="FF00FF"/>
              </a:solidFill>
              <a:ln>
                <a:solidFill>
                  <a:srgbClr val="FF00FF"/>
                </a:solidFill>
                <a:prstDash val="solid"/>
              </a:ln>
            </c:spPr>
          </c:marker>
          <c:cat>
            <c:strRef>
              <c:f>[1]Loading!$B$31:$M$31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Loading!$B$39:$M$39</c:f>
              <c:numCache>
                <c:formatCode>#,##0</c:formatCode>
                <c:ptCount val="12"/>
                <c:pt idx="0">
                  <c:v>2999.6463436800009</c:v>
                </c:pt>
                <c:pt idx="1">
                  <c:v>9213.1994841600026</c:v>
                </c:pt>
                <c:pt idx="2">
                  <c:v>15962.403757440004</c:v>
                </c:pt>
                <c:pt idx="3">
                  <c:v>31389.156382080011</c:v>
                </c:pt>
                <c:pt idx="4">
                  <c:v>7927.6367654400037</c:v>
                </c:pt>
                <c:pt idx="5">
                  <c:v>5838.5973475200026</c:v>
                </c:pt>
                <c:pt idx="6">
                  <c:v>5195.8159881600004</c:v>
                </c:pt>
                <c:pt idx="7">
                  <c:v>4017.3834960000008</c:v>
                </c:pt>
                <c:pt idx="8">
                  <c:v>6213.5531404800013</c:v>
                </c:pt>
                <c:pt idx="9">
                  <c:v>2196.1696444800009</c:v>
                </c:pt>
                <c:pt idx="10">
                  <c:v>0</c:v>
                </c:pt>
                <c:pt idx="11">
                  <c:v>2142.6045312000006</c:v>
                </c:pt>
              </c:numCache>
            </c:numRef>
          </c:val>
          <c:smooth val="0"/>
          <c:extLst>
            <c:ext xmlns:c16="http://schemas.microsoft.com/office/drawing/2014/chart" uri="{C3380CC4-5D6E-409C-BE32-E72D297353CC}">
              <c16:uniqueId val="{00000001-5D29-4D40-9082-FB471F390924}"/>
            </c:ext>
          </c:extLst>
        </c:ser>
        <c:dLbls>
          <c:showLegendKey val="0"/>
          <c:showVal val="0"/>
          <c:showCatName val="0"/>
          <c:showSerName val="0"/>
          <c:showPercent val="0"/>
          <c:showBubbleSize val="0"/>
        </c:dLbls>
        <c:marker val="1"/>
        <c:smooth val="0"/>
        <c:axId val="79869440"/>
        <c:axId val="79871360"/>
      </c:lineChart>
      <c:catAx>
        <c:axId val="79869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871360"/>
        <c:crosses val="autoZero"/>
        <c:auto val="1"/>
        <c:lblAlgn val="ctr"/>
        <c:lblOffset val="100"/>
        <c:tickLblSkip val="1"/>
        <c:tickMarkSkip val="1"/>
        <c:noMultiLvlLbl val="0"/>
      </c:catAx>
      <c:valAx>
        <c:axId val="79871360"/>
        <c:scaling>
          <c:orientation val="minMax"/>
          <c:min val="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Total TSS Load (Pounds)</a:t>
                </a:r>
              </a:p>
            </c:rich>
          </c:tx>
          <c:layout>
            <c:manualLayout>
              <c:xMode val="edge"/>
              <c:yMode val="edge"/>
              <c:x val="2.1897802055702412E-2"/>
              <c:y val="0.1476797678771167"/>
            </c:manualLayout>
          </c:layout>
          <c:overlay val="0"/>
          <c:spPr>
            <a:noFill/>
            <a:ln w="25400">
              <a:noFill/>
            </a:ln>
          </c:spPr>
        </c:title>
        <c:numFmt formatCode="#,##0" sourceLinked="1"/>
        <c:majorTickMark val="out"/>
        <c:minorTickMark val="none"/>
        <c:tickLblPos val="nextTo"/>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869440"/>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81616276035670787"/>
          <c:y val="0.14205433181612401"/>
          <c:w val="0.15577013399640899"/>
          <c:h val="0.22362957794832417"/>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Bear Creek ReservoirTotal Suspended Sediment Load (pounds, %) </a:t>
            </a:r>
          </a:p>
        </c:rich>
      </c:tx>
      <c:layout>
        <c:manualLayout>
          <c:xMode val="edge"/>
          <c:yMode val="edge"/>
          <c:x val="0.12405063291139252"/>
          <c:y val="3.913043478260869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3.9804644672580484E-2"/>
          <c:y val="0.26086956521739313"/>
          <c:w val="0.93994219077045749"/>
          <c:h val="0.62898550724639291"/>
        </c:manualLayout>
      </c:layout>
      <c:pie3DChart>
        <c:varyColors val="1"/>
        <c:ser>
          <c:idx val="0"/>
          <c:order val="0"/>
          <c:tx>
            <c:strRef>
              <c:f>Loading!$A$38</c:f>
              <c:strCache>
                <c:ptCount val="1"/>
                <c:pt idx="0">
                  <c:v>TSS (Pounds)</c:v>
                </c:pt>
              </c:strCache>
            </c:strRef>
          </c:tx>
          <c:spPr>
            <a:solidFill>
              <a:srgbClr val="00FF00"/>
            </a:solidFill>
            <a:ln w="12700">
              <a:solidFill>
                <a:srgbClr val="000000"/>
              </a:solidFill>
              <a:prstDash val="solid"/>
            </a:ln>
          </c:spPr>
          <c:explosion val="20"/>
          <c:dPt>
            <c:idx val="0"/>
            <c:bubble3D val="0"/>
            <c:explosion val="52"/>
            <c:spPr>
              <a:solidFill>
                <a:srgbClr val="CC99FF"/>
              </a:solidFill>
              <a:ln w="12700">
                <a:solidFill>
                  <a:srgbClr val="000000"/>
                </a:solidFill>
                <a:prstDash val="solid"/>
              </a:ln>
            </c:spPr>
            <c:extLst>
              <c:ext xmlns:c16="http://schemas.microsoft.com/office/drawing/2014/chart" uri="{C3380CC4-5D6E-409C-BE32-E72D297353CC}">
                <c16:uniqueId val="{00000000-FA1C-4525-B093-30699E2B636E}"/>
              </c:ext>
            </c:extLst>
          </c:dPt>
          <c:dPt>
            <c:idx val="1"/>
            <c:bubble3D val="0"/>
            <c:explosion val="41"/>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FA1C-4525-B093-30699E2B636E}"/>
              </c:ext>
            </c:extLst>
          </c:dPt>
          <c:dLbls>
            <c:dLbl>
              <c:idx val="0"/>
              <c:layout>
                <c:manualLayout>
                  <c:x val="-3.7261038572710247E-3"/>
                  <c:y val="-3.0603674540682413E-2"/>
                </c:manualLayout>
              </c:layout>
              <c:tx>
                <c:rich>
                  <a:bodyPr/>
                  <a:lstStyle/>
                  <a:p>
                    <a:r>
                      <a:rPr lang="en-US" sz="800"/>
                      <a:t>Turkey Creek , 63,690, 11%</a:t>
                    </a:r>
                  </a:p>
                </c:rich>
              </c:tx>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A1C-4525-B093-30699E2B636E}"/>
                </c:ext>
              </c:extLst>
            </c:dLbl>
            <c:dLbl>
              <c:idx val="1"/>
              <c:layout>
                <c:manualLayout>
                  <c:x val="-1.6571979135519509E-2"/>
                  <c:y val="7.295674997147086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A1C-4525-B093-30699E2B636E}"/>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[1]Loading!$A$32:$A$33</c:f>
              <c:strCache>
                <c:ptCount val="2"/>
                <c:pt idx="0">
                  <c:v>Turkey Creek </c:v>
                </c:pt>
                <c:pt idx="1">
                  <c:v>Bear Creek </c:v>
                </c:pt>
              </c:strCache>
            </c:strRef>
          </c:cat>
          <c:val>
            <c:numRef>
              <c:f>Loading!$N$39:$N$40</c:f>
              <c:numCache>
                <c:formatCode>#,##0</c:formatCode>
                <c:ptCount val="2"/>
                <c:pt idx="0">
                  <c:v>93096.166880640027</c:v>
                </c:pt>
                <c:pt idx="1">
                  <c:v>372226.13206631993</c:v>
                </c:pt>
              </c:numCache>
            </c:numRef>
          </c:val>
          <c:extLst>
            <c:ext xmlns:c16="http://schemas.microsoft.com/office/drawing/2014/chart" uri="{C3380CC4-5D6E-409C-BE32-E72D297353CC}">
              <c16:uniqueId val="{00000002-FA1C-4525-B093-30699E2B636E}"/>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Bear Creek Reservoir Nitrate Loading (Pounds, %) </a:t>
            </a:r>
          </a:p>
        </c:rich>
      </c:tx>
      <c:layout>
        <c:manualLayout>
          <c:xMode val="edge"/>
          <c:yMode val="edge"/>
          <c:x val="0.14319248826291453"/>
          <c:y val="3.947368421052635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7.2463939047259923E-2"/>
          <c:y val="0.33490566037737329"/>
          <c:w val="0.84616070878464056"/>
          <c:h val="0.66299811207810044"/>
        </c:manualLayout>
      </c:layout>
      <c:pie3DChart>
        <c:varyColors val="1"/>
        <c:ser>
          <c:idx val="0"/>
          <c:order val="0"/>
          <c:tx>
            <c:strRef>
              <c:f>Loading!$A$16</c:f>
              <c:strCache>
                <c:ptCount val="1"/>
                <c:pt idx="0">
                  <c:v>Nitrate Pounds</c:v>
                </c:pt>
              </c:strCache>
            </c:strRef>
          </c:tx>
          <c:spPr>
            <a:solidFill>
              <a:srgbClr val="00FF00"/>
            </a:solidFill>
            <a:ln w="12700">
              <a:solidFill>
                <a:srgbClr val="000000"/>
              </a:solidFill>
              <a:prstDash val="solid"/>
            </a:ln>
          </c:spPr>
          <c:explosion val="29"/>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68A2-4494-9AB0-CC47995AC224}"/>
              </c:ext>
            </c:extLst>
          </c:dPt>
          <c:dPt>
            <c:idx val="1"/>
            <c:bubble3D val="0"/>
            <c:explosion val="34"/>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68A2-4494-9AB0-CC47995AC224}"/>
              </c:ext>
            </c:extLst>
          </c:dPt>
          <c:dLbls>
            <c:dLbl>
              <c:idx val="0"/>
              <c:layout>
                <c:manualLayout>
                  <c:x val="-1.5799785590181508E-2"/>
                  <c:y val="-8.7345858083529043E-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8A2-4494-9AB0-CC47995AC224}"/>
                </c:ext>
              </c:extLst>
            </c:dLbl>
            <c:dLbl>
              <c:idx val="1"/>
              <c:layout>
                <c:manualLayout>
                  <c:x val="7.7456163050041577E-2"/>
                  <c:y val="-0.5158138785283418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A2-4494-9AB0-CC47995AC224}"/>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[1]Loading!$A$14:$A$15</c:f>
              <c:strCache>
                <c:ptCount val="2"/>
                <c:pt idx="0">
                  <c:v>Turkey Creek</c:v>
                </c:pt>
                <c:pt idx="1">
                  <c:v>Bear Creek </c:v>
                </c:pt>
              </c:strCache>
            </c:strRef>
          </c:cat>
          <c:val>
            <c:numRef>
              <c:f>Loading!$N$17:$N$18</c:f>
              <c:numCache>
                <c:formatCode>#,##0</c:formatCode>
                <c:ptCount val="2"/>
                <c:pt idx="0">
                  <c:v>11178.438423909751</c:v>
                </c:pt>
                <c:pt idx="1">
                  <c:v>36689.405219198772</c:v>
                </c:pt>
              </c:numCache>
            </c:numRef>
          </c:val>
          <c:extLst>
            <c:ext xmlns:c16="http://schemas.microsoft.com/office/drawing/2014/chart" uri="{C3380CC4-5D6E-409C-BE32-E72D297353CC}">
              <c16:uniqueId val="{00000002-68A2-4494-9AB0-CC47995AC224}"/>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sz="1050"/>
              <a:t>2010 Bear Creek Reservoir Total Phosphorus Load (Pounds, %) </a:t>
            </a:r>
          </a:p>
        </c:rich>
      </c:tx>
      <c:layout>
        <c:manualLayout>
          <c:xMode val="edge"/>
          <c:yMode val="edge"/>
          <c:x val="0.13849765258216035"/>
          <c:y val="5.094614264919937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8.2125797586894228E-2"/>
          <c:y val="0.30373901079469096"/>
          <c:w val="0.84592288639976365"/>
          <c:h val="0.65053398892823688"/>
        </c:manualLayout>
      </c:layout>
      <c:pie3DChart>
        <c:varyColors val="1"/>
        <c:ser>
          <c:idx val="0"/>
          <c:order val="0"/>
          <c:tx>
            <c:strRef>
              <c:f>Loading!$A$27</c:f>
              <c:strCache>
                <c:ptCount val="1"/>
                <c:pt idx="0">
                  <c:v>Total Phosphorus Pounds</c:v>
                </c:pt>
              </c:strCache>
            </c:strRef>
          </c:tx>
          <c:spPr>
            <a:solidFill>
              <a:srgbClr val="9999FF"/>
            </a:solidFill>
            <a:ln w="12700">
              <a:solidFill>
                <a:srgbClr val="000000"/>
              </a:solidFill>
              <a:prstDash val="solid"/>
            </a:ln>
          </c:spPr>
          <c:explosion val="24"/>
          <c:dPt>
            <c:idx val="0"/>
            <c:bubble3D val="0"/>
            <c:explosion val="19"/>
            <c:extLst>
              <c:ext xmlns:c16="http://schemas.microsoft.com/office/drawing/2014/chart" uri="{C3380CC4-5D6E-409C-BE32-E72D297353CC}">
                <c16:uniqueId val="{00000000-A5B5-420A-BE40-6B27D1231A34}"/>
              </c:ext>
            </c:extLst>
          </c:dPt>
          <c:dPt>
            <c:idx val="1"/>
            <c:bubble3D val="0"/>
            <c:explosion val="7"/>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A5B5-420A-BE40-6B27D1231A34}"/>
              </c:ext>
            </c:extLst>
          </c:dPt>
          <c:dLbls>
            <c:dLbl>
              <c:idx val="0"/>
              <c:layout>
                <c:manualLayout>
                  <c:x val="-7.2543220829790894E-2"/>
                  <c:y val="-0.1269740627399741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5B5-420A-BE40-6B27D1231A34}"/>
                </c:ext>
              </c:extLst>
            </c:dLbl>
            <c:dLbl>
              <c:idx val="1"/>
              <c:layout>
                <c:manualLayout>
                  <c:x val="7.37111382203985E-2"/>
                  <c:y val="-0.49512361173193981"/>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B5-420A-BE40-6B27D1231A34}"/>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[1]Loading!$A$23:$A$24</c:f>
              <c:strCache>
                <c:ptCount val="2"/>
                <c:pt idx="0">
                  <c:v>Turkey Creek </c:v>
                </c:pt>
                <c:pt idx="1">
                  <c:v>Bear Creek </c:v>
                </c:pt>
              </c:strCache>
            </c:strRef>
          </c:cat>
          <c:val>
            <c:numRef>
              <c:f>Loading!$N$28:$N$29</c:f>
              <c:numCache>
                <c:formatCode>#,##0</c:formatCode>
                <c:ptCount val="2"/>
                <c:pt idx="0">
                  <c:v>1018.0142923844251</c:v>
                </c:pt>
                <c:pt idx="1">
                  <c:v>2635.5945070862399</c:v>
                </c:pt>
              </c:numCache>
            </c:numRef>
          </c:val>
          <c:extLst>
            <c:ext xmlns:c16="http://schemas.microsoft.com/office/drawing/2014/chart" uri="{C3380CC4-5D6E-409C-BE32-E72D297353CC}">
              <c16:uniqueId val="{00000002-A5B5-420A-BE40-6B27D1231A34}"/>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Bear Creek Reservoir Estimated Inflow Contributions (acre-feet, %)</a:t>
            </a:r>
          </a:p>
        </c:rich>
      </c:tx>
      <c:layout>
        <c:manualLayout>
          <c:xMode val="edge"/>
          <c:yMode val="edge"/>
          <c:x val="0.19191919191919687"/>
          <c:y val="4.000000000000002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1.3781494367468294E-2"/>
          <c:y val="0.28779663317947435"/>
          <c:w val="0.88405879265091869"/>
          <c:h val="0.66852565843062972"/>
        </c:manualLayout>
      </c:layout>
      <c:pie3DChart>
        <c:varyColors val="1"/>
        <c:ser>
          <c:idx val="0"/>
          <c:order val="0"/>
          <c:tx>
            <c:strRef>
              <c:f>Loading!$N$3</c:f>
              <c:strCache>
                <c:ptCount val="1"/>
                <c:pt idx="0">
                  <c:v>Annual ac-ft/yr</c:v>
                </c:pt>
              </c:strCache>
            </c:strRef>
          </c:tx>
          <c:spPr>
            <a:solidFill>
              <a:srgbClr val="00FF00"/>
            </a:solidFill>
            <a:ln w="12700">
              <a:solidFill>
                <a:srgbClr val="000000"/>
              </a:solidFill>
              <a:prstDash val="solid"/>
            </a:ln>
          </c:spPr>
          <c:explosion val="9"/>
          <c:dPt>
            <c:idx val="0"/>
            <c:bubble3D val="0"/>
            <c:explosion val="16"/>
            <c:spPr>
              <a:solidFill>
                <a:srgbClr val="CC99FF"/>
              </a:solidFill>
              <a:ln w="12700">
                <a:solidFill>
                  <a:srgbClr val="000000"/>
                </a:solidFill>
                <a:prstDash val="solid"/>
              </a:ln>
            </c:spPr>
            <c:extLst>
              <c:ext xmlns:c16="http://schemas.microsoft.com/office/drawing/2014/chart" uri="{C3380CC4-5D6E-409C-BE32-E72D297353CC}">
                <c16:uniqueId val="{00000000-8216-47A4-A0C8-BCFFE61BA335}"/>
              </c:ext>
            </c:extLst>
          </c:dPt>
          <c:dPt>
            <c:idx val="1"/>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216-47A4-A0C8-BCFFE61BA335}"/>
              </c:ext>
            </c:extLst>
          </c:dPt>
          <c:dLbls>
            <c:dLbl>
              <c:idx val="0"/>
              <c:layout>
                <c:manualLayout>
                  <c:x val="-1.7224934383202103E-2"/>
                  <c:y val="-4.201285184179596E-3"/>
                </c:manualLayout>
              </c:layout>
              <c:spPr>
                <a:no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216-47A4-A0C8-BCFFE61BA335}"/>
                </c:ext>
              </c:extLst>
            </c:dLbl>
            <c:dLbl>
              <c:idx val="1"/>
              <c:layout>
                <c:manualLayout>
                  <c:x val="0.20671886789120664"/>
                  <c:y val="-0.27228881572305336"/>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216-47A4-A0C8-BCFFE61BA335}"/>
                </c:ext>
              </c:extLst>
            </c:dLbl>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[1]Loading!$A$4:$A$5</c:f>
              <c:strCache>
                <c:ptCount val="2"/>
                <c:pt idx="0">
                  <c:v>Turkey Creek Inflow</c:v>
                </c:pt>
                <c:pt idx="1">
                  <c:v>Bear Creek Inflow</c:v>
                </c:pt>
              </c:strCache>
            </c:strRef>
          </c:cat>
          <c:val>
            <c:numRef>
              <c:f>Loading!$N$4:$N$5</c:f>
              <c:numCache>
                <c:formatCode>#,##0</c:formatCode>
                <c:ptCount val="2"/>
                <c:pt idx="0">
                  <c:v>8401.1778000000013</c:v>
                </c:pt>
                <c:pt idx="1">
                  <c:v>21226.184882903228</c:v>
                </c:pt>
              </c:numCache>
            </c:numRef>
          </c:val>
          <c:extLst>
            <c:ext xmlns:c16="http://schemas.microsoft.com/office/drawing/2014/chart" uri="{C3380CC4-5D6E-409C-BE32-E72D297353CC}">
              <c16:uniqueId val="{00000002-8216-47A4-A0C8-BCFFE61BA335}"/>
            </c:ext>
          </c:extLst>
        </c:ser>
        <c:dLbls>
          <c:showLegendKey val="0"/>
          <c:showVal val="1"/>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Trends'!$C$4:$V$4</c:f>
              <c:numCache>
                <c:formatCode>0.0</c:formatCode>
                <c:ptCount val="20"/>
                <c:pt idx="0">
                  <c:v>17.670000000000002</c:v>
                </c:pt>
                <c:pt idx="1">
                  <c:v>26.03</c:v>
                </c:pt>
                <c:pt idx="2">
                  <c:v>13.73</c:v>
                </c:pt>
                <c:pt idx="3">
                  <c:v>29.68</c:v>
                </c:pt>
                <c:pt idx="4">
                  <c:v>9.4</c:v>
                </c:pt>
                <c:pt idx="5">
                  <c:v>17.100000000000001</c:v>
                </c:pt>
                <c:pt idx="6">
                  <c:v>8.23</c:v>
                </c:pt>
                <c:pt idx="7">
                  <c:v>4.9000000000000004</c:v>
                </c:pt>
                <c:pt idx="8">
                  <c:v>6.2</c:v>
                </c:pt>
                <c:pt idx="9" formatCode="General">
                  <c:v>23.9</c:v>
                </c:pt>
                <c:pt idx="10" formatCode="General">
                  <c:v>24.6</c:v>
                </c:pt>
                <c:pt idx="11" formatCode="General">
                  <c:v>15.4</c:v>
                </c:pt>
                <c:pt idx="12" formatCode="General">
                  <c:v>14.8</c:v>
                </c:pt>
                <c:pt idx="13" formatCode="General">
                  <c:v>6.6</c:v>
                </c:pt>
                <c:pt idx="14" formatCode="General">
                  <c:v>15.4</c:v>
                </c:pt>
                <c:pt idx="15" formatCode="General">
                  <c:v>9.1</c:v>
                </c:pt>
                <c:pt idx="16" formatCode="General">
                  <c:v>9.3000000000000007</c:v>
                </c:pt>
                <c:pt idx="17" formatCode="General">
                  <c:v>17.3</c:v>
                </c:pt>
                <c:pt idx="18" formatCode="General">
                  <c:v>12.5</c:v>
                </c:pt>
                <c:pt idx="19" formatCode="General">
                  <c:v>10.6</c:v>
                </c:pt>
              </c:numCache>
            </c:numRef>
          </c:val>
          <c:extLst>
            <c:ext xmlns:c16="http://schemas.microsoft.com/office/drawing/2014/chart" uri="{C3380CC4-5D6E-409C-BE32-E72D297353CC}">
              <c16:uniqueId val="{00000001-B6BD-4DB6-B045-BE845CA015A2}"/>
            </c:ext>
          </c:extLst>
        </c:ser>
        <c:dLbls>
          <c:showLegendKey val="0"/>
          <c:showVal val="0"/>
          <c:showCatName val="0"/>
          <c:showSerName val="0"/>
          <c:showPercent val="0"/>
          <c:showBubbleSize val="0"/>
        </c:dLbls>
        <c:gapWidth val="150"/>
        <c:axId val="51123712"/>
        <c:axId val="51125248"/>
      </c:barChart>
      <c:catAx>
        <c:axId val="51123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51125248"/>
        <c:crosses val="autoZero"/>
        <c:auto val="1"/>
        <c:lblAlgn val="ctr"/>
        <c:lblOffset val="100"/>
        <c:tickLblSkip val="1"/>
        <c:tickMarkSkip val="1"/>
        <c:noMultiLvlLbl val="0"/>
      </c:catAx>
      <c:valAx>
        <c:axId val="511252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5112371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 Seasonal Trophic Status Index [TSI]</a:t>
            </a:r>
          </a:p>
        </c:rich>
      </c:tx>
      <c:layout>
        <c:manualLayout>
          <c:xMode val="edge"/>
          <c:yMode val="edge"/>
          <c:x val="0.23773006134969324"/>
          <c:y val="3.4591194968553458E-2"/>
        </c:manualLayout>
      </c:layout>
      <c:overlay val="0"/>
      <c:spPr>
        <a:noFill/>
        <a:ln w="25400">
          <a:noFill/>
        </a:ln>
      </c:spPr>
    </c:title>
    <c:autoTitleDeleted val="0"/>
    <c:plotArea>
      <c:layout>
        <c:manualLayout>
          <c:layoutTarget val="inner"/>
          <c:xMode val="edge"/>
          <c:yMode val="edge"/>
          <c:x val="6.0917755392307808E-2"/>
          <c:y val="0.15513657123134839"/>
          <c:w val="0.92357584931513192"/>
          <c:h val="0.61006476656092323"/>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Carlson!$C$38:$V$38</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Carlson!$C$34:$V$34</c:f>
              <c:numCache>
                <c:formatCode>0.00</c:formatCode>
                <c:ptCount val="20"/>
                <c:pt idx="0">
                  <c:v>44.174991975146384</c:v>
                </c:pt>
                <c:pt idx="1">
                  <c:v>54.795415178371954</c:v>
                </c:pt>
                <c:pt idx="2">
                  <c:v>56.76550870656898</c:v>
                </c:pt>
                <c:pt idx="3">
                  <c:v>62.711700939593776</c:v>
                </c:pt>
                <c:pt idx="4">
                  <c:v>54.087614881709925</c:v>
                </c:pt>
                <c:pt idx="5">
                  <c:v>61.698736529492948</c:v>
                </c:pt>
                <c:pt idx="6">
                  <c:v>48.177160393127224</c:v>
                </c:pt>
                <c:pt idx="7">
                  <c:v>40.34379989323088</c:v>
                </c:pt>
                <c:pt idx="8">
                  <c:v>41.699054713727698</c:v>
                </c:pt>
                <c:pt idx="9">
                  <c:v>56.900821196687197</c:v>
                </c:pt>
                <c:pt idx="10">
                  <c:v>61.570174131482617</c:v>
                </c:pt>
                <c:pt idx="11">
                  <c:v>60.134190892128345</c:v>
                </c:pt>
                <c:pt idx="12">
                  <c:v>59.223330881746776</c:v>
                </c:pt>
                <c:pt idx="13">
                  <c:v>51.594049063898417</c:v>
                </c:pt>
                <c:pt idx="14">
                  <c:v>57.424145267406118</c:v>
                </c:pt>
                <c:pt idx="15">
                  <c:v>55.911927098300708</c:v>
                </c:pt>
                <c:pt idx="16">
                  <c:v>48.962379355404615</c:v>
                </c:pt>
                <c:pt idx="17">
                  <c:v>62.486173765809482</c:v>
                </c:pt>
                <c:pt idx="18">
                  <c:v>61.486327467207936</c:v>
                </c:pt>
                <c:pt idx="19">
                  <c:v>57.295908147230385</c:v>
                </c:pt>
              </c:numCache>
            </c:numRef>
          </c:val>
          <c:smooth val="0"/>
          <c:extLst>
            <c:ext xmlns:c16="http://schemas.microsoft.com/office/drawing/2014/chart" uri="{C3380CC4-5D6E-409C-BE32-E72D297353CC}">
              <c16:uniqueId val="{00000000-780C-4A7D-9437-6B97033F8271}"/>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Carlson!$C$38:$V$38</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Carlson!$C$37:$V$37</c:f>
              <c:numCache>
                <c:formatCode>0.00</c:formatCode>
                <c:ptCount val="20"/>
                <c:pt idx="0">
                  <c:v>79.950309900597716</c:v>
                </c:pt>
                <c:pt idx="1">
                  <c:v>79.164812772428064</c:v>
                </c:pt>
                <c:pt idx="2">
                  <c:v>81.040837132116607</c:v>
                </c:pt>
                <c:pt idx="3">
                  <c:v>69.396448868134499</c:v>
                </c:pt>
                <c:pt idx="4">
                  <c:v>62.800695131408894</c:v>
                </c:pt>
                <c:pt idx="5">
                  <c:v>53.621504171891345</c:v>
                </c:pt>
                <c:pt idx="6">
                  <c:v>56.978558937189497</c:v>
                </c:pt>
                <c:pt idx="7">
                  <c:v>55.41811904667734</c:v>
                </c:pt>
                <c:pt idx="8">
                  <c:v>59.483858202128459</c:v>
                </c:pt>
                <c:pt idx="9">
                  <c:v>58.183879383470696</c:v>
                </c:pt>
                <c:pt idx="10">
                  <c:v>63.709719096324825</c:v>
                </c:pt>
                <c:pt idx="11">
                  <c:v>60.846925623884772</c:v>
                </c:pt>
                <c:pt idx="12">
                  <c:v>63.756011270913007</c:v>
                </c:pt>
                <c:pt idx="13">
                  <c:v>57.451388182297023</c:v>
                </c:pt>
                <c:pt idx="14">
                  <c:v>59.296176593952403</c:v>
                </c:pt>
                <c:pt idx="15">
                  <c:v>50.851743280210364</c:v>
                </c:pt>
                <c:pt idx="16">
                  <c:v>52.506124871048137</c:v>
                </c:pt>
                <c:pt idx="17">
                  <c:v>63.523049822907645</c:v>
                </c:pt>
                <c:pt idx="18">
                  <c:v>60.299447281822843</c:v>
                </c:pt>
                <c:pt idx="19">
                  <c:v>56.904419956393461</c:v>
                </c:pt>
              </c:numCache>
            </c:numRef>
          </c:val>
          <c:smooth val="0"/>
          <c:extLst>
            <c:ext xmlns:c16="http://schemas.microsoft.com/office/drawing/2014/chart" uri="{C3380CC4-5D6E-409C-BE32-E72D297353CC}">
              <c16:uniqueId val="{00000001-780C-4A7D-9437-6B97033F8271}"/>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Carlson!$C$38:$V$38</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Carlson!$C$31:$V$31</c:f>
              <c:numCache>
                <c:formatCode>0.00</c:formatCode>
                <c:ptCount val="20"/>
                <c:pt idx="0">
                  <c:v>49.797204222096241</c:v>
                </c:pt>
                <c:pt idx="1">
                  <c:v>49.172094162064695</c:v>
                </c:pt>
                <c:pt idx="2">
                  <c:v>48.443157153348082</c:v>
                </c:pt>
                <c:pt idx="3">
                  <c:v>52.353646902194129</c:v>
                </c:pt>
                <c:pt idx="4">
                  <c:v>56.900245019719819</c:v>
                </c:pt>
                <c:pt idx="5">
                  <c:v>46.607283013608452</c:v>
                </c:pt>
                <c:pt idx="6">
                  <c:v>55.151435070288322</c:v>
                </c:pt>
                <c:pt idx="7">
                  <c:v>52.353646902194129</c:v>
                </c:pt>
                <c:pt idx="8">
                  <c:v>51.529994158760466</c:v>
                </c:pt>
                <c:pt idx="9">
                  <c:v>47.935263171469352</c:v>
                </c:pt>
                <c:pt idx="10">
                  <c:v>47.997779538505156</c:v>
                </c:pt>
                <c:pt idx="11">
                  <c:v>45.687241950921816</c:v>
                </c:pt>
                <c:pt idx="12">
                  <c:v>53.227247702568953</c:v>
                </c:pt>
                <c:pt idx="13">
                  <c:v>50.011749128131186</c:v>
                </c:pt>
                <c:pt idx="14">
                  <c:v>54.15724779216135</c:v>
                </c:pt>
                <c:pt idx="15">
                  <c:v>47.384495494730302</c:v>
                </c:pt>
                <c:pt idx="16">
                  <c:v>46.796250553693426</c:v>
                </c:pt>
                <c:pt idx="17">
                  <c:v>54.15724779216135</c:v>
                </c:pt>
                <c:pt idx="18">
                  <c:v>51.529994158760466</c:v>
                </c:pt>
                <c:pt idx="19">
                  <c:v>53.227247702568953</c:v>
                </c:pt>
              </c:numCache>
            </c:numRef>
          </c:val>
          <c:smooth val="0"/>
          <c:extLst>
            <c:ext xmlns:c16="http://schemas.microsoft.com/office/drawing/2014/chart" uri="{C3380CC4-5D6E-409C-BE32-E72D297353CC}">
              <c16:uniqueId val="{00000002-780C-4A7D-9437-6B97033F8271}"/>
            </c:ext>
          </c:extLst>
        </c:ser>
        <c:dLbls>
          <c:showLegendKey val="0"/>
          <c:showVal val="0"/>
          <c:showCatName val="0"/>
          <c:showSerName val="0"/>
          <c:showPercent val="0"/>
          <c:showBubbleSize val="0"/>
        </c:dLbls>
        <c:smooth val="0"/>
        <c:axId val="80211328"/>
        <c:axId val="80217216"/>
      </c:lineChart>
      <c:catAx>
        <c:axId val="8021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80217216"/>
        <c:crosses val="autoZero"/>
        <c:auto val="1"/>
        <c:lblAlgn val="ctr"/>
        <c:lblOffset val="100"/>
        <c:tickLblSkip val="1"/>
        <c:tickMarkSkip val="1"/>
        <c:noMultiLvlLbl val="0"/>
      </c:catAx>
      <c:valAx>
        <c:axId val="80217216"/>
        <c:scaling>
          <c:orientation val="minMax"/>
          <c:max val="90"/>
          <c:min val="30"/>
        </c:scaling>
        <c:delete val="0"/>
        <c:axPos val="l"/>
        <c:majorGridlines>
          <c:spPr>
            <a:ln w="3175">
              <a:solidFill>
                <a:srgbClr val="000000"/>
              </a:solidFill>
              <a:prstDash val="solid"/>
            </a:ln>
          </c:spPr>
        </c:majorGridlines>
        <c:numFmt formatCode="General" sourceLinked="0"/>
        <c:majorTickMark val="out"/>
        <c:minorTickMark val="out"/>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0211328"/>
        <c:crosses val="autoZero"/>
        <c:crossBetween val="between"/>
        <c:minorUnit val="10"/>
      </c:valAx>
      <c:spPr>
        <a:gradFill>
          <a:gsLst>
            <a:gs pos="67000">
              <a:srgbClr val="00B050">
                <a:alpha val="78000"/>
              </a:srgbClr>
            </a:gs>
            <a:gs pos="50000">
              <a:srgbClr val="4F81BD">
                <a:tint val="44500"/>
                <a:satMod val="160000"/>
              </a:srgbClr>
            </a:gs>
            <a:gs pos="100000">
              <a:srgbClr val="4F81BD">
                <a:tint val="23500"/>
                <a:satMod val="160000"/>
              </a:srgbClr>
            </a:gs>
          </a:gsLst>
          <a:lin ang="5400000" scaled="0"/>
        </a:gradFill>
      </c:spPr>
    </c:plotArea>
    <c:legend>
      <c:legendPos val="b"/>
      <c:layout>
        <c:manualLayout>
          <c:xMode val="edge"/>
          <c:yMode val="edge"/>
          <c:x val="0.2213623366911539"/>
          <c:y val="0.87770730493550764"/>
          <c:w val="0.57216777372102157"/>
          <c:h val="7.322710400844872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Carlson's Annual Trophic Status Index [TSI]  
</a:t>
            </a:r>
          </a:p>
        </c:rich>
      </c:tx>
      <c:layout>
        <c:manualLayout>
          <c:xMode val="edge"/>
          <c:yMode val="edge"/>
          <c:x val="0.2458521870286576"/>
          <c:y val="3.5031847133758252E-2"/>
        </c:manualLayout>
      </c:layout>
      <c:overlay val="0"/>
      <c:spPr>
        <a:noFill/>
        <a:ln w="25400">
          <a:noFill/>
        </a:ln>
      </c:spPr>
    </c:title>
    <c:autoTitleDeleted val="0"/>
    <c:plotArea>
      <c:layout>
        <c:manualLayout>
          <c:layoutTarget val="inner"/>
          <c:xMode val="edge"/>
          <c:yMode val="edge"/>
          <c:x val="6.3573958344615447E-2"/>
          <c:y val="0.12526539278131693"/>
          <c:w val="0.91237266492943359"/>
          <c:h val="0.66985138004246281"/>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Carlson!$B$27:$V$27</c:f>
              <c:numCache>
                <c:formatCode>General</c:formatCode>
                <c:ptCount val="21"/>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Carlson!$B$23:$V$23</c:f>
              <c:numCache>
                <c:formatCode>0.00</c:formatCode>
                <c:ptCount val="21"/>
                <c:pt idx="0">
                  <c:v>50.328755837972679</c:v>
                </c:pt>
                <c:pt idx="1">
                  <c:v>60.569001946553058</c:v>
                </c:pt>
                <c:pt idx="2">
                  <c:v>59.490108185268312</c:v>
                </c:pt>
                <c:pt idx="3">
                  <c:v>52.045163024800708</c:v>
                </c:pt>
                <c:pt idx="4">
                  <c:v>60.196813250617694</c:v>
                </c:pt>
                <c:pt idx="5">
                  <c:v>46.563595517817454</c:v>
                </c:pt>
                <c:pt idx="6">
                  <c:v>58.451359727019508</c:v>
                </c:pt>
                <c:pt idx="7">
                  <c:v>51.241556053390738</c:v>
                </c:pt>
                <c:pt idx="8">
                  <c:v>44.90901337268226</c:v>
                </c:pt>
                <c:pt idx="9">
                  <c:v>47.844586171188787</c:v>
                </c:pt>
                <c:pt idx="10">
                  <c:v>56.558974762338245</c:v>
                </c:pt>
                <c:pt idx="11">
                  <c:v>62.018942605224893</c:v>
                </c:pt>
                <c:pt idx="12">
                  <c:v>57.424145267406118</c:v>
                </c:pt>
                <c:pt idx="13">
                  <c:v>57.034292643354384</c:v>
                </c:pt>
                <c:pt idx="14">
                  <c:v>49.112153257007648</c:v>
                </c:pt>
                <c:pt idx="15">
                  <c:v>57.487640634706224</c:v>
                </c:pt>
                <c:pt idx="16">
                  <c:v>52.263171996658713</c:v>
                </c:pt>
                <c:pt idx="17">
                  <c:v>52.47644126556186</c:v>
                </c:pt>
                <c:pt idx="18">
                  <c:v>58.565430779751622</c:v>
                </c:pt>
                <c:pt idx="19">
                  <c:v>55.377398000663987</c:v>
                </c:pt>
                <c:pt idx="20">
                  <c:v>53.759977750967792</c:v>
                </c:pt>
              </c:numCache>
            </c:numRef>
          </c:val>
          <c:smooth val="0"/>
          <c:extLst>
            <c:ext xmlns:c16="http://schemas.microsoft.com/office/drawing/2014/chart" uri="{C3380CC4-5D6E-409C-BE32-E72D297353CC}">
              <c16:uniqueId val="{00000000-E2B9-4FC8-A4EE-A28E5D9CD52A}"/>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Carlson!$B$27:$V$27</c:f>
              <c:numCache>
                <c:formatCode>General</c:formatCode>
                <c:ptCount val="21"/>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Carlson!$B$26:$V$26</c:f>
              <c:numCache>
                <c:formatCode>0.00</c:formatCode>
                <c:ptCount val="21"/>
                <c:pt idx="0">
                  <c:v>77.86486390810137</c:v>
                </c:pt>
                <c:pt idx="1">
                  <c:v>79.361907306518916</c:v>
                </c:pt>
                <c:pt idx="2">
                  <c:v>77.53626381206297</c:v>
                </c:pt>
                <c:pt idx="3">
                  <c:v>78.029833513059273</c:v>
                </c:pt>
                <c:pt idx="4">
                  <c:v>68.55336662767651</c:v>
                </c:pt>
                <c:pt idx="5">
                  <c:v>57.668020750593648</c:v>
                </c:pt>
                <c:pt idx="6">
                  <c:v>52.923548917470939</c:v>
                </c:pt>
                <c:pt idx="7">
                  <c:v>56.48969856202617</c:v>
                </c:pt>
                <c:pt idx="8">
                  <c:v>56.062695626673559</c:v>
                </c:pt>
                <c:pt idx="9">
                  <c:v>57.909204411993279</c:v>
                </c:pt>
                <c:pt idx="10">
                  <c:v>63.190448587242685</c:v>
                </c:pt>
                <c:pt idx="11">
                  <c:v>60.503576069721355</c:v>
                </c:pt>
                <c:pt idx="12">
                  <c:v>60.618936684980596</c:v>
                </c:pt>
                <c:pt idx="13">
                  <c:v>60.416445895266378</c:v>
                </c:pt>
                <c:pt idx="14">
                  <c:v>54.080778661183317</c:v>
                </c:pt>
                <c:pt idx="15">
                  <c:v>57.052318688804327</c:v>
                </c:pt>
                <c:pt idx="16">
                  <c:v>49.977536233617379</c:v>
                </c:pt>
                <c:pt idx="17">
                  <c:v>53.527867479233244</c:v>
                </c:pt>
                <c:pt idx="18">
                  <c:v>60.733381730151109</c:v>
                </c:pt>
                <c:pt idx="19">
                  <c:v>55.335482717373779</c:v>
                </c:pt>
                <c:pt idx="20">
                  <c:v>54.829465885695264</c:v>
                </c:pt>
              </c:numCache>
            </c:numRef>
          </c:val>
          <c:smooth val="0"/>
          <c:extLst>
            <c:ext xmlns:c16="http://schemas.microsoft.com/office/drawing/2014/chart" uri="{C3380CC4-5D6E-409C-BE32-E72D297353CC}">
              <c16:uniqueId val="{00000001-E2B9-4FC8-A4EE-A28E5D9CD52A}"/>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Carlson!$B$27:$V$27</c:f>
              <c:numCache>
                <c:formatCode>General</c:formatCode>
                <c:ptCount val="21"/>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Carlson!$B$20:$V$20</c:f>
              <c:numCache>
                <c:formatCode>0.00</c:formatCode>
                <c:ptCount val="21"/>
                <c:pt idx="0">
                  <c:v>53.003832374585691</c:v>
                </c:pt>
                <c:pt idx="1">
                  <c:v>48.836181515570374</c:v>
                </c:pt>
                <c:pt idx="2">
                  <c:v>49.308682862449672</c:v>
                </c:pt>
                <c:pt idx="3">
                  <c:v>44.958783608185414</c:v>
                </c:pt>
                <c:pt idx="4">
                  <c:v>51.610272917923112</c:v>
                </c:pt>
                <c:pt idx="5">
                  <c:v>49.036788003623514</c:v>
                </c:pt>
                <c:pt idx="6">
                  <c:v>46.724380080519353</c:v>
                </c:pt>
                <c:pt idx="7">
                  <c:v>52.353646902194129</c:v>
                </c:pt>
                <c:pt idx="8">
                  <c:v>51.529994158760466</c:v>
                </c:pt>
                <c:pt idx="9">
                  <c:v>51.529994158760466</c:v>
                </c:pt>
                <c:pt idx="10">
                  <c:v>47.384495494730302</c:v>
                </c:pt>
                <c:pt idx="11">
                  <c:v>47.997779538505156</c:v>
                </c:pt>
                <c:pt idx="12">
                  <c:v>44.168996920292535</c:v>
                </c:pt>
                <c:pt idx="13">
                  <c:v>52.353646902194129</c:v>
                </c:pt>
                <c:pt idx="14">
                  <c:v>46.231080077154644</c:v>
                </c:pt>
                <c:pt idx="15">
                  <c:v>49.308682862449672</c:v>
                </c:pt>
                <c:pt idx="16">
                  <c:v>47.384495494730302</c:v>
                </c:pt>
                <c:pt idx="17">
                  <c:v>52.353646902194129</c:v>
                </c:pt>
                <c:pt idx="18">
                  <c:v>47.384495494730302</c:v>
                </c:pt>
                <c:pt idx="19">
                  <c:v>45.687241950921816</c:v>
                </c:pt>
                <c:pt idx="20">
                  <c:v>52.353646902194129</c:v>
                </c:pt>
              </c:numCache>
            </c:numRef>
          </c:val>
          <c:smooth val="0"/>
          <c:extLst>
            <c:ext xmlns:c16="http://schemas.microsoft.com/office/drawing/2014/chart" uri="{C3380CC4-5D6E-409C-BE32-E72D297353CC}">
              <c16:uniqueId val="{00000002-E2B9-4FC8-A4EE-A28E5D9CD52A}"/>
            </c:ext>
          </c:extLst>
        </c:ser>
        <c:dLbls>
          <c:showLegendKey val="0"/>
          <c:showVal val="0"/>
          <c:showCatName val="0"/>
          <c:showSerName val="0"/>
          <c:showPercent val="0"/>
          <c:showBubbleSize val="0"/>
        </c:dLbls>
        <c:smooth val="0"/>
        <c:axId val="80303616"/>
        <c:axId val="80305152"/>
      </c:lineChart>
      <c:catAx>
        <c:axId val="80303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305152"/>
        <c:crosses val="autoZero"/>
        <c:auto val="1"/>
        <c:lblAlgn val="ctr"/>
        <c:lblOffset val="100"/>
        <c:tickLblSkip val="1"/>
        <c:tickMarkSkip val="1"/>
        <c:noMultiLvlLbl val="0"/>
      </c:catAx>
      <c:valAx>
        <c:axId val="80305152"/>
        <c:scaling>
          <c:orientation val="minMax"/>
          <c:min val="3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0303616"/>
        <c:crosses val="autoZero"/>
        <c:crossBetween val="between"/>
        <c:minorUnit val="10"/>
      </c:valAx>
      <c:spPr>
        <a:gradFill>
          <a:gsLst>
            <a:gs pos="65000">
              <a:srgbClr val="00B050">
                <a:alpha val="86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b"/>
      <c:layout>
        <c:manualLayout>
          <c:xMode val="edge"/>
          <c:yMode val="edge"/>
          <c:x val="0.25325376281197315"/>
          <c:y val="0.89065817409766457"/>
          <c:w val="0.56351048966196726"/>
          <c:h val="7.8824080111005404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verticalDpi="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Walker's Annual TSI Trophic Status</a:t>
            </a:r>
          </a:p>
        </c:rich>
      </c:tx>
      <c:layout>
        <c:manualLayout>
          <c:xMode val="edge"/>
          <c:yMode val="edge"/>
          <c:x val="0.29970760233918131"/>
          <c:y val="3.8327526132404179E-2"/>
        </c:manualLayout>
      </c:layout>
      <c:overlay val="0"/>
      <c:spPr>
        <a:noFill/>
        <a:ln w="25400">
          <a:noFill/>
        </a:ln>
      </c:spPr>
    </c:title>
    <c:autoTitleDeleted val="0"/>
    <c:plotArea>
      <c:layout>
        <c:manualLayout>
          <c:layoutTarget val="inner"/>
          <c:xMode val="edge"/>
          <c:yMode val="edge"/>
          <c:x val="9.7709996503754545E-2"/>
          <c:y val="0.15331010452961671"/>
          <c:w val="0.88397012461990443"/>
          <c:h val="0.6318234610917538"/>
        </c:manualLayout>
      </c:layout>
      <c:lineChart>
        <c:grouping val="standard"/>
        <c:varyColors val="0"/>
        <c:ser>
          <c:idx val="0"/>
          <c:order val="0"/>
          <c:tx>
            <c:strRef>
              <c:f>[1]Walker!$G$52</c:f>
              <c:strCache>
                <c:ptCount val="1"/>
                <c:pt idx="0">
                  <c:v>Chlorophyll-a</c:v>
                </c:pt>
              </c:strCache>
            </c:strRef>
          </c:tx>
          <c:spPr>
            <a:ln w="38100">
              <a:solidFill>
                <a:srgbClr val="000080"/>
              </a:solidFill>
              <a:prstDash val="solid"/>
            </a:ln>
          </c:spPr>
          <c:marker>
            <c:symbol val="none"/>
          </c:marker>
          <c:cat>
            <c:numRef>
              <c:f>[1]Walker!$X$2:$AQ$2</c:f>
              <c:numCache>
                <c:formatCode>General</c:formatCode>
                <c:ptCount val="20"/>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[1]Walker!$X$4:$AQ$4</c:f>
              <c:numCache>
                <c:formatCode>General</c:formatCode>
                <c:ptCount val="20"/>
                <c:pt idx="0">
                  <c:v>48.999863321464431</c:v>
                </c:pt>
                <c:pt idx="1">
                  <c:v>64.052294400539765</c:v>
                </c:pt>
                <c:pt idx="2">
                  <c:v>62.466397556734869</c:v>
                </c:pt>
                <c:pt idx="3">
                  <c:v>51.522859410563314</c:v>
                </c:pt>
                <c:pt idx="4">
                  <c:v>63.505203575321829</c:v>
                </c:pt>
                <c:pt idx="5">
                  <c:v>43.46534631671026</c:v>
                </c:pt>
                <c:pt idx="6">
                  <c:v>60.939511443794217</c:v>
                </c:pt>
                <c:pt idx="7">
                  <c:v>50.341614504576391</c:v>
                </c:pt>
                <c:pt idx="8">
                  <c:v>41.033228627327034</c:v>
                </c:pt>
                <c:pt idx="9">
                  <c:v>45.348311171105223</c:v>
                </c:pt>
                <c:pt idx="10">
                  <c:v>58.15784057827905</c:v>
                </c:pt>
                <c:pt idx="11">
                  <c:v>66.183603707170533</c:v>
                </c:pt>
                <c:pt idx="12">
                  <c:v>59.429579485830395</c:v>
                </c:pt>
                <c:pt idx="13">
                  <c:v>58.856523946704399</c:v>
                </c:pt>
                <c:pt idx="14">
                  <c:v>47.211544339046917</c:v>
                </c:pt>
                <c:pt idx="15">
                  <c:v>59.429579485830395</c:v>
                </c:pt>
                <c:pt idx="16">
                  <c:v>51.843317042998834</c:v>
                </c:pt>
                <c:pt idx="17">
                  <c:v>52.156807650295811</c:v>
                </c:pt>
                <c:pt idx="18">
                  <c:v>61.107187751683838</c:v>
                </c:pt>
                <c:pt idx="19">
                  <c:v>56.421007050925049</c:v>
                </c:pt>
              </c:numCache>
            </c:numRef>
          </c:val>
          <c:smooth val="0"/>
          <c:extLst>
            <c:ext xmlns:c16="http://schemas.microsoft.com/office/drawing/2014/chart" uri="{C3380CC4-5D6E-409C-BE32-E72D297353CC}">
              <c16:uniqueId val="{00000000-355B-4261-9BFE-84E9D810A3BE}"/>
            </c:ext>
          </c:extLst>
        </c:ser>
        <c:ser>
          <c:idx val="1"/>
          <c:order val="1"/>
          <c:tx>
            <c:strRef>
              <c:f>[1]Walker!$G$53</c:f>
              <c:strCache>
                <c:ptCount val="1"/>
                <c:pt idx="0">
                  <c:v>Total Phosphorus</c:v>
                </c:pt>
              </c:strCache>
            </c:strRef>
          </c:tx>
          <c:spPr>
            <a:ln w="25400" cap="flat" cmpd="sng" algn="ctr">
              <a:solidFill>
                <a:schemeClr val="accent4"/>
              </a:solidFill>
              <a:prstDash val="solid"/>
            </a:ln>
            <a:effectLst/>
          </c:spPr>
          <c:marker>
            <c:symbol val="none"/>
          </c:marker>
          <c:cat>
            <c:numRef>
              <c:f>[1]Walker!$X$2:$AQ$2</c:f>
              <c:numCache>
                <c:formatCode>General</c:formatCode>
                <c:ptCount val="20"/>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[1]Walker!$X$7:$AQ$7</c:f>
              <c:numCache>
                <c:formatCode>General</c:formatCode>
                <c:ptCount val="20"/>
                <c:pt idx="0">
                  <c:v>102.341995522898</c:v>
                </c:pt>
                <c:pt idx="1">
                  <c:v>104.42041499837092</c:v>
                </c:pt>
                <c:pt idx="2">
                  <c:v>101.88578373907771</c:v>
                </c:pt>
                <c:pt idx="3">
                  <c:v>102.57103099385897</c:v>
                </c:pt>
                <c:pt idx="4">
                  <c:v>89.414382793764474</c:v>
                </c:pt>
                <c:pt idx="5">
                  <c:v>74.301718129464973</c:v>
                </c:pt>
                <c:pt idx="6">
                  <c:v>67.714732963090725</c:v>
                </c:pt>
                <c:pt idx="7">
                  <c:v>72.665795090968373</c:v>
                </c:pt>
                <c:pt idx="8">
                  <c:v>72.018191456980688</c:v>
                </c:pt>
                <c:pt idx="9">
                  <c:v>74.6365653486897</c:v>
                </c:pt>
                <c:pt idx="10">
                  <c:v>81.968778135686449</c:v>
                </c:pt>
                <c:pt idx="11">
                  <c:v>78.23845998029276</c:v>
                </c:pt>
                <c:pt idx="12">
                  <c:v>78.398620834487616</c:v>
                </c:pt>
                <c:pt idx="13">
                  <c:v>78.117492844884381</c:v>
                </c:pt>
                <c:pt idx="14">
                  <c:v>69.321372316011789</c:v>
                </c:pt>
                <c:pt idx="15">
                  <c:v>73.446908470864258</c:v>
                </c:pt>
                <c:pt idx="16">
                  <c:v>63.624637683565872</c:v>
                </c:pt>
                <c:pt idx="17">
                  <c:v>68.553738344954894</c:v>
                </c:pt>
                <c:pt idx="18">
                  <c:v>78.557510557394266</c:v>
                </c:pt>
                <c:pt idx="19">
                  <c:v>71.063340083344173</c:v>
                </c:pt>
              </c:numCache>
            </c:numRef>
          </c:val>
          <c:smooth val="0"/>
          <c:extLst>
            <c:ext xmlns:c16="http://schemas.microsoft.com/office/drawing/2014/chart" uri="{C3380CC4-5D6E-409C-BE32-E72D297353CC}">
              <c16:uniqueId val="{00000001-355B-4261-9BFE-84E9D810A3BE}"/>
            </c:ext>
          </c:extLst>
        </c:ser>
        <c:ser>
          <c:idx val="2"/>
          <c:order val="2"/>
          <c:tx>
            <c:strRef>
              <c:f>[1]Walker!$G$54</c:f>
              <c:strCache>
                <c:ptCount val="1"/>
                <c:pt idx="0">
                  <c:v>Sechhi</c:v>
                </c:pt>
              </c:strCache>
            </c:strRef>
          </c:tx>
          <c:spPr>
            <a:ln w="38100">
              <a:solidFill>
                <a:srgbClr val="FF0000"/>
              </a:solidFill>
              <a:prstDash val="solid"/>
            </a:ln>
          </c:spPr>
          <c:marker>
            <c:symbol val="none"/>
          </c:marker>
          <c:cat>
            <c:numRef>
              <c:f>[1]Walker!$X$2:$AQ$2</c:f>
              <c:numCache>
                <c:formatCode>General</c:formatCode>
                <c:ptCount val="20"/>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[1]Walker!$X$10:$AQ$10</c:f>
              <c:numCache>
                <c:formatCode>General</c:formatCode>
                <c:ptCount val="20"/>
                <c:pt idx="0">
                  <c:v>63.181978074578048</c:v>
                </c:pt>
                <c:pt idx="1">
                  <c:v>56.553247330932173</c:v>
                </c:pt>
                <c:pt idx="2">
                  <c:v>57.322760840954651</c:v>
                </c:pt>
                <c:pt idx="3">
                  <c:v>50.012050120919881</c:v>
                </c:pt>
                <c:pt idx="4">
                  <c:v>61.00252625101345</c:v>
                </c:pt>
                <c:pt idx="5">
                  <c:v>56.880589677502201</c:v>
                </c:pt>
                <c:pt idx="6">
                  <c:v>53.045211075543435</c:v>
                </c:pt>
                <c:pt idx="7">
                  <c:v>62.169262586264708</c:v>
                </c:pt>
                <c:pt idx="8">
                  <c:v>61.385869091157957</c:v>
                </c:pt>
                <c:pt idx="9">
                  <c:v>60.875935291730684</c:v>
                </c:pt>
                <c:pt idx="10">
                  <c:v>54.154638300921235</c:v>
                </c:pt>
                <c:pt idx="11">
                  <c:v>55.174574086292012</c:v>
                </c:pt>
                <c:pt idx="12">
                  <c:v>48.620463845162334</c:v>
                </c:pt>
                <c:pt idx="13">
                  <c:v>62.169262586264708</c:v>
                </c:pt>
                <c:pt idx="14">
                  <c:v>52.207794235482424</c:v>
                </c:pt>
                <c:pt idx="15">
                  <c:v>57.322760840954651</c:v>
                </c:pt>
                <c:pt idx="16">
                  <c:v>54.154638300921235</c:v>
                </c:pt>
                <c:pt idx="17">
                  <c:v>62.169262586264708</c:v>
                </c:pt>
                <c:pt idx="18">
                  <c:v>54.154638300921235</c:v>
                </c:pt>
                <c:pt idx="19">
                  <c:v>51.27580230424644</c:v>
                </c:pt>
              </c:numCache>
            </c:numRef>
          </c:val>
          <c:smooth val="0"/>
          <c:extLst>
            <c:ext xmlns:c16="http://schemas.microsoft.com/office/drawing/2014/chart" uri="{C3380CC4-5D6E-409C-BE32-E72D297353CC}">
              <c16:uniqueId val="{00000002-355B-4261-9BFE-84E9D810A3BE}"/>
            </c:ext>
          </c:extLst>
        </c:ser>
        <c:ser>
          <c:idx val="3"/>
          <c:order val="3"/>
          <c:tx>
            <c:strRef>
              <c:f>[1]Walker!$G$55</c:f>
              <c:strCache>
                <c:ptCount val="1"/>
                <c:pt idx="0">
                  <c:v>TSI Index</c:v>
                </c:pt>
              </c:strCache>
            </c:strRef>
          </c:tx>
          <c:spPr>
            <a:ln w="38100">
              <a:solidFill>
                <a:srgbClr val="00FFFF"/>
              </a:solidFill>
              <a:prstDash val="solid"/>
            </a:ln>
          </c:spPr>
          <c:marker>
            <c:symbol val="none"/>
          </c:marker>
          <c:cat>
            <c:numRef>
              <c:f>[1]Walker!$X$2:$AQ$2</c:f>
              <c:numCache>
                <c:formatCode>General</c:formatCode>
                <c:ptCount val="20"/>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numCache>
            </c:numRef>
          </c:cat>
          <c:val>
            <c:numRef>
              <c:f>[1]Walker!$X$12:$AQ$12</c:f>
              <c:numCache>
                <c:formatCode>General</c:formatCode>
                <c:ptCount val="20"/>
                <c:pt idx="0">
                  <c:v>71.50794563964682</c:v>
                </c:pt>
                <c:pt idx="1">
                  <c:v>75.008652243280963</c:v>
                </c:pt>
                <c:pt idx="2">
                  <c:v>73.891647378922414</c:v>
                </c:pt>
                <c:pt idx="3">
                  <c:v>68.035313508447373</c:v>
                </c:pt>
                <c:pt idx="4">
                  <c:v>71.30737087336658</c:v>
                </c:pt>
                <c:pt idx="5">
                  <c:v>58.215884707892478</c:v>
                </c:pt>
                <c:pt idx="6">
                  <c:v>60.566485160809464</c:v>
                </c:pt>
                <c:pt idx="7">
                  <c:v>61.725557393936491</c:v>
                </c:pt>
                <c:pt idx="8">
                  <c:v>58.145763058488562</c:v>
                </c:pt>
                <c:pt idx="9">
                  <c:v>60.286937270508531</c:v>
                </c:pt>
                <c:pt idx="10">
                  <c:v>64.760419004962259</c:v>
                </c:pt>
                <c:pt idx="11">
                  <c:v>66.532212591251763</c:v>
                </c:pt>
                <c:pt idx="12">
                  <c:v>62.149554721826782</c:v>
                </c:pt>
                <c:pt idx="13">
                  <c:v>66.381093125951168</c:v>
                </c:pt>
                <c:pt idx="14">
                  <c:v>56.246903630180377</c:v>
                </c:pt>
                <c:pt idx="15">
                  <c:v>63.399749599216442</c:v>
                </c:pt>
                <c:pt idx="16">
                  <c:v>56.540864342495318</c:v>
                </c:pt>
                <c:pt idx="17">
                  <c:v>60.959936193838473</c:v>
                </c:pt>
                <c:pt idx="18">
                  <c:v>64.606445536666456</c:v>
                </c:pt>
                <c:pt idx="19">
                  <c:v>59.58671647950522</c:v>
                </c:pt>
              </c:numCache>
            </c:numRef>
          </c:val>
          <c:smooth val="0"/>
          <c:extLst>
            <c:ext xmlns:c16="http://schemas.microsoft.com/office/drawing/2014/chart" uri="{C3380CC4-5D6E-409C-BE32-E72D297353CC}">
              <c16:uniqueId val="{00000003-355B-4261-9BFE-84E9D810A3BE}"/>
            </c:ext>
          </c:extLst>
        </c:ser>
        <c:dLbls>
          <c:showLegendKey val="0"/>
          <c:showVal val="0"/>
          <c:showCatName val="0"/>
          <c:showSerName val="0"/>
          <c:showPercent val="0"/>
          <c:showBubbleSize val="0"/>
        </c:dLbls>
        <c:smooth val="0"/>
        <c:axId val="81398400"/>
        <c:axId val="107774336"/>
      </c:lineChart>
      <c:catAx>
        <c:axId val="81398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25" b="1" i="0" u="none" strike="noStrike" baseline="0">
                <a:solidFill>
                  <a:srgbClr val="000000"/>
                </a:solidFill>
                <a:latin typeface="Arial"/>
                <a:ea typeface="Arial"/>
                <a:cs typeface="Arial"/>
              </a:defRPr>
            </a:pPr>
            <a:endParaRPr lang="en-US"/>
          </a:p>
        </c:txPr>
        <c:crossAx val="107774336"/>
        <c:crosses val="autoZero"/>
        <c:auto val="1"/>
        <c:lblAlgn val="ctr"/>
        <c:lblOffset val="100"/>
        <c:tickLblSkip val="1"/>
        <c:tickMarkSkip val="1"/>
        <c:noMultiLvlLbl val="0"/>
      </c:catAx>
      <c:valAx>
        <c:axId val="107774336"/>
        <c:scaling>
          <c:orientation val="minMax"/>
          <c:max val="12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Black"/>
                <a:ea typeface="Arial Black"/>
                <a:cs typeface="Arial Black"/>
              </a:defRPr>
            </a:pPr>
            <a:endParaRPr lang="en-US"/>
          </a:p>
        </c:txPr>
        <c:crossAx val="81398400"/>
        <c:crosses val="autoZero"/>
        <c:crossBetween val="between"/>
        <c:minorUnit val="10"/>
      </c:valAx>
      <c:spPr>
        <a:gradFill>
          <a:gsLst>
            <a:gs pos="65000">
              <a:srgbClr val="00B050">
                <a:alpha val="8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8504143624113405"/>
          <c:y val="2.7874564459930393E-2"/>
          <c:w val="0.11757133315041006"/>
          <c:h val="0.2811190064656553"/>
        </c:manualLayout>
      </c:layout>
      <c:overlay val="0"/>
      <c:spPr>
        <a:solidFill>
          <a:schemeClr val="lt1"/>
        </a:solidFill>
        <a:ln w="25400" cap="flat" cmpd="sng" algn="ctr">
          <a:solidFill>
            <a:schemeClr val="accent5"/>
          </a:solidFill>
          <a:prstDash val="solid"/>
        </a:ln>
        <a:effectLst/>
      </c:spPr>
      <c:txPr>
        <a:bodyPr/>
        <a:lstStyle/>
        <a:p>
          <a:pPr>
            <a:defRPr sz="75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verticalDpi="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Walker's Growing Season TSI Trophic Status
</a:t>
            </a:r>
          </a:p>
        </c:rich>
      </c:tx>
      <c:layout>
        <c:manualLayout>
          <c:xMode val="edge"/>
          <c:yMode val="edge"/>
          <c:x val="0.31267217630855187"/>
          <c:y val="3.5460992907801435E-2"/>
        </c:manualLayout>
      </c:layout>
      <c:overlay val="0"/>
      <c:spPr>
        <a:noFill/>
        <a:ln w="25400">
          <a:noFill/>
        </a:ln>
      </c:spPr>
    </c:title>
    <c:autoTitleDeleted val="0"/>
    <c:plotArea>
      <c:layout>
        <c:manualLayout>
          <c:layoutTarget val="inner"/>
          <c:xMode val="edge"/>
          <c:yMode val="edge"/>
          <c:x val="9.7997574864545453E-2"/>
          <c:y val="0.14746255520455137"/>
          <c:w val="0.90111783093760756"/>
          <c:h val="0.68530222611062508"/>
        </c:manualLayout>
      </c:layout>
      <c:lineChart>
        <c:grouping val="standard"/>
        <c:varyColors val="0"/>
        <c:ser>
          <c:idx val="0"/>
          <c:order val="0"/>
          <c:tx>
            <c:strRef>
              <c:f>Walker!$G$52</c:f>
              <c:strCache>
                <c:ptCount val="1"/>
                <c:pt idx="0">
                  <c:v>Chlorophyll-a</c:v>
                </c:pt>
              </c:strCache>
            </c:strRef>
          </c:tx>
          <c:spPr>
            <a:ln w="38100">
              <a:solidFill>
                <a:srgbClr val="000080"/>
              </a:solidFill>
              <a:prstDash val="solid"/>
            </a:ln>
          </c:spPr>
          <c:marker>
            <c:symbol val="none"/>
          </c:marker>
          <c:cat>
            <c:numRef>
              <c:f>Walker!$Y$16:$AR$16</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Walker!$Y$18:$AR$18</c:f>
              <c:numCache>
                <c:formatCode>0.00</c:formatCode>
                <c:ptCount val="20"/>
                <c:pt idx="0">
                  <c:v>39.954269549603552</c:v>
                </c:pt>
                <c:pt idx="1">
                  <c:v>55.565533829982016</c:v>
                </c:pt>
                <c:pt idx="2">
                  <c:v>58.461430738911787</c:v>
                </c:pt>
                <c:pt idx="3">
                  <c:v>67.201909026395739</c:v>
                </c:pt>
                <c:pt idx="4">
                  <c:v>54.525117899516516</c:v>
                </c:pt>
                <c:pt idx="5">
                  <c:v>65.712923624392289</c:v>
                </c:pt>
                <c:pt idx="6">
                  <c:v>45.83717154626855</c:v>
                </c:pt>
                <c:pt idx="7">
                  <c:v>34.269184011910241</c:v>
                </c:pt>
                <c:pt idx="8">
                  <c:v>36.314818447701668</c:v>
                </c:pt>
                <c:pt idx="9">
                  <c:v>58.660330444060072</c:v>
                </c:pt>
                <c:pt idx="10">
                  <c:v>65.523946072984643</c:v>
                </c:pt>
                <c:pt idx="11">
                  <c:v>63.413153176808436</c:v>
                </c:pt>
                <c:pt idx="12">
                  <c:v>62.074253956655305</c:v>
                </c:pt>
                <c:pt idx="13">
                  <c:v>50.859754077616223</c:v>
                </c:pt>
                <c:pt idx="14">
                  <c:v>59.522913145001397</c:v>
                </c:pt>
                <c:pt idx="15">
                  <c:v>57.206726682721325</c:v>
                </c:pt>
                <c:pt idx="16">
                  <c:v>46.991387390920949</c:v>
                </c:pt>
                <c:pt idx="17">
                  <c:v>66.870400173595584</c:v>
                </c:pt>
                <c:pt idx="18">
                  <c:v>65.400697459443251</c:v>
                </c:pt>
                <c:pt idx="19">
                  <c:v>59.241080069629163</c:v>
                </c:pt>
              </c:numCache>
            </c:numRef>
          </c:val>
          <c:smooth val="0"/>
          <c:extLst>
            <c:ext xmlns:c16="http://schemas.microsoft.com/office/drawing/2014/chart" uri="{C3380CC4-5D6E-409C-BE32-E72D297353CC}">
              <c16:uniqueId val="{00000000-3E44-49E3-8978-9A429F2E6E4F}"/>
            </c:ext>
          </c:extLst>
        </c:ser>
        <c:ser>
          <c:idx val="1"/>
          <c:order val="1"/>
          <c:tx>
            <c:strRef>
              <c:f>Walker!$G$53</c:f>
              <c:strCache>
                <c:ptCount val="1"/>
                <c:pt idx="0">
                  <c:v>Total Phosphorus</c:v>
                </c:pt>
              </c:strCache>
            </c:strRef>
          </c:tx>
          <c:spPr>
            <a:ln w="38100">
              <a:solidFill>
                <a:srgbClr val="FF00FF"/>
              </a:solidFill>
              <a:prstDash val="solid"/>
            </a:ln>
          </c:spPr>
          <c:marker>
            <c:symbol val="none"/>
          </c:marker>
          <c:cat>
            <c:numRef>
              <c:f>Walker!$Y$16:$AR$16</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Walker!$Y$21:$AR$21</c:f>
              <c:numCache>
                <c:formatCode>0.00</c:formatCode>
                <c:ptCount val="20"/>
                <c:pt idx="0">
                  <c:v>105.23732345422789</c:v>
                </c:pt>
                <c:pt idx="1">
                  <c:v>104.14677889764283</c:v>
                </c:pt>
                <c:pt idx="2">
                  <c:v>106.75135640672498</c:v>
                </c:pt>
                <c:pt idx="3">
                  <c:v>90.584875613041092</c:v>
                </c:pt>
                <c:pt idx="4">
                  <c:v>81.427664114480308</c:v>
                </c:pt>
                <c:pt idx="5">
                  <c:v>68.683738801752057</c:v>
                </c:pt>
                <c:pt idx="6">
                  <c:v>73.344504155515523</c:v>
                </c:pt>
                <c:pt idx="7">
                  <c:v>71.178068191018056</c:v>
                </c:pt>
                <c:pt idx="8">
                  <c:v>76.822735173828832</c:v>
                </c:pt>
                <c:pt idx="9">
                  <c:v>75.017910212003002</c:v>
                </c:pt>
                <c:pt idx="10">
                  <c:v>82.689707094897571</c:v>
                </c:pt>
                <c:pt idx="11">
                  <c:v>78.715149167140993</c:v>
                </c:pt>
                <c:pt idx="12">
                  <c:v>82.753976813015143</c:v>
                </c:pt>
                <c:pt idx="13">
                  <c:v>74.00095640843179</c:v>
                </c:pt>
                <c:pt idx="14">
                  <c:v>76.562167504225187</c:v>
                </c:pt>
                <c:pt idx="15">
                  <c:v>64.838342612330891</c:v>
                </c:pt>
                <c:pt idx="16">
                  <c:v>67.135202490872658</c:v>
                </c:pt>
                <c:pt idx="17">
                  <c:v>82.430544899764982</c:v>
                </c:pt>
                <c:pt idx="18">
                  <c:v>77.95505787670551</c:v>
                </c:pt>
                <c:pt idx="19">
                  <c:v>73.241573337517138</c:v>
                </c:pt>
              </c:numCache>
            </c:numRef>
          </c:val>
          <c:smooth val="0"/>
          <c:extLst>
            <c:ext xmlns:c16="http://schemas.microsoft.com/office/drawing/2014/chart" uri="{C3380CC4-5D6E-409C-BE32-E72D297353CC}">
              <c16:uniqueId val="{00000001-3E44-49E3-8978-9A429F2E6E4F}"/>
            </c:ext>
          </c:extLst>
        </c:ser>
        <c:ser>
          <c:idx val="2"/>
          <c:order val="2"/>
          <c:tx>
            <c:strRef>
              <c:f>Walker!$G$54</c:f>
              <c:strCache>
                <c:ptCount val="1"/>
                <c:pt idx="0">
                  <c:v>Sechhi</c:v>
                </c:pt>
              </c:strCache>
            </c:strRef>
          </c:tx>
          <c:spPr>
            <a:ln w="38100">
              <a:solidFill>
                <a:srgbClr val="FF0000"/>
              </a:solidFill>
              <a:prstDash val="solid"/>
            </a:ln>
          </c:spPr>
          <c:marker>
            <c:symbol val="none"/>
          </c:marker>
          <c:cat>
            <c:numRef>
              <c:f>Walker!$Y$16:$AR$16</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Walker!$Y$24:$AR$24</c:f>
              <c:numCache>
                <c:formatCode>0.00</c:formatCode>
                <c:ptCount val="20"/>
                <c:pt idx="0">
                  <c:v>58.073026973148814</c:v>
                </c:pt>
                <c:pt idx="1">
                  <c:v>57.060845376748709</c:v>
                </c:pt>
                <c:pt idx="2">
                  <c:v>55.869127614357176</c:v>
                </c:pt>
                <c:pt idx="3">
                  <c:v>62.129262586264701</c:v>
                </c:pt>
                <c:pt idx="4">
                  <c:v>69.080907012382241</c:v>
                </c:pt>
                <c:pt idx="5">
                  <c:v>52.807093237995446</c:v>
                </c:pt>
                <c:pt idx="6">
                  <c:v>66.440722664986438</c:v>
                </c:pt>
                <c:pt idx="7">
                  <c:v>62.129262586264701</c:v>
                </c:pt>
                <c:pt idx="8">
                  <c:v>60.835935291730678</c:v>
                </c:pt>
                <c:pt idx="9">
                  <c:v>55.031061001521465</c:v>
                </c:pt>
                <c:pt idx="10">
                  <c:v>55.134574086292005</c:v>
                </c:pt>
                <c:pt idx="11">
                  <c:v>51.235802304246434</c:v>
                </c:pt>
                <c:pt idx="12">
                  <c:v>63.488373835154341</c:v>
                </c:pt>
                <c:pt idx="13">
                  <c:v>58.41843895246609</c:v>
                </c:pt>
                <c:pt idx="14">
                  <c:v>64.922011586632749</c:v>
                </c:pt>
                <c:pt idx="15">
                  <c:v>54.114638300921229</c:v>
                </c:pt>
                <c:pt idx="16">
                  <c:v>53.126608849154415</c:v>
                </c:pt>
                <c:pt idx="17">
                  <c:v>64.922011586632749</c:v>
                </c:pt>
                <c:pt idx="18">
                  <c:v>60.835935291730678</c:v>
                </c:pt>
                <c:pt idx="19">
                  <c:v>63.488373835154341</c:v>
                </c:pt>
              </c:numCache>
            </c:numRef>
          </c:val>
          <c:smooth val="0"/>
          <c:extLst>
            <c:ext xmlns:c16="http://schemas.microsoft.com/office/drawing/2014/chart" uri="{C3380CC4-5D6E-409C-BE32-E72D297353CC}">
              <c16:uniqueId val="{00000002-3E44-49E3-8978-9A429F2E6E4F}"/>
            </c:ext>
          </c:extLst>
        </c:ser>
        <c:ser>
          <c:idx val="3"/>
          <c:order val="3"/>
          <c:tx>
            <c:strRef>
              <c:f>Walker!$G$55</c:f>
              <c:strCache>
                <c:ptCount val="1"/>
                <c:pt idx="0">
                  <c:v>TSI Index</c:v>
                </c:pt>
              </c:strCache>
            </c:strRef>
          </c:tx>
          <c:spPr>
            <a:ln w="38100">
              <a:solidFill>
                <a:srgbClr val="00FFFF"/>
              </a:solidFill>
              <a:prstDash val="solid"/>
            </a:ln>
          </c:spPr>
          <c:marker>
            <c:symbol val="none"/>
          </c:marker>
          <c:cat>
            <c:numRef>
              <c:f>Walker!$Y$16:$AR$16</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Walker!$Y$29:$AR$29</c:f>
              <c:numCache>
                <c:formatCode>0.0</c:formatCode>
                <c:ptCount val="20"/>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numCache>
            </c:numRef>
          </c:val>
          <c:smooth val="0"/>
          <c:extLst>
            <c:ext xmlns:c16="http://schemas.microsoft.com/office/drawing/2014/chart" uri="{C3380CC4-5D6E-409C-BE32-E72D297353CC}">
              <c16:uniqueId val="{00000003-3E44-49E3-8978-9A429F2E6E4F}"/>
            </c:ext>
          </c:extLst>
        </c:ser>
        <c:dLbls>
          <c:showLegendKey val="0"/>
          <c:showVal val="0"/>
          <c:showCatName val="0"/>
          <c:showSerName val="0"/>
          <c:showPercent val="0"/>
          <c:showBubbleSize val="0"/>
        </c:dLbls>
        <c:smooth val="0"/>
        <c:axId val="108321024"/>
        <c:axId val="108331008"/>
      </c:lineChart>
      <c:catAx>
        <c:axId val="108321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Black"/>
                <a:ea typeface="Arial Black"/>
                <a:cs typeface="Arial Black"/>
              </a:defRPr>
            </a:pPr>
            <a:endParaRPr lang="en-US"/>
          </a:p>
        </c:txPr>
        <c:crossAx val="108331008"/>
        <c:crosses val="autoZero"/>
        <c:auto val="1"/>
        <c:lblAlgn val="ctr"/>
        <c:lblOffset val="100"/>
        <c:tickLblSkip val="1"/>
        <c:tickMarkSkip val="1"/>
        <c:noMultiLvlLbl val="0"/>
      </c:catAx>
      <c:valAx>
        <c:axId val="108331008"/>
        <c:scaling>
          <c:orientation val="minMax"/>
          <c:max val="120"/>
          <c:min val="20"/>
        </c:scaling>
        <c:delete val="0"/>
        <c:axPos val="l"/>
        <c:min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108321024"/>
        <c:crosses val="autoZero"/>
        <c:crossBetween val="between"/>
        <c:minorUnit val="10"/>
      </c:valAx>
      <c:spPr>
        <a:gradFill>
          <a:gsLst>
            <a:gs pos="65000">
              <a:srgbClr val="00B050">
                <a:alpha val="77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8557398276641015"/>
          <c:y val="7.9985480538337178E-2"/>
          <c:w val="0.1265681652517828"/>
          <c:h val="0.30660635505668182"/>
        </c:manualLayout>
      </c:layout>
      <c:overlay val="0"/>
      <c:spPr>
        <a:solidFill>
          <a:schemeClr val="lt1"/>
        </a:solidFill>
        <a:ln w="25400" cap="flat" cmpd="sng" algn="ctr">
          <a:solidFill>
            <a:schemeClr val="accent4"/>
          </a:solidFill>
          <a:prstDash val="solid"/>
        </a:ln>
        <a:effectLst/>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25400" cap="flat" cmpd="sng" algn="ctr">
      <a:solidFill>
        <a:schemeClr val="accent6"/>
      </a:solidFill>
      <a:prstDash val="soli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332" r="0.75000000000001332" t="1" header="0.5" footer="0.5"/>
    <c:pageSetup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Arial"/>
                <a:ea typeface="Arial"/>
                <a:cs typeface="Arial"/>
              </a:defRPr>
            </a:pPr>
            <a:r>
              <a:rPr lang="en-US"/>
              <a:t>Walker Seasonal Trophic State Index</a:t>
            </a:r>
          </a:p>
        </c:rich>
      </c:tx>
      <c:layout>
        <c:manualLayout>
          <c:xMode val="edge"/>
          <c:yMode val="edge"/>
          <c:x val="0.27130852340937117"/>
          <c:y val="3.5820895522388062E-2"/>
        </c:manualLayout>
      </c:layout>
      <c:overlay val="0"/>
      <c:spPr>
        <a:noFill/>
        <a:ln w="25400">
          <a:noFill/>
        </a:ln>
      </c:spPr>
    </c:title>
    <c:autoTitleDeleted val="0"/>
    <c:plotArea>
      <c:layout>
        <c:manualLayout>
          <c:layoutTarget val="inner"/>
          <c:xMode val="edge"/>
          <c:yMode val="edge"/>
          <c:x val="0.10122586062132662"/>
          <c:y val="0.12736318407960198"/>
          <c:w val="0.89877413937868789"/>
          <c:h val="0.62487562189056212"/>
        </c:manualLayout>
      </c:layout>
      <c:barChart>
        <c:barDir val="col"/>
        <c:grouping val="clustered"/>
        <c:varyColors val="0"/>
        <c:ser>
          <c:idx val="0"/>
          <c:order val="0"/>
          <c:tx>
            <c:strRef>
              <c:f>Walker!$A$52</c:f>
              <c:strCache>
                <c:ptCount val="1"/>
                <c:pt idx="0">
                  <c:v>Walker TI</c:v>
                </c:pt>
              </c:strCache>
            </c:strRef>
          </c:tx>
          <c:spPr>
            <a:solidFill>
              <a:srgbClr val="9999FF"/>
            </a:solidFill>
            <a:ln w="12700">
              <a:solidFill>
                <a:srgbClr val="000000"/>
              </a:solidFill>
              <a:prstDash val="solid"/>
            </a:ln>
          </c:spPr>
          <c:invertIfNegative val="0"/>
          <c:dLbls>
            <c:numFmt formatCode="0" sourceLinked="0"/>
            <c:spPr>
              <a:noFill/>
              <a:ln w="25400">
                <a:noFill/>
              </a:ln>
            </c:spPr>
            <c:txPr>
              <a:bodyPr/>
              <a:lstStyle/>
              <a:p>
                <a:pPr>
                  <a:defRPr sz="10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Walker!$Y$30:$AR$31</c:f>
              <c:multiLvlStrCache>
                <c:ptCount val="20"/>
                <c:lvl>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lvl>
                <c:lvl>
                  <c:pt idx="0">
                    <c:v>Eu-hyp</c:v>
                  </c:pt>
                  <c:pt idx="1">
                    <c:v>Hyp</c:v>
                  </c:pt>
                  <c:pt idx="2">
                    <c:v>Hyp</c:v>
                  </c:pt>
                  <c:pt idx="3">
                    <c:v>Hyp</c:v>
                  </c:pt>
                  <c:pt idx="4">
                    <c:v>Eu-hyp</c:v>
                  </c:pt>
                  <c:pt idx="5">
                    <c:v>Eu</c:v>
                  </c:pt>
                  <c:pt idx="6">
                    <c:v>Eu</c:v>
                  </c:pt>
                  <c:pt idx="7">
                    <c:v>Eu</c:v>
                  </c:pt>
                  <c:pt idx="8">
                    <c:v>Eu</c:v>
                  </c:pt>
                  <c:pt idx="9">
                    <c:v>Eu</c:v>
                  </c:pt>
                  <c:pt idx="10">
                    <c:v>Eu-hyp</c:v>
                  </c:pt>
                  <c:pt idx="11">
                    <c:v>Eu</c:v>
                  </c:pt>
                  <c:pt idx="12">
                    <c:v>Eu-hyp</c:v>
                  </c:pt>
                  <c:pt idx="13">
                    <c:v>Eu</c:v>
                  </c:pt>
                  <c:pt idx="14">
                    <c:v>Eu-hyp</c:v>
                  </c:pt>
                  <c:pt idx="15">
                    <c:v>Eu</c:v>
                  </c:pt>
                  <c:pt idx="16">
                    <c:v>Eu</c:v>
                  </c:pt>
                  <c:pt idx="17">
                    <c:v>Eu</c:v>
                  </c:pt>
                  <c:pt idx="18">
                    <c:v>EU</c:v>
                  </c:pt>
                  <c:pt idx="19">
                    <c:v>EU</c:v>
                  </c:pt>
                </c:lvl>
              </c:multiLvlStrCache>
            </c:multiLvlStrRef>
          </c:cat>
          <c:val>
            <c:numRef>
              <c:f>Walker!$Y$29:$AR$29</c:f>
              <c:numCache>
                <c:formatCode>0.0</c:formatCode>
                <c:ptCount val="20"/>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numCache>
            </c:numRef>
          </c:val>
          <c:extLst>
            <c:ext xmlns:c16="http://schemas.microsoft.com/office/drawing/2014/chart" uri="{C3380CC4-5D6E-409C-BE32-E72D297353CC}">
              <c16:uniqueId val="{00000000-7708-4054-A945-56F42DAA0DA0}"/>
            </c:ext>
          </c:extLst>
        </c:ser>
        <c:dLbls>
          <c:showLegendKey val="0"/>
          <c:showVal val="1"/>
          <c:showCatName val="0"/>
          <c:showSerName val="0"/>
          <c:showPercent val="0"/>
          <c:showBubbleSize val="0"/>
        </c:dLbls>
        <c:gapWidth val="150"/>
        <c:axId val="108364160"/>
        <c:axId val="108365696"/>
      </c:barChart>
      <c:catAx>
        <c:axId val="10836416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8365696"/>
        <c:crosses val="autoZero"/>
        <c:auto val="1"/>
        <c:lblAlgn val="ctr"/>
        <c:lblOffset val="100"/>
        <c:tickMarkSkip val="1"/>
        <c:noMultiLvlLbl val="0"/>
      </c:catAx>
      <c:valAx>
        <c:axId val="108365696"/>
        <c:scaling>
          <c:orientation val="minMax"/>
          <c:max val="80"/>
          <c:min val="55"/>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n-US"/>
          </a:p>
        </c:txPr>
        <c:crossAx val="108364160"/>
        <c:crosses val="autoZero"/>
        <c:crossBetween val="between"/>
        <c:majorUnit val="5"/>
      </c:valAx>
      <c:dTable>
        <c:showHorzBorder val="0"/>
        <c:showVertBorder val="1"/>
        <c:showOutline val="1"/>
        <c:showKeys val="0"/>
        <c:spPr>
          <a:ln w="25400">
            <a:solidFill>
              <a:srgbClr val="000000"/>
            </a:solidFill>
            <a:prstDash val="solid"/>
          </a:ln>
        </c:spPr>
        <c:txPr>
          <a:bodyPr/>
          <a:lstStyle/>
          <a:p>
            <a:pPr rtl="0">
              <a:defRPr sz="800" b="0" i="0" u="none" strike="noStrike" baseline="0">
                <a:solidFill>
                  <a:srgbClr val="000000"/>
                </a:solidFill>
                <a:latin typeface="Arial Black"/>
                <a:ea typeface="Arial Black"/>
                <a:cs typeface="Arial Black"/>
              </a:defRPr>
            </a:pPr>
            <a:endParaRPr lang="en-US"/>
          </a:p>
        </c:txPr>
      </c:dTable>
      <c:spPr>
        <a:gradFill>
          <a:gsLst>
            <a:gs pos="71000">
              <a:srgbClr val="00B050">
                <a:alpha val="75000"/>
              </a:srgbClr>
            </a:gs>
            <a:gs pos="50000">
              <a:srgbClr val="4F81BD">
                <a:tint val="44500"/>
                <a:satMod val="160000"/>
              </a:srgbClr>
            </a:gs>
            <a:gs pos="100000">
              <a:srgbClr val="4F81BD">
                <a:tint val="23500"/>
                <a:satMod val="160000"/>
              </a:srgbClr>
            </a:gs>
          </a:gsLst>
          <a:lin ang="5400000" scaled="0"/>
        </a:gradFill>
        <a:ln w="25400">
          <a:solidFill>
            <a:srgbClr val="808080"/>
          </a:solidFill>
          <a:prstDash val="solid"/>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2010 Reservoir Inflow/ Outflow  Estimates [Ac-Ft Per Month] </a:t>
            </a:r>
          </a:p>
        </c:rich>
      </c:tx>
      <c:layout>
        <c:manualLayout>
          <c:xMode val="edge"/>
          <c:yMode val="edge"/>
          <c:x val="0.34678298800437296"/>
          <c:y val="3.2608695652175258E-2"/>
        </c:manualLayout>
      </c:layout>
      <c:overlay val="0"/>
      <c:spPr>
        <a:noFill/>
        <a:ln w="25400">
          <a:noFill/>
        </a:ln>
      </c:spPr>
    </c:title>
    <c:autoTitleDeleted val="0"/>
    <c:plotArea>
      <c:layout>
        <c:manualLayout>
          <c:layoutTarget val="inner"/>
          <c:xMode val="edge"/>
          <c:yMode val="edge"/>
          <c:x val="0.10385444401517969"/>
          <c:y val="0.10597826086956515"/>
          <c:w val="0.88115677757209077"/>
          <c:h val="0.75000000000001465"/>
        </c:manualLayout>
      </c:layout>
      <c:lineChart>
        <c:grouping val="standard"/>
        <c:varyColors val="0"/>
        <c:ser>
          <c:idx val="0"/>
          <c:order val="0"/>
          <c:tx>
            <c:strRef>
              <c:f>'Monthly Discharge'!$A$24</c:f>
              <c:strCache>
                <c:ptCount val="1"/>
                <c:pt idx="0">
                  <c:v>Turkey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Discharge'!$B$24:$M$24</c:f>
              <c:numCache>
                <c:formatCode>#,##0.0</c:formatCode>
                <c:ptCount val="12"/>
                <c:pt idx="0">
                  <c:v>196.71360000000004</c:v>
                </c:pt>
                <c:pt idx="1">
                  <c:v>103.51260000000001</c:v>
                </c:pt>
                <c:pt idx="2">
                  <c:v>829.88550000000009</c:v>
                </c:pt>
                <c:pt idx="3">
                  <c:v>2974.5</c:v>
                </c:pt>
                <c:pt idx="4">
                  <c:v>2827.7580000000003</c:v>
                </c:pt>
                <c:pt idx="5">
                  <c:v>547.30799999999999</c:v>
                </c:pt>
                <c:pt idx="6">
                  <c:v>215.15550000000002</c:v>
                </c:pt>
                <c:pt idx="7">
                  <c:v>181.34535000000002</c:v>
                </c:pt>
                <c:pt idx="8">
                  <c:v>54.433350000000004</c:v>
                </c:pt>
                <c:pt idx="9">
                  <c:v>319.65960000000001</c:v>
                </c:pt>
                <c:pt idx="10">
                  <c:v>83.285999999999987</c:v>
                </c:pt>
                <c:pt idx="11">
                  <c:v>67.620300000000015</c:v>
                </c:pt>
              </c:numCache>
            </c:numRef>
          </c:val>
          <c:smooth val="0"/>
          <c:extLst>
            <c:ext xmlns:c16="http://schemas.microsoft.com/office/drawing/2014/chart" uri="{C3380CC4-5D6E-409C-BE32-E72D297353CC}">
              <c16:uniqueId val="{00000000-A446-4F76-9C50-281C32450771}"/>
            </c:ext>
          </c:extLst>
        </c:ser>
        <c:ser>
          <c:idx val="1"/>
          <c:order val="1"/>
          <c:tx>
            <c:strRef>
              <c:f>'Monthly Discharge'!$A$25</c:f>
              <c:strCache>
                <c:ptCount val="1"/>
                <c:pt idx="0">
                  <c:v>Bear Creek Inflow</c:v>
                </c:pt>
              </c:strCache>
            </c:strRef>
          </c:tx>
          <c:spPr>
            <a:ln w="38100">
              <a:solidFill>
                <a:srgbClr val="FF00FF"/>
              </a:solidFill>
              <a:prstDash val="solid"/>
            </a:ln>
          </c:spPr>
          <c:marker>
            <c:symbol val="square"/>
            <c:size val="7"/>
            <c:spPr>
              <a:solidFill>
                <a:srgbClr val="FF00FF"/>
              </a:solidFill>
              <a:ln>
                <a:solidFill>
                  <a:srgbClr val="FF00FF"/>
                </a:solidFill>
                <a:prstDash val="solid"/>
              </a:ln>
            </c:spPr>
          </c:marker>
          <c:cat>
            <c:strRef>
              <c:f>'Monthly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Discharge'!$B$25:$M$25</c:f>
              <c:numCache>
                <c:formatCode>0.0</c:formatCode>
                <c:ptCount val="12"/>
                <c:pt idx="0">
                  <c:v>652.80359999999985</c:v>
                </c:pt>
                <c:pt idx="1">
                  <c:v>621.86880000000008</c:v>
                </c:pt>
                <c:pt idx="2">
                  <c:v>839.80050000000006</c:v>
                </c:pt>
                <c:pt idx="3">
                  <c:v>4556.9339999999993</c:v>
                </c:pt>
                <c:pt idx="4">
                  <c:v>6044.9516129032254</c:v>
                </c:pt>
                <c:pt idx="5">
                  <c:v>3803.3939999999998</c:v>
                </c:pt>
                <c:pt idx="6">
                  <c:v>1717.6746000000003</c:v>
                </c:pt>
                <c:pt idx="7">
                  <c:v>1612.9721999999999</c:v>
                </c:pt>
                <c:pt idx="8">
                  <c:v>457.75571999999988</c:v>
                </c:pt>
                <c:pt idx="9">
                  <c:v>551.07569999999998</c:v>
                </c:pt>
                <c:pt idx="10">
                  <c:v>261.65685000000008</c:v>
                </c:pt>
                <c:pt idx="11">
                  <c:v>105.29729999999998</c:v>
                </c:pt>
              </c:numCache>
            </c:numRef>
          </c:val>
          <c:smooth val="0"/>
          <c:extLst>
            <c:ext xmlns:c16="http://schemas.microsoft.com/office/drawing/2014/chart" uri="{C3380CC4-5D6E-409C-BE32-E72D297353CC}">
              <c16:uniqueId val="{00000001-A446-4F76-9C50-281C32450771}"/>
            </c:ext>
          </c:extLst>
        </c:ser>
        <c:ser>
          <c:idx val="3"/>
          <c:order val="2"/>
          <c:tx>
            <c:strRef>
              <c:f>'Monthly Discharge'!$A$27</c:f>
              <c:strCache>
                <c:ptCount val="1"/>
                <c:pt idx="0">
                  <c:v>Lower Bear Creek</c:v>
                </c:pt>
              </c:strCache>
            </c:strRef>
          </c:tx>
          <c:spPr>
            <a:ln w="38100">
              <a:solidFill>
                <a:srgbClr val="00FFFF"/>
              </a:solidFill>
              <a:prstDash val="solid"/>
            </a:ln>
          </c:spPr>
          <c:marker>
            <c:symbol val="x"/>
            <c:size val="9"/>
            <c:spPr>
              <a:noFill/>
              <a:ln>
                <a:solidFill>
                  <a:srgbClr val="00FFFF"/>
                </a:solidFill>
                <a:prstDash val="solid"/>
              </a:ln>
            </c:spPr>
          </c:marker>
          <c:cat>
            <c:strRef>
              <c:f>'Monthly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Discharge'!$B$27:$M$27</c:f>
              <c:numCache>
                <c:formatCode>#,##0.0</c:formatCode>
                <c:ptCount val="12"/>
                <c:pt idx="0">
                  <c:v>479.48939999999999</c:v>
                </c:pt>
                <c:pt idx="1">
                  <c:v>454.30530000000005</c:v>
                </c:pt>
                <c:pt idx="2">
                  <c:v>3608.4651000000003</c:v>
                </c:pt>
                <c:pt idx="3">
                  <c:v>7138.8</c:v>
                </c:pt>
                <c:pt idx="4">
                  <c:v>9098.0040000000008</c:v>
                </c:pt>
                <c:pt idx="5">
                  <c:v>4205.9430000000002</c:v>
                </c:pt>
                <c:pt idx="6">
                  <c:v>1201.7971500000001</c:v>
                </c:pt>
                <c:pt idx="7">
                  <c:v>2154.6286499999997</c:v>
                </c:pt>
                <c:pt idx="8">
                  <c:v>181.44450000000001</c:v>
                </c:pt>
                <c:pt idx="9">
                  <c:v>614.73</c:v>
                </c:pt>
                <c:pt idx="10">
                  <c:v>232.011</c:v>
                </c:pt>
                <c:pt idx="11">
                  <c:v>92.209499999999991</c:v>
                </c:pt>
              </c:numCache>
            </c:numRef>
          </c:val>
          <c:smooth val="0"/>
          <c:extLst>
            <c:ext xmlns:c16="http://schemas.microsoft.com/office/drawing/2014/chart" uri="{C3380CC4-5D6E-409C-BE32-E72D297353CC}">
              <c16:uniqueId val="{00000002-A446-4F76-9C50-281C32450771}"/>
            </c:ext>
          </c:extLst>
        </c:ser>
        <c:dLbls>
          <c:showLegendKey val="0"/>
          <c:showVal val="0"/>
          <c:showCatName val="0"/>
          <c:showSerName val="0"/>
          <c:showPercent val="0"/>
          <c:showBubbleSize val="0"/>
        </c:dLbls>
        <c:marker val="1"/>
        <c:smooth val="0"/>
        <c:axId val="111169920"/>
        <c:axId val="111171840"/>
      </c:lineChart>
      <c:catAx>
        <c:axId val="11116992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11171840"/>
        <c:crosses val="autoZero"/>
        <c:auto val="1"/>
        <c:lblAlgn val="ctr"/>
        <c:lblOffset val="100"/>
        <c:tickLblSkip val="1"/>
        <c:tickMarkSkip val="1"/>
        <c:noMultiLvlLbl val="0"/>
      </c:catAx>
      <c:valAx>
        <c:axId val="111171840"/>
        <c:scaling>
          <c:orientation val="minMax"/>
        </c:scaling>
        <c:delete val="0"/>
        <c:axPos val="l"/>
        <c:majorGridlines>
          <c:spPr>
            <a:ln w="3175">
              <a:solidFill>
                <a:srgbClr val="000000"/>
              </a:solidFill>
              <a:prstDash val="solid"/>
            </a:ln>
          </c:spPr>
        </c:majorGridlines>
        <c:minorGridlines/>
        <c:title>
          <c:tx>
            <c:rich>
              <a:bodyPr/>
              <a:lstStyle/>
              <a:p>
                <a:pPr>
                  <a:defRPr sz="950" b="1" i="0" u="none" strike="noStrike" baseline="0">
                    <a:solidFill>
                      <a:srgbClr val="000000"/>
                    </a:solidFill>
                    <a:latin typeface="Arial"/>
                    <a:ea typeface="Arial"/>
                    <a:cs typeface="Arial"/>
                  </a:defRPr>
                </a:pPr>
                <a:r>
                  <a:rPr lang="en-US"/>
                  <a:t>Total Monthly Inflow Acre-Feet</a:t>
                </a:r>
              </a:p>
            </c:rich>
          </c:tx>
          <c:layout>
            <c:manualLayout>
              <c:xMode val="edge"/>
              <c:yMode val="edge"/>
              <c:x val="1.0043103415451501E-2"/>
              <c:y val="0.21195656919964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111169920"/>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legend>
      <c:legendPos val="r"/>
      <c:layout>
        <c:manualLayout>
          <c:xMode val="edge"/>
          <c:yMode val="edge"/>
          <c:x val="0.69377503384596062"/>
          <c:y val="0.12169319867625655"/>
          <c:w val="0.24405544726756981"/>
          <c:h val="0.1945036168076033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Bear Creek Reservoir 2010 In-Flow &amp; Out-Flow Estimates</a:t>
            </a:r>
          </a:p>
        </c:rich>
      </c:tx>
      <c:layout>
        <c:manualLayout>
          <c:xMode val="edge"/>
          <c:yMode val="edge"/>
          <c:x val="0.21093949306280951"/>
          <c:y val="2.9281040929477128E-2"/>
        </c:manualLayout>
      </c:layout>
      <c:overlay val="0"/>
    </c:title>
    <c:autoTitleDeleted val="0"/>
    <c:plotArea>
      <c:layout/>
      <c:barChart>
        <c:barDir val="col"/>
        <c:grouping val="clustered"/>
        <c:varyColors val="0"/>
        <c:ser>
          <c:idx val="0"/>
          <c:order val="0"/>
          <c:tx>
            <c:strRef>
              <c:f>'Monthly Discharge'!$A$26</c:f>
              <c:strCache>
                <c:ptCount val="1"/>
                <c:pt idx="0">
                  <c:v>Total Inflow</c:v>
                </c:pt>
              </c:strCache>
            </c:strRef>
          </c:tx>
          <c:invertIfNegative val="0"/>
          <c:cat>
            <c:strRef>
              <c:f>'Monthly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Discharge'!$B$26:$M$26</c:f>
              <c:numCache>
                <c:formatCode>#,##0.0</c:formatCode>
                <c:ptCount val="12"/>
                <c:pt idx="0">
                  <c:v>849.51719999999989</c:v>
                </c:pt>
                <c:pt idx="1">
                  <c:v>725.3814000000001</c:v>
                </c:pt>
                <c:pt idx="2">
                  <c:v>1669.6860000000001</c:v>
                </c:pt>
                <c:pt idx="3">
                  <c:v>7531.4339999999993</c:v>
                </c:pt>
                <c:pt idx="4">
                  <c:v>8872.7096129032252</c:v>
                </c:pt>
                <c:pt idx="5">
                  <c:v>4350.7019999999993</c:v>
                </c:pt>
                <c:pt idx="6">
                  <c:v>1932.8301000000004</c:v>
                </c:pt>
                <c:pt idx="7">
                  <c:v>1794.31755</c:v>
                </c:pt>
                <c:pt idx="8">
                  <c:v>512.1890699999999</c:v>
                </c:pt>
                <c:pt idx="9">
                  <c:v>870.73530000000005</c:v>
                </c:pt>
                <c:pt idx="10">
                  <c:v>344.94285000000008</c:v>
                </c:pt>
                <c:pt idx="11">
                  <c:v>172.91759999999999</c:v>
                </c:pt>
              </c:numCache>
            </c:numRef>
          </c:val>
          <c:extLst>
            <c:ext xmlns:c16="http://schemas.microsoft.com/office/drawing/2014/chart" uri="{C3380CC4-5D6E-409C-BE32-E72D297353CC}">
              <c16:uniqueId val="{00000000-2A6C-41F0-A656-3175FF3117E2}"/>
            </c:ext>
          </c:extLst>
        </c:ser>
        <c:ser>
          <c:idx val="1"/>
          <c:order val="1"/>
          <c:tx>
            <c:strRef>
              <c:f>'Monthly Discharge'!$A$27</c:f>
              <c:strCache>
                <c:ptCount val="1"/>
                <c:pt idx="0">
                  <c:v>Lower Bear Creek</c:v>
                </c:pt>
              </c:strCache>
            </c:strRef>
          </c:tx>
          <c:invertIfNegative val="0"/>
          <c:val>
            <c:numRef>
              <c:f>'Monthly Discharge'!$B$27:$M$27</c:f>
              <c:numCache>
                <c:formatCode>#,##0.0</c:formatCode>
                <c:ptCount val="12"/>
                <c:pt idx="0">
                  <c:v>479.48939999999999</c:v>
                </c:pt>
                <c:pt idx="1">
                  <c:v>454.30530000000005</c:v>
                </c:pt>
                <c:pt idx="2">
                  <c:v>3608.4651000000003</c:v>
                </c:pt>
                <c:pt idx="3">
                  <c:v>7138.8</c:v>
                </c:pt>
                <c:pt idx="4">
                  <c:v>9098.0040000000008</c:v>
                </c:pt>
                <c:pt idx="5">
                  <c:v>4205.9430000000002</c:v>
                </c:pt>
                <c:pt idx="6">
                  <c:v>1201.7971500000001</c:v>
                </c:pt>
                <c:pt idx="7">
                  <c:v>2154.6286499999997</c:v>
                </c:pt>
                <c:pt idx="8">
                  <c:v>181.44450000000001</c:v>
                </c:pt>
                <c:pt idx="9">
                  <c:v>614.73</c:v>
                </c:pt>
                <c:pt idx="10">
                  <c:v>232.011</c:v>
                </c:pt>
                <c:pt idx="11">
                  <c:v>92.209499999999991</c:v>
                </c:pt>
              </c:numCache>
            </c:numRef>
          </c:val>
          <c:extLst>
            <c:ext xmlns:c16="http://schemas.microsoft.com/office/drawing/2014/chart" uri="{C3380CC4-5D6E-409C-BE32-E72D297353CC}">
              <c16:uniqueId val="{00000001-2A6C-41F0-A656-3175FF3117E2}"/>
            </c:ext>
          </c:extLst>
        </c:ser>
        <c:dLbls>
          <c:showLegendKey val="0"/>
          <c:showVal val="0"/>
          <c:showCatName val="0"/>
          <c:showSerName val="0"/>
          <c:showPercent val="0"/>
          <c:showBubbleSize val="0"/>
        </c:dLbls>
        <c:gapWidth val="49"/>
        <c:axId val="111205376"/>
        <c:axId val="111211264"/>
      </c:barChart>
      <c:catAx>
        <c:axId val="111205376"/>
        <c:scaling>
          <c:orientation val="minMax"/>
        </c:scaling>
        <c:delete val="0"/>
        <c:axPos val="b"/>
        <c:numFmt formatCode="General" sourceLinked="0"/>
        <c:majorTickMark val="none"/>
        <c:minorTickMark val="none"/>
        <c:tickLblPos val="nextTo"/>
        <c:crossAx val="111211264"/>
        <c:crosses val="autoZero"/>
        <c:auto val="1"/>
        <c:lblAlgn val="ctr"/>
        <c:lblOffset val="100"/>
        <c:noMultiLvlLbl val="0"/>
      </c:catAx>
      <c:valAx>
        <c:axId val="111211264"/>
        <c:scaling>
          <c:orientation val="minMax"/>
        </c:scaling>
        <c:delete val="0"/>
        <c:axPos val="l"/>
        <c:majorGridlines/>
        <c:minorGridlines/>
        <c:title>
          <c:tx>
            <c:rich>
              <a:bodyPr/>
              <a:lstStyle/>
              <a:p>
                <a:pPr>
                  <a:defRPr/>
                </a:pPr>
                <a:r>
                  <a:rPr lang="en-US"/>
                  <a:t>Acre-feet/month</a:t>
                </a:r>
              </a:p>
            </c:rich>
          </c:tx>
          <c:overlay val="0"/>
        </c:title>
        <c:numFmt formatCode="#,##0.0" sourceLinked="1"/>
        <c:majorTickMark val="none"/>
        <c:minorTickMark val="none"/>
        <c:tickLblPos val="nextTo"/>
        <c:txPr>
          <a:bodyPr/>
          <a:lstStyle/>
          <a:p>
            <a:pPr>
              <a:defRPr b="1"/>
            </a:pPr>
            <a:endParaRPr lang="en-US"/>
          </a:p>
        </c:txPr>
        <c:crossAx val="111205376"/>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72143106164428361"/>
          <c:y val="0.18589512660880014"/>
          <c:w val="0.19342271652376497"/>
          <c:h val="0.13237163174364547"/>
        </c:manualLayout>
      </c:layout>
      <c:overlay val="1"/>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Reservoir Inflow [Ac-Ft Per Month] </a:t>
            </a:r>
          </a:p>
        </c:rich>
      </c:tx>
      <c:layout>
        <c:manualLayout>
          <c:xMode val="edge"/>
          <c:yMode val="edge"/>
          <c:x val="0.34678298800437052"/>
          <c:y val="3.2608695652174988E-2"/>
        </c:manualLayout>
      </c:layout>
      <c:overlay val="0"/>
      <c:spPr>
        <a:noFill/>
        <a:ln w="25400">
          <a:noFill/>
        </a:ln>
      </c:spPr>
    </c:title>
    <c:autoTitleDeleted val="0"/>
    <c:plotArea>
      <c:layout>
        <c:manualLayout>
          <c:layoutTarget val="inner"/>
          <c:xMode val="edge"/>
          <c:yMode val="edge"/>
          <c:x val="0.10385444401517969"/>
          <c:y val="0.10597826086956515"/>
          <c:w val="0.88115677757209077"/>
          <c:h val="0.75000000000001332"/>
        </c:manualLayout>
      </c:layout>
      <c:barChart>
        <c:barDir val="col"/>
        <c:grouping val="clustered"/>
        <c:varyColors val="0"/>
        <c:ser>
          <c:idx val="0"/>
          <c:order val="0"/>
          <c:tx>
            <c:strRef>
              <c:f>'Monthly Discharge'!$A$24</c:f>
              <c:strCache>
                <c:ptCount val="1"/>
                <c:pt idx="0">
                  <c:v>Turkey Creek Inflow</c:v>
                </c:pt>
              </c:strCache>
            </c:strRef>
          </c:tx>
          <c:spPr>
            <a:solidFill>
              <a:schemeClr val="tx2"/>
            </a:solidFill>
            <a:ln w="38100">
              <a:solidFill>
                <a:schemeClr val="tx2"/>
              </a:solidFill>
              <a:prstDash val="solid"/>
            </a:ln>
          </c:spPr>
          <c:invertIfNegative val="0"/>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Discharge'!$B$24:$M$24</c:f>
              <c:numCache>
                <c:formatCode>#,##0.0</c:formatCode>
                <c:ptCount val="12"/>
                <c:pt idx="0">
                  <c:v>196.71360000000004</c:v>
                </c:pt>
                <c:pt idx="1">
                  <c:v>103.51260000000001</c:v>
                </c:pt>
                <c:pt idx="2">
                  <c:v>829.88550000000009</c:v>
                </c:pt>
                <c:pt idx="3">
                  <c:v>2974.5</c:v>
                </c:pt>
                <c:pt idx="4">
                  <c:v>2827.7580000000003</c:v>
                </c:pt>
                <c:pt idx="5">
                  <c:v>547.30799999999999</c:v>
                </c:pt>
                <c:pt idx="6">
                  <c:v>215.15550000000002</c:v>
                </c:pt>
                <c:pt idx="7">
                  <c:v>181.34535000000002</c:v>
                </c:pt>
                <c:pt idx="8">
                  <c:v>54.433350000000004</c:v>
                </c:pt>
                <c:pt idx="9">
                  <c:v>319.65960000000001</c:v>
                </c:pt>
                <c:pt idx="10">
                  <c:v>83.285999999999987</c:v>
                </c:pt>
                <c:pt idx="11">
                  <c:v>67.620300000000015</c:v>
                </c:pt>
              </c:numCache>
            </c:numRef>
          </c:val>
          <c:extLst>
            <c:ext xmlns:c16="http://schemas.microsoft.com/office/drawing/2014/chart" uri="{C3380CC4-5D6E-409C-BE32-E72D297353CC}">
              <c16:uniqueId val="{00000000-0D7B-47A7-A71C-530B368410F8}"/>
            </c:ext>
          </c:extLst>
        </c:ser>
        <c:ser>
          <c:idx val="1"/>
          <c:order val="1"/>
          <c:tx>
            <c:strRef>
              <c:f>'Monthly Discharge'!$A$25</c:f>
              <c:strCache>
                <c:ptCount val="1"/>
                <c:pt idx="0">
                  <c:v>Bear Creek Inflow</c:v>
                </c:pt>
              </c:strCache>
            </c:strRef>
          </c:tx>
          <c:spPr>
            <a:solidFill>
              <a:srgbClr val="00B050"/>
            </a:solidFill>
            <a:ln w="38100">
              <a:solidFill>
                <a:srgbClr val="00B050"/>
              </a:solidFill>
              <a:prstDash val="solid"/>
            </a:ln>
          </c:spPr>
          <c:invertIfNegative val="0"/>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Discharge'!$B$25:$M$25</c:f>
              <c:numCache>
                <c:formatCode>0.0</c:formatCode>
                <c:ptCount val="12"/>
                <c:pt idx="0">
                  <c:v>652.80359999999985</c:v>
                </c:pt>
                <c:pt idx="1">
                  <c:v>621.86880000000008</c:v>
                </c:pt>
                <c:pt idx="2">
                  <c:v>839.80050000000006</c:v>
                </c:pt>
                <c:pt idx="3">
                  <c:v>4556.9339999999993</c:v>
                </c:pt>
                <c:pt idx="4">
                  <c:v>6044.9516129032254</c:v>
                </c:pt>
                <c:pt idx="5">
                  <c:v>3803.3939999999998</c:v>
                </c:pt>
                <c:pt idx="6">
                  <c:v>1717.6746000000003</c:v>
                </c:pt>
                <c:pt idx="7">
                  <c:v>1612.9721999999999</c:v>
                </c:pt>
                <c:pt idx="8">
                  <c:v>457.75571999999988</c:v>
                </c:pt>
                <c:pt idx="9">
                  <c:v>551.07569999999998</c:v>
                </c:pt>
                <c:pt idx="10">
                  <c:v>261.65685000000008</c:v>
                </c:pt>
                <c:pt idx="11">
                  <c:v>105.29729999999998</c:v>
                </c:pt>
              </c:numCache>
            </c:numRef>
          </c:val>
          <c:extLst>
            <c:ext xmlns:c16="http://schemas.microsoft.com/office/drawing/2014/chart" uri="{C3380CC4-5D6E-409C-BE32-E72D297353CC}">
              <c16:uniqueId val="{00000001-0D7B-47A7-A71C-530B368410F8}"/>
            </c:ext>
          </c:extLst>
        </c:ser>
        <c:dLbls>
          <c:showLegendKey val="0"/>
          <c:showVal val="0"/>
          <c:showCatName val="0"/>
          <c:showSerName val="0"/>
          <c:showPercent val="0"/>
          <c:showBubbleSize val="0"/>
        </c:dLbls>
        <c:gapWidth val="31"/>
        <c:overlap val="4"/>
        <c:axId val="115713536"/>
        <c:axId val="115715072"/>
      </c:barChart>
      <c:catAx>
        <c:axId val="115713536"/>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15715072"/>
        <c:crosses val="autoZero"/>
        <c:auto val="1"/>
        <c:lblAlgn val="ctr"/>
        <c:lblOffset val="100"/>
        <c:tickLblSkip val="1"/>
        <c:tickMarkSkip val="1"/>
        <c:noMultiLvlLbl val="0"/>
      </c:catAx>
      <c:valAx>
        <c:axId val="115715072"/>
        <c:scaling>
          <c:orientation val="minMax"/>
        </c:scaling>
        <c:delete val="0"/>
        <c:axPos val="l"/>
        <c:majorGridlines>
          <c:spPr>
            <a:ln w="3175">
              <a:solidFill>
                <a:srgbClr val="000000"/>
              </a:solidFill>
              <a:prstDash val="solid"/>
            </a:ln>
          </c:spPr>
        </c:majorGridlines>
        <c:minorGridlines/>
        <c:title>
          <c:tx>
            <c:rich>
              <a:bodyPr/>
              <a:lstStyle/>
              <a:p>
                <a:pPr>
                  <a:defRPr sz="950" b="1" i="0" u="none" strike="noStrike" baseline="0">
                    <a:solidFill>
                      <a:srgbClr val="000000"/>
                    </a:solidFill>
                    <a:latin typeface="Arial"/>
                    <a:ea typeface="Arial"/>
                    <a:cs typeface="Arial"/>
                  </a:defRPr>
                </a:pPr>
                <a:r>
                  <a:rPr lang="en-US"/>
                  <a:t>Total Monthly Inflow Acre-Feet</a:t>
                </a:r>
              </a:p>
            </c:rich>
          </c:tx>
          <c:layout>
            <c:manualLayout>
              <c:xMode val="edge"/>
              <c:yMode val="edge"/>
              <c:x val="1.0043103415451501E-2"/>
              <c:y val="0.21195656919964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115713536"/>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legend>
      <c:legendPos val="r"/>
      <c:layout>
        <c:manualLayout>
          <c:xMode val="edge"/>
          <c:yMode val="edge"/>
          <c:x val="0.69377503384596062"/>
          <c:y val="0.12169319867625567"/>
          <c:w val="0.17940367881483271"/>
          <c:h val="0.11386321626617379"/>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pPr>
          <a:endParaRPr lang="en-US"/>
        </a:p>
      </c:txPr>
    </c:title>
    <c:autoTitleDeleted val="0"/>
    <c:plotArea>
      <c:layout>
        <c:manualLayout>
          <c:layoutTarget val="inner"/>
          <c:xMode val="edge"/>
          <c:yMode val="edge"/>
          <c:x val="0.14763503914878209"/>
          <c:y val="0.11790411519660959"/>
          <c:w val="0.8226665042525757"/>
          <c:h val="0.71737165949151371"/>
        </c:manualLayout>
      </c:layout>
      <c:barChart>
        <c:barDir val="col"/>
        <c:grouping val="clustered"/>
        <c:varyColors val="0"/>
        <c:ser>
          <c:idx val="1"/>
          <c:order val="0"/>
          <c:tx>
            <c:strRef>
              <c:f>'Monthly Discharge'!$B$59</c:f>
              <c:strCache>
                <c:ptCount val="1"/>
                <c:pt idx="0">
                  <c:v>Total Reservoir Inflow (Acre-Ft/Year)</c:v>
                </c:pt>
              </c:strCache>
            </c:strRef>
          </c:tx>
          <c:spPr>
            <a:solidFill>
              <a:srgbClr val="993366"/>
            </a:solidFill>
            <a:ln w="12700">
              <a:solidFill>
                <a:srgbClr val="000000"/>
              </a:solidFill>
              <a:prstDash val="solid"/>
            </a:ln>
          </c:spPr>
          <c:invertIfNegative val="0"/>
          <c:cat>
            <c:numRef>
              <c:f>'Monthly Discharge'!$A$60:$A$83</c:f>
              <c:numCache>
                <c:formatCode>General</c:formatCode>
                <c:ptCount val="24"/>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numCache>
            </c:numRef>
          </c:cat>
          <c:val>
            <c:numRef>
              <c:f>'Monthly Discharge'!$B$60:$B$83</c:f>
              <c:numCache>
                <c:formatCode>#,##0</c:formatCode>
                <c:ptCount val="24"/>
                <c:pt idx="0">
                  <c:v>61594.954499999993</c:v>
                </c:pt>
                <c:pt idx="1">
                  <c:v>26201.379000000001</c:v>
                </c:pt>
                <c:pt idx="2">
                  <c:v>7527.4679999999998</c:v>
                </c:pt>
                <c:pt idx="3">
                  <c:v>20266.259999999998</c:v>
                </c:pt>
                <c:pt idx="4">
                  <c:v>25694.7225</c:v>
                </c:pt>
                <c:pt idx="5">
                  <c:v>18384.392999999996</c:v>
                </c:pt>
                <c:pt idx="6">
                  <c:v>11291.201999999999</c:v>
                </c:pt>
                <c:pt idx="7">
                  <c:v>13173.069</c:v>
                </c:pt>
                <c:pt idx="8">
                  <c:v>69556.699499999988</c:v>
                </c:pt>
                <c:pt idx="9">
                  <c:v>22654.783499999998</c:v>
                </c:pt>
                <c:pt idx="10">
                  <c:v>38071.616999999998</c:v>
                </c:pt>
                <c:pt idx="11">
                  <c:v>69122.422500000001</c:v>
                </c:pt>
                <c:pt idx="12">
                  <c:v>52692.275999999998</c:v>
                </c:pt>
                <c:pt idx="13">
                  <c:v>13173.069</c:v>
                </c:pt>
                <c:pt idx="14">
                  <c:v>15134.171499999999</c:v>
                </c:pt>
                <c:pt idx="15">
                  <c:v>4248.6766499999994</c:v>
                </c:pt>
                <c:pt idx="16">
                  <c:v>21641.470499999999</c:v>
                </c:pt>
                <c:pt idx="17">
                  <c:v>20924.913449999996</c:v>
                </c:pt>
                <c:pt idx="18">
                  <c:v>36624.026999999995</c:v>
                </c:pt>
                <c:pt idx="19">
                  <c:v>8497.4680000000008</c:v>
                </c:pt>
                <c:pt idx="20">
                  <c:v>56500</c:v>
                </c:pt>
                <c:pt idx="21">
                  <c:v>19400</c:v>
                </c:pt>
                <c:pt idx="22">
                  <c:v>25943</c:v>
                </c:pt>
                <c:pt idx="23">
                  <c:v>29007</c:v>
                </c:pt>
              </c:numCache>
            </c:numRef>
          </c:val>
          <c:extLst>
            <c:ext xmlns:c16="http://schemas.microsoft.com/office/drawing/2014/chart" uri="{C3380CC4-5D6E-409C-BE32-E72D297353CC}">
              <c16:uniqueId val="{00000000-5291-43CB-8D72-ED9D490549F5}"/>
            </c:ext>
          </c:extLst>
        </c:ser>
        <c:dLbls>
          <c:showLegendKey val="0"/>
          <c:showVal val="0"/>
          <c:showCatName val="0"/>
          <c:showSerName val="0"/>
          <c:showPercent val="0"/>
          <c:showBubbleSize val="0"/>
        </c:dLbls>
        <c:gapWidth val="150"/>
        <c:axId val="120983552"/>
        <c:axId val="120985088"/>
      </c:barChart>
      <c:catAx>
        <c:axId val="120983552"/>
        <c:scaling>
          <c:orientation val="minMax"/>
        </c:scaling>
        <c:delete val="0"/>
        <c:axPos val="b"/>
        <c:numFmt formatCode="General" sourceLinked="1"/>
        <c:majorTickMark val="out"/>
        <c:minorTickMark val="none"/>
        <c:tickLblPos val="low"/>
        <c:spPr>
          <a:ln w="3175">
            <a:solidFill>
              <a:srgbClr val="000000"/>
            </a:solidFill>
            <a:prstDash val="solid"/>
          </a:ln>
        </c:spPr>
        <c:txPr>
          <a:bodyPr rot="-3600000" vert="horz"/>
          <a:lstStyle/>
          <a:p>
            <a:pPr>
              <a:defRPr sz="800" b="1" i="0" u="none" strike="noStrike" baseline="0">
                <a:solidFill>
                  <a:srgbClr val="000000"/>
                </a:solidFill>
                <a:latin typeface="Arial"/>
                <a:ea typeface="Arial"/>
                <a:cs typeface="Arial"/>
              </a:defRPr>
            </a:pPr>
            <a:endParaRPr lang="en-US"/>
          </a:p>
        </c:txPr>
        <c:crossAx val="120985088"/>
        <c:crosses val="autoZero"/>
        <c:auto val="1"/>
        <c:lblAlgn val="ctr"/>
        <c:lblOffset val="100"/>
        <c:tickLblSkip val="1"/>
        <c:tickMarkSkip val="1"/>
        <c:noMultiLvlLbl val="0"/>
      </c:catAx>
      <c:valAx>
        <c:axId val="120985088"/>
        <c:scaling>
          <c:orientation val="minMax"/>
        </c:scaling>
        <c:delete val="0"/>
        <c:axPos val="l"/>
        <c:majorGridlines>
          <c:spPr>
            <a:ln w="3175">
              <a:solidFill>
                <a:srgbClr val="000000"/>
              </a:solidFill>
              <a:prstDash val="solid"/>
            </a:ln>
          </c:spPr>
        </c:majorGridlines>
        <c:minorGridlines/>
        <c:title>
          <c:tx>
            <c:rich>
              <a:bodyPr/>
              <a:lstStyle/>
              <a:p>
                <a:pPr>
                  <a:defRPr sz="1050" b="1" i="0" u="none" strike="noStrike" baseline="0">
                    <a:solidFill>
                      <a:srgbClr val="000000"/>
                    </a:solidFill>
                    <a:latin typeface="Arial"/>
                    <a:ea typeface="Arial"/>
                    <a:cs typeface="Arial"/>
                  </a:defRPr>
                </a:pPr>
                <a:r>
                  <a:rPr lang="en-US" sz="1050"/>
                  <a:t>Acre-Feet Per Year</a:t>
                </a:r>
              </a:p>
            </c:rich>
          </c:tx>
          <c:layout>
            <c:manualLayout>
              <c:xMode val="edge"/>
              <c:yMode val="edge"/>
              <c:x val="3.40912009749888E-2"/>
              <c:y val="0.379185789131672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0983552"/>
        <c:crosses val="autoZero"/>
        <c:crossBetween val="between"/>
        <c:majorUnit val="2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877" r="0.75000000000000877"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Bear Creek Reservoir 2010 Temperature</a:t>
            </a:r>
          </a:p>
        </c:rich>
      </c:tx>
      <c:layout>
        <c:manualLayout>
          <c:xMode val="edge"/>
          <c:yMode val="edge"/>
          <c:x val="0.35092348284962144"/>
          <c:y val="3.4055727554180001E-2"/>
        </c:manualLayout>
      </c:layout>
      <c:overlay val="0"/>
      <c:spPr>
        <a:noFill/>
        <a:ln w="25400">
          <a:noFill/>
        </a:ln>
      </c:spPr>
    </c:title>
    <c:autoTitleDeleted val="0"/>
    <c:plotArea>
      <c:layout>
        <c:manualLayout>
          <c:layoutTarget val="inner"/>
          <c:xMode val="edge"/>
          <c:yMode val="edge"/>
          <c:x val="6.2807881773399021E-2"/>
          <c:y val="0.17647058823529421"/>
          <c:w val="0.89162561576356858"/>
          <c:h val="0.67801857585139313"/>
        </c:manualLayout>
      </c:layout>
      <c:lineChart>
        <c:grouping val="standard"/>
        <c:varyColors val="0"/>
        <c:ser>
          <c:idx val="1"/>
          <c:order val="0"/>
          <c:tx>
            <c:strRef>
              <c:f>Temperature!$A$10</c:f>
              <c:strCache>
                <c:ptCount val="1"/>
                <c:pt idx="0">
                  <c:v>Reservoir (-1m)</c:v>
                </c:pt>
              </c:strCache>
            </c:strRef>
          </c:tx>
          <c:spPr>
            <a:ln w="31750">
              <a:solidFill>
                <a:srgbClr val="FF00FF"/>
              </a:solidFill>
              <a:prstDash val="solid"/>
            </a:ln>
          </c:spPr>
          <c:marker>
            <c:symbol val="square"/>
            <c:size val="5"/>
            <c:spPr>
              <a:solidFill>
                <a:srgbClr val="FF00FF"/>
              </a:solidFill>
              <a:ln>
                <a:solidFill>
                  <a:srgbClr val="FF00FF"/>
                </a:solidFill>
                <a:prstDash val="solid"/>
              </a:ln>
            </c:spPr>
          </c:marker>
          <c:cat>
            <c:numRef>
              <c:f>Temperature!$B$5:$P$5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Temperature!$B$10:$P$10</c:f>
              <c:numCache>
                <c:formatCode>General</c:formatCode>
                <c:ptCount val="15"/>
                <c:pt idx="0">
                  <c:v>2.79</c:v>
                </c:pt>
                <c:pt idx="1">
                  <c:v>1.9</c:v>
                </c:pt>
                <c:pt idx="2">
                  <c:v>5.6</c:v>
                </c:pt>
                <c:pt idx="3">
                  <c:v>7.5</c:v>
                </c:pt>
                <c:pt idx="4" formatCode="0.00">
                  <c:v>12.3</c:v>
                </c:pt>
                <c:pt idx="5" formatCode="0.00">
                  <c:v>19</c:v>
                </c:pt>
                <c:pt idx="6">
                  <c:v>21.24</c:v>
                </c:pt>
                <c:pt idx="7">
                  <c:v>22.52</c:v>
                </c:pt>
                <c:pt idx="8">
                  <c:v>21.8</c:v>
                </c:pt>
                <c:pt idx="9">
                  <c:v>21.4</c:v>
                </c:pt>
                <c:pt idx="10">
                  <c:v>20</c:v>
                </c:pt>
                <c:pt idx="11">
                  <c:v>18.100000000000001</c:v>
                </c:pt>
                <c:pt idx="12">
                  <c:v>10</c:v>
                </c:pt>
                <c:pt idx="13" formatCode="0.00">
                  <c:v>7.3</c:v>
                </c:pt>
                <c:pt idx="14">
                  <c:v>3.1</c:v>
                </c:pt>
              </c:numCache>
            </c:numRef>
          </c:val>
          <c:smooth val="0"/>
          <c:extLst>
            <c:ext xmlns:c16="http://schemas.microsoft.com/office/drawing/2014/chart" uri="{C3380CC4-5D6E-409C-BE32-E72D297353CC}">
              <c16:uniqueId val="{00000000-7CFA-466E-BBDC-BBF662EBD641}"/>
            </c:ext>
          </c:extLst>
        </c:ser>
        <c:ser>
          <c:idx val="2"/>
          <c:order val="1"/>
          <c:tx>
            <c:strRef>
              <c:f>Temperature!$A$11</c:f>
              <c:strCache>
                <c:ptCount val="1"/>
                <c:pt idx="0">
                  <c:v>Reservoir (-2m)</c:v>
                </c:pt>
              </c:strCache>
            </c:strRef>
          </c:tx>
          <c:spPr>
            <a:ln w="25400">
              <a:solidFill>
                <a:srgbClr val="FFFF00"/>
              </a:solidFill>
              <a:prstDash val="solid"/>
            </a:ln>
          </c:spPr>
          <c:marker>
            <c:symbol val="triangle"/>
            <c:size val="5"/>
            <c:spPr>
              <a:solidFill>
                <a:srgbClr val="FFFF00"/>
              </a:solidFill>
              <a:ln>
                <a:solidFill>
                  <a:srgbClr val="FFFF00"/>
                </a:solidFill>
                <a:prstDash val="solid"/>
              </a:ln>
            </c:spPr>
          </c:marker>
          <c:cat>
            <c:numRef>
              <c:f>Temperature!$B$5:$P$5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Temperature!$B$11:$P$11</c:f>
              <c:numCache>
                <c:formatCode>General</c:formatCode>
                <c:ptCount val="15"/>
                <c:pt idx="0">
                  <c:v>3.26</c:v>
                </c:pt>
                <c:pt idx="1">
                  <c:v>2.7</c:v>
                </c:pt>
                <c:pt idx="2">
                  <c:v>5.3</c:v>
                </c:pt>
                <c:pt idx="3">
                  <c:v>7.5</c:v>
                </c:pt>
                <c:pt idx="4" formatCode="0.00">
                  <c:v>12.3</c:v>
                </c:pt>
                <c:pt idx="5" formatCode="0.00">
                  <c:v>18.399999999999999</c:v>
                </c:pt>
                <c:pt idx="6">
                  <c:v>21.13</c:v>
                </c:pt>
                <c:pt idx="7">
                  <c:v>22.44</c:v>
                </c:pt>
                <c:pt idx="8">
                  <c:v>21.4</c:v>
                </c:pt>
                <c:pt idx="9">
                  <c:v>21.4</c:v>
                </c:pt>
                <c:pt idx="10">
                  <c:v>20</c:v>
                </c:pt>
                <c:pt idx="11">
                  <c:v>17.8</c:v>
                </c:pt>
                <c:pt idx="12">
                  <c:v>9.9</c:v>
                </c:pt>
                <c:pt idx="13" formatCode="0.00">
                  <c:v>7.1</c:v>
                </c:pt>
                <c:pt idx="14">
                  <c:v>3.2</c:v>
                </c:pt>
              </c:numCache>
            </c:numRef>
          </c:val>
          <c:smooth val="0"/>
          <c:extLst>
            <c:ext xmlns:c16="http://schemas.microsoft.com/office/drawing/2014/chart" uri="{C3380CC4-5D6E-409C-BE32-E72D297353CC}">
              <c16:uniqueId val="{00000001-7CFA-466E-BBDC-BBF662EBD641}"/>
            </c:ext>
          </c:extLst>
        </c:ser>
        <c:dLbls>
          <c:showLegendKey val="0"/>
          <c:showVal val="0"/>
          <c:showCatName val="0"/>
          <c:showSerName val="0"/>
          <c:showPercent val="0"/>
          <c:showBubbleSize val="0"/>
        </c:dLbls>
        <c:marker val="1"/>
        <c:smooth val="0"/>
        <c:axId val="121037952"/>
        <c:axId val="121039872"/>
      </c:lineChart>
      <c:dateAx>
        <c:axId val="121037952"/>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a:pPr>
            <a:endParaRPr lang="en-US"/>
          </a:p>
        </c:txPr>
        <c:crossAx val="121039872"/>
        <c:crosses val="autoZero"/>
        <c:auto val="1"/>
        <c:lblOffset val="100"/>
        <c:baseTimeUnit val="days"/>
        <c:majorUnit val="30"/>
        <c:majorTimeUnit val="days"/>
        <c:minorUnit val="15"/>
        <c:minorTimeUnit val="days"/>
      </c:dateAx>
      <c:valAx>
        <c:axId val="121039872"/>
        <c:scaling>
          <c:orientation val="minMax"/>
        </c:scaling>
        <c:delete val="0"/>
        <c:axPos val="l"/>
        <c:majorGridlines>
          <c:spPr>
            <a:ln w="3175">
              <a:solidFill>
                <a:srgbClr val="000000"/>
              </a:solidFill>
              <a:prstDash val="solid"/>
            </a:ln>
          </c:spPr>
        </c:majorGridlines>
        <c:min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2103795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1168704845383252"/>
          <c:y val="0.10824453065815999"/>
          <c:w val="0.21788445119058941"/>
          <c:h val="0.18397877207916574"/>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Total Phosphorus [ug/l] Trend</a:t>
            </a:r>
          </a:p>
        </c:rich>
      </c:tx>
      <c:layout>
        <c:manualLayout>
          <c:xMode val="edge"/>
          <c:yMode val="edge"/>
          <c:x val="0.23974763406940686"/>
          <c:y val="3.6423841059602655E-2"/>
        </c:manualLayout>
      </c:layout>
      <c:overlay val="0"/>
      <c:spPr>
        <a:noFill/>
        <a:ln w="25400">
          <a:noFill/>
        </a:ln>
      </c:spPr>
    </c:title>
    <c:autoTitleDeleted val="0"/>
    <c:plotArea>
      <c:layout>
        <c:manualLayout>
          <c:layoutTarget val="inner"/>
          <c:xMode val="edge"/>
          <c:yMode val="edge"/>
          <c:x val="8.8480801335559273E-2"/>
          <c:y val="0.15011037527593821"/>
          <c:w val="0.90150250417360922"/>
          <c:h val="0.71412803532009284"/>
        </c:manualLayout>
      </c:layout>
      <c:barChart>
        <c:barDir val="col"/>
        <c:grouping val="clustered"/>
        <c:varyColors val="0"/>
        <c:ser>
          <c:idx val="0"/>
          <c:order val="0"/>
          <c:tx>
            <c:strRef>
              <c:f>'Annual Reservoir Trends'!$B$11</c:f>
              <c:strCache>
                <c:ptCount val="1"/>
                <c:pt idx="0">
                  <c:v>Top</c:v>
                </c:pt>
              </c:strCache>
            </c:strRef>
          </c:tx>
          <c:spPr>
            <a:solidFill>
              <a:srgbClr val="9999FF"/>
            </a:solidFill>
            <a:ln w="12700">
              <a:solidFill>
                <a:srgbClr val="000000"/>
              </a:solidFill>
              <a:prstDash val="solid"/>
            </a:ln>
          </c:spPr>
          <c:invertIfNegative val="0"/>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Trends'!$C$11:$V$11</c:f>
              <c:numCache>
                <c:formatCode>General</c:formatCode>
                <c:ptCount val="20"/>
                <c:pt idx="0">
                  <c:v>144</c:v>
                </c:pt>
                <c:pt idx="1">
                  <c:v>146</c:v>
                </c:pt>
                <c:pt idx="2">
                  <c:v>175</c:v>
                </c:pt>
                <c:pt idx="3">
                  <c:v>83</c:v>
                </c:pt>
                <c:pt idx="4">
                  <c:v>34</c:v>
                </c:pt>
                <c:pt idx="5">
                  <c:v>29</c:v>
                </c:pt>
                <c:pt idx="6">
                  <c:v>38</c:v>
                </c:pt>
                <c:pt idx="7">
                  <c:v>33</c:v>
                </c:pt>
                <c:pt idx="8">
                  <c:v>34</c:v>
                </c:pt>
                <c:pt idx="9">
                  <c:v>59</c:v>
                </c:pt>
                <c:pt idx="10">
                  <c:v>42</c:v>
                </c:pt>
                <c:pt idx="11">
                  <c:v>46</c:v>
                </c:pt>
                <c:pt idx="12">
                  <c:v>79</c:v>
                </c:pt>
                <c:pt idx="13">
                  <c:v>24</c:v>
                </c:pt>
                <c:pt idx="14" formatCode="0">
                  <c:v>33.021419788316948</c:v>
                </c:pt>
                <c:pt idx="15" formatCode="0">
                  <c:v>66.601427985887796</c:v>
                </c:pt>
                <c:pt idx="16" formatCode="0.0">
                  <c:v>29.742840573556929</c:v>
                </c:pt>
                <c:pt idx="17" formatCode="0.0">
                  <c:v>39.799999999999997</c:v>
                </c:pt>
                <c:pt idx="18" formatCode="0.0">
                  <c:v>34.200000000000003</c:v>
                </c:pt>
                <c:pt idx="19" formatCode="0.0">
                  <c:v>28.3</c:v>
                </c:pt>
              </c:numCache>
            </c:numRef>
          </c:val>
          <c:extLst>
            <c:ext xmlns:c16="http://schemas.microsoft.com/office/drawing/2014/chart" uri="{C3380CC4-5D6E-409C-BE32-E72D297353CC}">
              <c16:uniqueId val="{00000000-784F-4D83-943A-C407CD4A3480}"/>
            </c:ext>
          </c:extLst>
        </c:ser>
        <c:ser>
          <c:idx val="3"/>
          <c:order val="1"/>
          <c:tx>
            <c:strRef>
              <c:f>'Annual Reservoir Trends'!$B$13</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Trends'!$C$13:$V$13</c:f>
              <c:numCache>
                <c:formatCode>General</c:formatCode>
                <c:ptCount val="20"/>
                <c:pt idx="0">
                  <c:v>270</c:v>
                </c:pt>
                <c:pt idx="1">
                  <c:v>201</c:v>
                </c:pt>
                <c:pt idx="2">
                  <c:v>240</c:v>
                </c:pt>
                <c:pt idx="3">
                  <c:v>99</c:v>
                </c:pt>
                <c:pt idx="4">
                  <c:v>52</c:v>
                </c:pt>
                <c:pt idx="5">
                  <c:v>66</c:v>
                </c:pt>
                <c:pt idx="6">
                  <c:v>86</c:v>
                </c:pt>
                <c:pt idx="7">
                  <c:v>69</c:v>
                </c:pt>
                <c:pt idx="8">
                  <c:v>54</c:v>
                </c:pt>
                <c:pt idx="9">
                  <c:v>56</c:v>
                </c:pt>
                <c:pt idx="10">
                  <c:v>64</c:v>
                </c:pt>
                <c:pt idx="11">
                  <c:v>56</c:v>
                </c:pt>
                <c:pt idx="12">
                  <c:v>56</c:v>
                </c:pt>
                <c:pt idx="13">
                  <c:v>44</c:v>
                </c:pt>
                <c:pt idx="14" formatCode="0">
                  <c:v>47.091899981300472</c:v>
                </c:pt>
                <c:pt idx="15" formatCode="0">
                  <c:v>97.33945999875337</c:v>
                </c:pt>
                <c:pt idx="16" formatCode="0.0">
                  <c:v>30.821478699787626</c:v>
                </c:pt>
                <c:pt idx="17" formatCode="0.0">
                  <c:v>62.2</c:v>
                </c:pt>
                <c:pt idx="18" formatCode="0.0">
                  <c:v>35.299999999999997</c:v>
                </c:pt>
                <c:pt idx="19" formatCode="0.0">
                  <c:v>38.9</c:v>
                </c:pt>
              </c:numCache>
            </c:numRef>
          </c:val>
          <c:extLst>
            <c:ext xmlns:c16="http://schemas.microsoft.com/office/drawing/2014/chart" uri="{C3380CC4-5D6E-409C-BE32-E72D297353CC}">
              <c16:uniqueId val="{00000002-784F-4D83-943A-C407CD4A3480}"/>
            </c:ext>
          </c:extLst>
        </c:ser>
        <c:dLbls>
          <c:showLegendKey val="0"/>
          <c:showVal val="0"/>
          <c:showCatName val="0"/>
          <c:showSerName val="0"/>
          <c:showPercent val="0"/>
          <c:showBubbleSize val="0"/>
        </c:dLbls>
        <c:gapWidth val="150"/>
        <c:axId val="51171328"/>
        <c:axId val="51172864"/>
      </c:barChart>
      <c:catAx>
        <c:axId val="5117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172864"/>
        <c:crosses val="autoZero"/>
        <c:auto val="1"/>
        <c:lblAlgn val="ctr"/>
        <c:lblOffset val="100"/>
        <c:tickLblSkip val="1"/>
        <c:tickMarkSkip val="1"/>
        <c:noMultiLvlLbl val="0"/>
      </c:catAx>
      <c:valAx>
        <c:axId val="51172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17132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en-US"/>
          </a:p>
        </c:txPr>
      </c:legendEntry>
      <c:layout>
        <c:manualLayout>
          <c:xMode val="edge"/>
          <c:yMode val="edge"/>
          <c:x val="0.76627718853755267"/>
          <c:y val="0.19536423841059641"/>
          <c:w val="0.22203664605015838"/>
          <c:h val="0.1887417218543096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2010 Temperature Trends </a:t>
            </a:r>
          </a:p>
        </c:rich>
      </c:tx>
      <c:overlay val="1"/>
    </c:title>
    <c:autoTitleDeleted val="0"/>
    <c:plotArea>
      <c:layout>
        <c:manualLayout>
          <c:layoutTarget val="inner"/>
          <c:xMode val="edge"/>
          <c:yMode val="edge"/>
          <c:x val="6.699751861042183E-2"/>
          <c:y val="9.4017355594941746E-2"/>
          <c:w val="0.88213399503719958"/>
          <c:h val="0.814817081822793"/>
        </c:manualLayout>
      </c:layout>
      <c:lineChart>
        <c:grouping val="standard"/>
        <c:varyColors val="0"/>
        <c:ser>
          <c:idx val="0"/>
          <c:order val="0"/>
          <c:tx>
            <c:strRef>
              <c:f>Temperature!$A$6</c:f>
              <c:strCache>
                <c:ptCount val="1"/>
                <c:pt idx="0">
                  <c:v>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Temperature!$B$5:$P$5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Temperature!$B$6:$P$6</c:f>
              <c:numCache>
                <c:formatCode>General</c:formatCode>
                <c:ptCount val="15"/>
                <c:pt idx="0">
                  <c:v>0.84</c:v>
                </c:pt>
                <c:pt idx="1">
                  <c:v>0.7</c:v>
                </c:pt>
                <c:pt idx="2" formatCode="0.00">
                  <c:v>2.4</c:v>
                </c:pt>
                <c:pt idx="3">
                  <c:v>3</c:v>
                </c:pt>
                <c:pt idx="4" formatCode="0.00">
                  <c:v>9.4</c:v>
                </c:pt>
                <c:pt idx="5" formatCode="0.00">
                  <c:v>14.1</c:v>
                </c:pt>
                <c:pt idx="6">
                  <c:v>16.739999999999998</c:v>
                </c:pt>
                <c:pt idx="7">
                  <c:v>15.4</c:v>
                </c:pt>
                <c:pt idx="8">
                  <c:v>16.3</c:v>
                </c:pt>
                <c:pt idx="9">
                  <c:v>19.600000000000001</c:v>
                </c:pt>
                <c:pt idx="10">
                  <c:v>11.3</c:v>
                </c:pt>
                <c:pt idx="11">
                  <c:v>13</c:v>
                </c:pt>
                <c:pt idx="12">
                  <c:v>5.5</c:v>
                </c:pt>
                <c:pt idx="13">
                  <c:v>5.5</c:v>
                </c:pt>
                <c:pt idx="14">
                  <c:v>3.2</c:v>
                </c:pt>
              </c:numCache>
            </c:numRef>
          </c:val>
          <c:smooth val="0"/>
          <c:extLst>
            <c:ext xmlns:c16="http://schemas.microsoft.com/office/drawing/2014/chart" uri="{C3380CC4-5D6E-409C-BE32-E72D297353CC}">
              <c16:uniqueId val="{00000000-2B87-49FE-953B-F09545CC87E1}"/>
            </c:ext>
          </c:extLst>
        </c:ser>
        <c:ser>
          <c:idx val="1"/>
          <c:order val="1"/>
          <c:tx>
            <c:strRef>
              <c:f>Temperature!$A$7</c:f>
              <c:strCache>
                <c:ptCount val="1"/>
                <c:pt idx="0">
                  <c:v>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Temperature!$B$5:$P$5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Temperature!$B$7:$P$7</c:f>
              <c:numCache>
                <c:formatCode>General</c:formatCode>
                <c:ptCount val="15"/>
                <c:pt idx="0">
                  <c:v>-0.03</c:v>
                </c:pt>
                <c:pt idx="1">
                  <c:v>0.1</c:v>
                </c:pt>
                <c:pt idx="2" formatCode="0.00">
                  <c:v>3.4</c:v>
                </c:pt>
                <c:pt idx="3">
                  <c:v>4.7</c:v>
                </c:pt>
                <c:pt idx="4" formatCode="0.00">
                  <c:v>10.6</c:v>
                </c:pt>
                <c:pt idx="5" formatCode="0.00">
                  <c:v>15</c:v>
                </c:pt>
                <c:pt idx="6">
                  <c:v>16.87</c:v>
                </c:pt>
                <c:pt idx="7">
                  <c:v>16.96</c:v>
                </c:pt>
                <c:pt idx="8">
                  <c:v>16.8</c:v>
                </c:pt>
                <c:pt idx="9">
                  <c:v>17.899999999999999</c:v>
                </c:pt>
                <c:pt idx="10">
                  <c:v>11.5</c:v>
                </c:pt>
                <c:pt idx="11">
                  <c:v>12.4</c:v>
                </c:pt>
                <c:pt idx="12">
                  <c:v>3.3</c:v>
                </c:pt>
                <c:pt idx="13">
                  <c:v>2.5</c:v>
                </c:pt>
                <c:pt idx="14">
                  <c:v>3.4</c:v>
                </c:pt>
              </c:numCache>
            </c:numRef>
          </c:val>
          <c:smooth val="0"/>
          <c:extLst>
            <c:ext xmlns:c16="http://schemas.microsoft.com/office/drawing/2014/chart" uri="{C3380CC4-5D6E-409C-BE32-E72D297353CC}">
              <c16:uniqueId val="{00000001-2B87-49FE-953B-F09545CC87E1}"/>
            </c:ext>
          </c:extLst>
        </c:ser>
        <c:ser>
          <c:idx val="2"/>
          <c:order val="2"/>
          <c:tx>
            <c:strRef>
              <c:f>Temperature!$A$8</c:f>
              <c:strCache>
                <c:ptCount val="1"/>
                <c:pt idx="0">
                  <c:v>Bear Creek Discharge</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cat>
            <c:numRef>
              <c:f>Temperature!$B$5:$P$5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Temperature!$B$8:$P$8</c:f>
              <c:numCache>
                <c:formatCode>General</c:formatCode>
                <c:ptCount val="15"/>
                <c:pt idx="0">
                  <c:v>3.3</c:v>
                </c:pt>
                <c:pt idx="1">
                  <c:v>2.1</c:v>
                </c:pt>
                <c:pt idx="2" formatCode="0.00">
                  <c:v>5.5</c:v>
                </c:pt>
                <c:pt idx="3">
                  <c:v>7.8</c:v>
                </c:pt>
                <c:pt idx="4" formatCode="0.00">
                  <c:v>13.7</c:v>
                </c:pt>
                <c:pt idx="5" formatCode="0.00">
                  <c:v>19.3</c:v>
                </c:pt>
                <c:pt idx="6">
                  <c:v>22.48</c:v>
                </c:pt>
                <c:pt idx="7">
                  <c:v>22.74</c:v>
                </c:pt>
                <c:pt idx="8">
                  <c:v>22.1</c:v>
                </c:pt>
                <c:pt idx="9">
                  <c:v>22</c:v>
                </c:pt>
                <c:pt idx="10">
                  <c:v>18.8</c:v>
                </c:pt>
                <c:pt idx="11">
                  <c:v>17.399999999999999</c:v>
                </c:pt>
                <c:pt idx="12">
                  <c:v>11.3</c:v>
                </c:pt>
                <c:pt idx="13">
                  <c:v>7.5</c:v>
                </c:pt>
                <c:pt idx="14">
                  <c:v>4.2</c:v>
                </c:pt>
              </c:numCache>
            </c:numRef>
          </c:val>
          <c:smooth val="0"/>
          <c:extLst>
            <c:ext xmlns:c16="http://schemas.microsoft.com/office/drawing/2014/chart" uri="{C3380CC4-5D6E-409C-BE32-E72D297353CC}">
              <c16:uniqueId val="{00000002-2B87-49FE-953B-F09545CC87E1}"/>
            </c:ext>
          </c:extLst>
        </c:ser>
        <c:dLbls>
          <c:showLegendKey val="0"/>
          <c:showVal val="0"/>
          <c:showCatName val="0"/>
          <c:showSerName val="0"/>
          <c:showPercent val="0"/>
          <c:showBubbleSize val="0"/>
        </c:dLbls>
        <c:marker val="1"/>
        <c:smooth val="0"/>
        <c:axId val="121217024"/>
        <c:axId val="121218944"/>
      </c:lineChart>
      <c:dateAx>
        <c:axId val="121217024"/>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1218944"/>
        <c:crosses val="autoZero"/>
        <c:auto val="1"/>
        <c:lblOffset val="100"/>
        <c:baseTimeUnit val="days"/>
        <c:majorUnit val="30"/>
        <c:majorTimeUnit val="days"/>
      </c:dateAx>
      <c:valAx>
        <c:axId val="121218944"/>
        <c:scaling>
          <c:orientation val="minMax"/>
        </c:scaling>
        <c:delete val="0"/>
        <c:axPos val="l"/>
        <c:majorGridlines>
          <c:spPr>
            <a:ln w="3175">
              <a:solidFill>
                <a:srgbClr val="000000"/>
              </a:solidFill>
              <a:prstDash val="solid"/>
            </a:ln>
          </c:spPr>
        </c:majorGridlines>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21702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9.4238107155920944E-2"/>
          <c:y val="6.5253702492964555E-2"/>
          <c:w val="0.22961662778263828"/>
          <c:h val="0.1904929645527164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2010 Bear Creek Reservoir Specific Conductance Trend </a:t>
            </a:r>
          </a:p>
        </c:rich>
      </c:tx>
      <c:layout>
        <c:manualLayout>
          <c:xMode val="edge"/>
          <c:yMode val="edge"/>
          <c:x val="0.19840874864398247"/>
          <c:y val="4.3226937469507197E-2"/>
        </c:manualLayout>
      </c:layout>
      <c:overlay val="0"/>
      <c:spPr>
        <a:noFill/>
        <a:ln w="25400">
          <a:noFill/>
        </a:ln>
      </c:spPr>
    </c:title>
    <c:autoTitleDeleted val="0"/>
    <c:plotArea>
      <c:layout>
        <c:manualLayout>
          <c:layoutTarget val="inner"/>
          <c:xMode val="edge"/>
          <c:yMode val="edge"/>
          <c:x val="0.11090726716485085"/>
          <c:y val="0.18627510427869778"/>
          <c:w val="0.84248374208001053"/>
          <c:h val="0.70588460568769684"/>
        </c:manualLayout>
      </c:layout>
      <c:lineChart>
        <c:grouping val="standard"/>
        <c:varyColors val="0"/>
        <c:ser>
          <c:idx val="1"/>
          <c:order val="0"/>
          <c:tx>
            <c:strRef>
              <c:f>Conductance!$A$9</c:f>
              <c:strCache>
                <c:ptCount val="1"/>
                <c:pt idx="0">
                  <c:v>Reservoir (-1m)</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Conductance!$B$9:$P$9</c:f>
              <c:numCache>
                <c:formatCode>General</c:formatCode>
                <c:ptCount val="15"/>
                <c:pt idx="0">
                  <c:v>0.52229999999999999</c:v>
                </c:pt>
                <c:pt idx="1">
                  <c:v>0.52</c:v>
                </c:pt>
                <c:pt idx="2">
                  <c:v>0.65200000000000002</c:v>
                </c:pt>
                <c:pt idx="3">
                  <c:v>0.35699999999999998</c:v>
                </c:pt>
                <c:pt idx="4">
                  <c:v>0.28199999999999997</c:v>
                </c:pt>
                <c:pt idx="5" formatCode="0.00">
                  <c:v>0.27400000000000002</c:v>
                </c:pt>
                <c:pt idx="6">
                  <c:v>0.28799999999999998</c:v>
                </c:pt>
                <c:pt idx="7">
                  <c:v>0.31559999999999999</c:v>
                </c:pt>
                <c:pt idx="8">
                  <c:v>0.28399999999999997</c:v>
                </c:pt>
                <c:pt idx="9">
                  <c:v>0.25700000000000001</c:v>
                </c:pt>
                <c:pt idx="10">
                  <c:v>0.25700000000000001</c:v>
                </c:pt>
                <c:pt idx="11">
                  <c:v>0.26800000000000002</c:v>
                </c:pt>
                <c:pt idx="12">
                  <c:v>0.311</c:v>
                </c:pt>
                <c:pt idx="13">
                  <c:v>0.34699999999999998</c:v>
                </c:pt>
                <c:pt idx="14">
                  <c:v>0.38100000000000001</c:v>
                </c:pt>
              </c:numCache>
            </c:numRef>
          </c:val>
          <c:smooth val="0"/>
          <c:extLst>
            <c:ext xmlns:c16="http://schemas.microsoft.com/office/drawing/2014/chart" uri="{C3380CC4-5D6E-409C-BE32-E72D297353CC}">
              <c16:uniqueId val="{00000000-A460-4368-B239-D44A535F108D}"/>
            </c:ext>
          </c:extLst>
        </c:ser>
        <c:ser>
          <c:idx val="0"/>
          <c:order val="1"/>
          <c:tx>
            <c:strRef>
              <c:f>Conductance!$A$13</c:f>
              <c:strCache>
                <c:ptCount val="1"/>
                <c:pt idx="0">
                  <c:v>Reservoir (-5m)</c:v>
                </c:pt>
              </c:strCache>
            </c:strRef>
          </c:tx>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Conductance!$B$13:$P$13</c:f>
              <c:numCache>
                <c:formatCode>General</c:formatCode>
                <c:ptCount val="15"/>
                <c:pt idx="0">
                  <c:v>0.68610000000000004</c:v>
                </c:pt>
                <c:pt idx="1">
                  <c:v>0.69799999999999995</c:v>
                </c:pt>
                <c:pt idx="2">
                  <c:v>0.65400000000000003</c:v>
                </c:pt>
                <c:pt idx="3">
                  <c:v>0.36299999999999999</c:v>
                </c:pt>
                <c:pt idx="4">
                  <c:v>0.27700000000000002</c:v>
                </c:pt>
                <c:pt idx="5" formatCode="0.00">
                  <c:v>0.27400000000000002</c:v>
                </c:pt>
                <c:pt idx="6">
                  <c:v>0.29299999999999998</c:v>
                </c:pt>
                <c:pt idx="7">
                  <c:v>0.31640000000000001</c:v>
                </c:pt>
                <c:pt idx="8">
                  <c:v>0.27700000000000002</c:v>
                </c:pt>
                <c:pt idx="9">
                  <c:v>0.25600000000000001</c:v>
                </c:pt>
                <c:pt idx="10">
                  <c:v>0.25700000000000001</c:v>
                </c:pt>
                <c:pt idx="11">
                  <c:v>0.26700000000000002</c:v>
                </c:pt>
                <c:pt idx="12">
                  <c:v>0.312</c:v>
                </c:pt>
                <c:pt idx="13">
                  <c:v>0.34799999999999998</c:v>
                </c:pt>
                <c:pt idx="14">
                  <c:v>0.38300000000000001</c:v>
                </c:pt>
              </c:numCache>
            </c:numRef>
          </c:val>
          <c:smooth val="0"/>
          <c:extLst>
            <c:ext xmlns:c16="http://schemas.microsoft.com/office/drawing/2014/chart" uri="{C3380CC4-5D6E-409C-BE32-E72D297353CC}">
              <c16:uniqueId val="{00000001-A460-4368-B239-D44A535F108D}"/>
            </c:ext>
          </c:extLst>
        </c:ser>
        <c:ser>
          <c:idx val="2"/>
          <c:order val="2"/>
          <c:tx>
            <c:strRef>
              <c:f>Conductance!$A$17</c:f>
              <c:strCache>
                <c:ptCount val="1"/>
                <c:pt idx="0">
                  <c:v>Reservoir (-9m)</c:v>
                </c:pt>
              </c:strCache>
            </c:strRef>
          </c:tx>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Conductance!$B$17:$P$17</c:f>
              <c:numCache>
                <c:formatCode>General</c:formatCode>
                <c:ptCount val="15"/>
                <c:pt idx="1">
                  <c:v>0.76500000000000001</c:v>
                </c:pt>
                <c:pt idx="2">
                  <c:v>0.73899999999999999</c:v>
                </c:pt>
                <c:pt idx="3">
                  <c:v>0.372</c:v>
                </c:pt>
                <c:pt idx="5" formatCode="0.00">
                  <c:v>0.28100000000000003</c:v>
                </c:pt>
                <c:pt idx="6">
                  <c:v>0.29199999999999998</c:v>
                </c:pt>
                <c:pt idx="7">
                  <c:v>0.31509999999999999</c:v>
                </c:pt>
                <c:pt idx="8">
                  <c:v>0.27600000000000002</c:v>
                </c:pt>
                <c:pt idx="9">
                  <c:v>0.25600000000000001</c:v>
                </c:pt>
                <c:pt idx="10">
                  <c:v>0.25700000000000001</c:v>
                </c:pt>
                <c:pt idx="11">
                  <c:v>0.26700000000000002</c:v>
                </c:pt>
                <c:pt idx="12">
                  <c:v>0.311</c:v>
                </c:pt>
                <c:pt idx="13">
                  <c:v>0.34899999999999998</c:v>
                </c:pt>
                <c:pt idx="14">
                  <c:v>0.39400000000000002</c:v>
                </c:pt>
              </c:numCache>
            </c:numRef>
          </c:val>
          <c:smooth val="0"/>
          <c:extLst>
            <c:ext xmlns:c16="http://schemas.microsoft.com/office/drawing/2014/chart" uri="{C3380CC4-5D6E-409C-BE32-E72D297353CC}">
              <c16:uniqueId val="{00000002-A460-4368-B239-D44A535F108D}"/>
            </c:ext>
          </c:extLst>
        </c:ser>
        <c:dLbls>
          <c:showLegendKey val="0"/>
          <c:showVal val="0"/>
          <c:showCatName val="0"/>
          <c:showSerName val="0"/>
          <c:showPercent val="0"/>
          <c:showBubbleSize val="0"/>
        </c:dLbls>
        <c:marker val="1"/>
        <c:smooth val="0"/>
        <c:axId val="121290112"/>
        <c:axId val="121291904"/>
      </c:lineChart>
      <c:dateAx>
        <c:axId val="121290112"/>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a:pPr>
            <a:endParaRPr lang="en-US"/>
          </a:p>
        </c:txPr>
        <c:crossAx val="121291904"/>
        <c:crosses val="autoZero"/>
        <c:auto val="1"/>
        <c:lblOffset val="100"/>
        <c:baseTimeUnit val="days"/>
        <c:majorUnit val="30"/>
        <c:majorTimeUnit val="days"/>
        <c:minorUnit val="15"/>
        <c:minorTimeUnit val="days"/>
      </c:dateAx>
      <c:valAx>
        <c:axId val="121291904"/>
        <c:scaling>
          <c:orientation val="minMax"/>
        </c:scaling>
        <c:delete val="0"/>
        <c:axPos val="l"/>
        <c:majorGridlines>
          <c:spPr>
            <a:ln w="3175">
              <a:solidFill>
                <a:srgbClr val="000000"/>
              </a:solidFill>
              <a:prstDash val="solid"/>
            </a:ln>
          </c:spPr>
        </c:majorGridlines>
        <c:minorGridlines/>
        <c:title>
          <c:tx>
            <c:rich>
              <a:bodyPr/>
              <a:lstStyle/>
              <a:p>
                <a:pPr>
                  <a:defRPr/>
                </a:pPr>
                <a:r>
                  <a:rPr lang="en-US"/>
                  <a:t>Speciic Conductance uS/cm</a:t>
                </a:r>
              </a:p>
            </c:rich>
          </c:tx>
          <c:layout>
            <c:manualLayout>
              <c:xMode val="edge"/>
              <c:yMode val="edge"/>
              <c:x val="2.2598841811440236E-2"/>
              <c:y val="0.287582728629519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2129011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prstDash val="solid"/>
        </a:ln>
      </c:spPr>
      <c:txPr>
        <a:bodyPr/>
        <a:lstStyle/>
        <a:p>
          <a:pPr>
            <a:defRPr sz="105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Watershed Specific Conductance Trends</a:t>
            </a:r>
          </a:p>
        </c:rich>
      </c:tx>
      <c:layout>
        <c:manualLayout>
          <c:xMode val="edge"/>
          <c:yMode val="edge"/>
          <c:x val="0.34438502673797644"/>
          <c:y val="3.7288135593221666E-2"/>
        </c:manualLayout>
      </c:layout>
      <c:overlay val="0"/>
      <c:spPr>
        <a:noFill/>
        <a:ln w="25400">
          <a:noFill/>
        </a:ln>
      </c:spPr>
    </c:title>
    <c:autoTitleDeleted val="0"/>
    <c:plotArea>
      <c:layout>
        <c:manualLayout>
          <c:layoutTarget val="inner"/>
          <c:xMode val="edge"/>
          <c:yMode val="edge"/>
          <c:x val="0.11836750420852493"/>
          <c:y val="0.17966131432288521"/>
          <c:w val="0.82176979933274752"/>
          <c:h val="0.64745869878624651"/>
        </c:manualLayout>
      </c:layout>
      <c:lineChart>
        <c:grouping val="standard"/>
        <c:varyColors val="0"/>
        <c:ser>
          <c:idx val="0"/>
          <c:order val="0"/>
          <c:tx>
            <c:strRef>
              <c:f>Conductance!$A$5</c:f>
              <c:strCache>
                <c:ptCount val="1"/>
                <c:pt idx="0">
                  <c:v>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Conductance!$B$5:$P$5</c:f>
              <c:numCache>
                <c:formatCode>General</c:formatCode>
                <c:ptCount val="15"/>
                <c:pt idx="0">
                  <c:v>1.19</c:v>
                </c:pt>
                <c:pt idx="1">
                  <c:v>1.24</c:v>
                </c:pt>
                <c:pt idx="2" formatCode="0.00">
                  <c:v>0.9</c:v>
                </c:pt>
                <c:pt idx="3">
                  <c:v>0.34799999999999998</c:v>
                </c:pt>
                <c:pt idx="4" formatCode="0.00">
                  <c:v>0.34</c:v>
                </c:pt>
                <c:pt idx="5" formatCode="0.00">
                  <c:v>0.71</c:v>
                </c:pt>
                <c:pt idx="6">
                  <c:v>1.1439999999999999</c:v>
                </c:pt>
                <c:pt idx="7">
                  <c:v>1.1200000000000001</c:v>
                </c:pt>
                <c:pt idx="8">
                  <c:v>0.99</c:v>
                </c:pt>
                <c:pt idx="9">
                  <c:v>1.6</c:v>
                </c:pt>
                <c:pt idx="10">
                  <c:v>2.0499999999999998</c:v>
                </c:pt>
                <c:pt idx="11">
                  <c:v>2.42</c:v>
                </c:pt>
                <c:pt idx="12">
                  <c:v>1.3</c:v>
                </c:pt>
                <c:pt idx="13">
                  <c:v>1.67</c:v>
                </c:pt>
                <c:pt idx="14">
                  <c:v>1.85</c:v>
                </c:pt>
              </c:numCache>
            </c:numRef>
          </c:val>
          <c:smooth val="0"/>
          <c:extLst>
            <c:ext xmlns:c16="http://schemas.microsoft.com/office/drawing/2014/chart" uri="{C3380CC4-5D6E-409C-BE32-E72D297353CC}">
              <c16:uniqueId val="{00000000-DBC8-4DBE-A45D-E41FB0DEC4F0}"/>
            </c:ext>
          </c:extLst>
        </c:ser>
        <c:ser>
          <c:idx val="1"/>
          <c:order val="1"/>
          <c:tx>
            <c:strRef>
              <c:f>Conductance!$A$6</c:f>
              <c:strCache>
                <c:ptCount val="1"/>
                <c:pt idx="0">
                  <c:v>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Conductance!$B$6:$P$6</c:f>
              <c:numCache>
                <c:formatCode>General</c:formatCode>
                <c:ptCount val="15"/>
                <c:pt idx="0">
                  <c:v>0.24129999999999999</c:v>
                </c:pt>
                <c:pt idx="1">
                  <c:v>0.432</c:v>
                </c:pt>
                <c:pt idx="2">
                  <c:v>0.46100000000000002</c:v>
                </c:pt>
                <c:pt idx="3">
                  <c:v>0.28799999999999998</c:v>
                </c:pt>
                <c:pt idx="4" formatCode="0.00">
                  <c:v>0.17100000000000001</c:v>
                </c:pt>
                <c:pt idx="5" formatCode="0.00">
                  <c:v>0.19</c:v>
                </c:pt>
                <c:pt idx="6">
                  <c:v>0.247</c:v>
                </c:pt>
                <c:pt idx="7">
                  <c:v>0.26910000000000001</c:v>
                </c:pt>
                <c:pt idx="8">
                  <c:v>0.157</c:v>
                </c:pt>
                <c:pt idx="9">
                  <c:v>0.21099999999999999</c:v>
                </c:pt>
                <c:pt idx="10">
                  <c:v>0.219</c:v>
                </c:pt>
                <c:pt idx="11">
                  <c:v>0.219</c:v>
                </c:pt>
                <c:pt idx="12">
                  <c:v>0.17599999999999999</c:v>
                </c:pt>
                <c:pt idx="13">
                  <c:v>0.28899999999999998</c:v>
                </c:pt>
                <c:pt idx="14">
                  <c:v>0.59799999999999998</c:v>
                </c:pt>
              </c:numCache>
            </c:numRef>
          </c:val>
          <c:smooth val="0"/>
          <c:extLst>
            <c:ext xmlns:c16="http://schemas.microsoft.com/office/drawing/2014/chart" uri="{C3380CC4-5D6E-409C-BE32-E72D297353CC}">
              <c16:uniqueId val="{00000001-DBC8-4DBE-A45D-E41FB0DEC4F0}"/>
            </c:ext>
          </c:extLst>
        </c:ser>
        <c:ser>
          <c:idx val="2"/>
          <c:order val="2"/>
          <c:tx>
            <c:strRef>
              <c:f>Conductance!$A$7</c:f>
              <c:strCache>
                <c:ptCount val="1"/>
                <c:pt idx="0">
                  <c:v>Bear Creek Discharge</c:v>
                </c:pt>
              </c:strCache>
            </c:strRef>
          </c:tx>
          <c:spPr>
            <a:ln w="25400">
              <a:solidFill>
                <a:srgbClr val="00B050"/>
              </a:solidFill>
              <a:prstDash val="solid"/>
            </a:ln>
          </c:spPr>
          <c:marker>
            <c:symbol val="triangle"/>
            <c:size val="7"/>
            <c:spPr>
              <a:solidFill>
                <a:srgbClr val="00B050"/>
              </a:solidFill>
              <a:ln>
                <a:solidFill>
                  <a:srgbClr val="FFFF00"/>
                </a:solidFill>
                <a:prstDash val="solid"/>
              </a:ln>
            </c:spPr>
          </c:marker>
          <c:cat>
            <c:numRef>
              <c:f>Conductance!$B$4:$P$4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Conductance!$B$7:$P$7</c:f>
              <c:numCache>
                <c:formatCode>General</c:formatCode>
                <c:ptCount val="15"/>
                <c:pt idx="0">
                  <c:v>0.48899999999999999</c:v>
                </c:pt>
                <c:pt idx="1">
                  <c:v>0.51900000000000002</c:v>
                </c:pt>
                <c:pt idx="2">
                  <c:v>0.65900000000000003</c:v>
                </c:pt>
                <c:pt idx="3">
                  <c:v>0.35899999999999999</c:v>
                </c:pt>
                <c:pt idx="4" formatCode="0.00">
                  <c:v>0.28599999999999998</c:v>
                </c:pt>
                <c:pt idx="5" formatCode="0.00">
                  <c:v>0.27400000000000002</c:v>
                </c:pt>
                <c:pt idx="6">
                  <c:v>0.29299999999999998</c:v>
                </c:pt>
                <c:pt idx="7">
                  <c:v>0.31509999999999999</c:v>
                </c:pt>
                <c:pt idx="8">
                  <c:v>0.28499999999999998</c:v>
                </c:pt>
                <c:pt idx="9">
                  <c:v>0.25800000000000001</c:v>
                </c:pt>
                <c:pt idx="10">
                  <c:v>0.254</c:v>
                </c:pt>
                <c:pt idx="11">
                  <c:v>0.27400000000000002</c:v>
                </c:pt>
                <c:pt idx="12">
                  <c:v>0.309</c:v>
                </c:pt>
                <c:pt idx="13">
                  <c:v>0.34499999999999997</c:v>
                </c:pt>
                <c:pt idx="14">
                  <c:v>0.36</c:v>
                </c:pt>
              </c:numCache>
            </c:numRef>
          </c:val>
          <c:smooth val="0"/>
          <c:extLst>
            <c:ext xmlns:c16="http://schemas.microsoft.com/office/drawing/2014/chart" uri="{C3380CC4-5D6E-409C-BE32-E72D297353CC}">
              <c16:uniqueId val="{00000002-DBC8-4DBE-A45D-E41FB0DEC4F0}"/>
            </c:ext>
          </c:extLst>
        </c:ser>
        <c:dLbls>
          <c:showLegendKey val="0"/>
          <c:showVal val="0"/>
          <c:showCatName val="0"/>
          <c:showSerName val="0"/>
          <c:showPercent val="0"/>
          <c:showBubbleSize val="0"/>
        </c:dLbls>
        <c:marker val="1"/>
        <c:smooth val="0"/>
        <c:axId val="121329920"/>
        <c:axId val="121344384"/>
      </c:lineChart>
      <c:dateAx>
        <c:axId val="12132992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1344384"/>
        <c:crosses val="autoZero"/>
        <c:auto val="1"/>
        <c:lblOffset val="100"/>
        <c:baseTimeUnit val="days"/>
        <c:majorUnit val="31"/>
        <c:majorTimeUnit val="days"/>
        <c:minorUnit val="1"/>
        <c:minorTimeUnit val="days"/>
      </c:dateAx>
      <c:valAx>
        <c:axId val="121344384"/>
        <c:scaling>
          <c:orientation val="minMax"/>
        </c:scaling>
        <c:delete val="0"/>
        <c:axPos val="l"/>
        <c:majorGridlines>
          <c:spPr>
            <a:ln w="3175">
              <a:solidFill>
                <a:srgbClr val="000000"/>
              </a:solidFill>
              <a:prstDash val="solid"/>
            </a:ln>
          </c:spPr>
        </c:majorGridlines>
        <c:minorGridlines/>
        <c:title>
          <c:tx>
            <c:rich>
              <a:bodyPr/>
              <a:lstStyle/>
              <a:p>
                <a:pPr>
                  <a:defRPr sz="975" b="1" i="0" u="none" strike="noStrike" baseline="0">
                    <a:solidFill>
                      <a:srgbClr val="000000"/>
                    </a:solidFill>
                    <a:latin typeface="Arial"/>
                    <a:ea typeface="Arial"/>
                    <a:cs typeface="Arial"/>
                  </a:defRPr>
                </a:pPr>
                <a:r>
                  <a:rPr lang="en-US"/>
                  <a:t>Specific Conducatnace uS/cm</a:t>
                </a:r>
              </a:p>
            </c:rich>
          </c:tx>
          <c:layout>
            <c:manualLayout>
              <c:xMode val="edge"/>
              <c:yMode val="edge"/>
              <c:x val="3.5374064872906931E-2"/>
              <c:y val="0.172881711819920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132992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18865083939979221"/>
          <c:y val="9.5831809872030244E-2"/>
          <c:w val="0.6048388649532016"/>
          <c:h val="0.1060698864254871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0">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2010 Bear Creek Watershed pH Trends</a:t>
            </a:r>
          </a:p>
        </c:rich>
      </c:tx>
      <c:layout>
        <c:manualLayout>
          <c:xMode val="edge"/>
          <c:yMode val="edge"/>
          <c:x val="0.32092426187422568"/>
          <c:y val="3.133159268929641E-2"/>
        </c:manualLayout>
      </c:layout>
      <c:overlay val="0"/>
      <c:spPr>
        <a:noFill/>
        <a:ln w="25400">
          <a:noFill/>
        </a:ln>
      </c:spPr>
    </c:title>
    <c:autoTitleDeleted val="0"/>
    <c:plotArea>
      <c:layout>
        <c:manualLayout>
          <c:layoutTarget val="inner"/>
          <c:xMode val="edge"/>
          <c:yMode val="edge"/>
          <c:x val="8.1914936167582567E-2"/>
          <c:y val="9.9270108301308752E-2"/>
          <c:w val="0.8941575931463015"/>
          <c:h val="0.76757061084090061"/>
        </c:manualLayout>
      </c:layout>
      <c:lineChart>
        <c:grouping val="standard"/>
        <c:varyColors val="0"/>
        <c:ser>
          <c:idx val="2"/>
          <c:order val="0"/>
          <c:tx>
            <c:strRef>
              <c:f>pH!$A$5</c:f>
              <c:strCache>
                <c:ptCount val="1"/>
                <c:pt idx="0">
                  <c:v>Turkey Creek Inflow</c:v>
                </c:pt>
              </c:strCache>
            </c:strRef>
          </c:tx>
          <c:spPr>
            <a:ln w="31750">
              <a:solidFill>
                <a:srgbClr val="FF0000"/>
              </a:solidFill>
              <a:prstDash val="solid"/>
            </a:ln>
          </c:spPr>
          <c:marker>
            <c:symbol val="triangle"/>
            <c:size val="7"/>
            <c:spPr>
              <a:solidFill>
                <a:srgbClr val="FFFF00"/>
              </a:solidFill>
              <a:ln>
                <a:solidFill>
                  <a:srgbClr val="FFFF00"/>
                </a:solidFill>
                <a:prstDash val="solid"/>
              </a:ln>
            </c:spPr>
          </c:marker>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pH!$B$5:$P$5</c:f>
              <c:numCache>
                <c:formatCode>General</c:formatCode>
                <c:ptCount val="15"/>
                <c:pt idx="0">
                  <c:v>7.64</c:v>
                </c:pt>
                <c:pt idx="1">
                  <c:v>8.17</c:v>
                </c:pt>
                <c:pt idx="2" formatCode="0.00">
                  <c:v>8.3800000000000008</c:v>
                </c:pt>
                <c:pt idx="3">
                  <c:v>7.83</c:v>
                </c:pt>
                <c:pt idx="4" formatCode="0.00">
                  <c:v>8</c:v>
                </c:pt>
                <c:pt idx="5" formatCode="0.00">
                  <c:v>8.14</c:v>
                </c:pt>
                <c:pt idx="6">
                  <c:v>8.3000000000000007</c:v>
                </c:pt>
                <c:pt idx="7">
                  <c:v>8.42</c:v>
                </c:pt>
                <c:pt idx="8">
                  <c:v>8.6300000000000008</c:v>
                </c:pt>
                <c:pt idx="9">
                  <c:v>8.23</c:v>
                </c:pt>
                <c:pt idx="10">
                  <c:v>7.89</c:v>
                </c:pt>
                <c:pt idx="11">
                  <c:v>7.63</c:v>
                </c:pt>
                <c:pt idx="12">
                  <c:v>8.3699999999999992</c:v>
                </c:pt>
                <c:pt idx="13">
                  <c:v>7.95</c:v>
                </c:pt>
                <c:pt idx="14">
                  <c:v>7.15</c:v>
                </c:pt>
              </c:numCache>
            </c:numRef>
          </c:val>
          <c:smooth val="0"/>
          <c:extLst>
            <c:ext xmlns:c16="http://schemas.microsoft.com/office/drawing/2014/chart" uri="{C3380CC4-5D6E-409C-BE32-E72D297353CC}">
              <c16:uniqueId val="{00000000-28CF-412C-9678-3D90E6C5F30F}"/>
            </c:ext>
          </c:extLst>
        </c:ser>
        <c:ser>
          <c:idx val="3"/>
          <c:order val="1"/>
          <c:tx>
            <c:strRef>
              <c:f>pH!$A$6</c:f>
              <c:strCache>
                <c:ptCount val="1"/>
                <c:pt idx="0">
                  <c:v>Bear Creek Inflow</c:v>
                </c:pt>
              </c:strCache>
            </c:strRef>
          </c:tx>
          <c:spPr>
            <a:ln w="38100">
              <a:solidFill>
                <a:srgbClr val="00FFFF"/>
              </a:solidFill>
              <a:prstDash val="solid"/>
            </a:ln>
          </c:spPr>
          <c:marker>
            <c:symbol val="x"/>
            <c:size val="9"/>
            <c:spPr>
              <a:noFill/>
              <a:ln>
                <a:solidFill>
                  <a:srgbClr val="00FFFF"/>
                </a:solidFill>
                <a:prstDash val="solid"/>
              </a:ln>
            </c:spPr>
          </c:marker>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pH!$B$6:$P$6</c:f>
              <c:numCache>
                <c:formatCode>General</c:formatCode>
                <c:ptCount val="15"/>
                <c:pt idx="0">
                  <c:v>7.85</c:v>
                </c:pt>
                <c:pt idx="1">
                  <c:v>8.14</c:v>
                </c:pt>
                <c:pt idx="2" formatCode="0.00">
                  <c:v>8.8800000000000008</c:v>
                </c:pt>
                <c:pt idx="3">
                  <c:v>8.07</c:v>
                </c:pt>
                <c:pt idx="4" formatCode="0.00">
                  <c:v>7.89</c:v>
                </c:pt>
                <c:pt idx="5" formatCode="0.00">
                  <c:v>8.42</c:v>
                </c:pt>
                <c:pt idx="6">
                  <c:v>8.1199999999999992</c:v>
                </c:pt>
                <c:pt idx="7">
                  <c:v>8.3000000000000007</c:v>
                </c:pt>
                <c:pt idx="8">
                  <c:v>8.7100000000000009</c:v>
                </c:pt>
                <c:pt idx="9">
                  <c:v>8.2799999999999994</c:v>
                </c:pt>
                <c:pt idx="10">
                  <c:v>8.5</c:v>
                </c:pt>
                <c:pt idx="11">
                  <c:v>7.99</c:v>
                </c:pt>
                <c:pt idx="12">
                  <c:v>8.5399999999999991</c:v>
                </c:pt>
                <c:pt idx="13">
                  <c:v>8.31</c:v>
                </c:pt>
                <c:pt idx="14">
                  <c:v>7.5</c:v>
                </c:pt>
              </c:numCache>
            </c:numRef>
          </c:val>
          <c:smooth val="0"/>
          <c:extLst>
            <c:ext xmlns:c16="http://schemas.microsoft.com/office/drawing/2014/chart" uri="{C3380CC4-5D6E-409C-BE32-E72D297353CC}">
              <c16:uniqueId val="{00000001-28CF-412C-9678-3D90E6C5F30F}"/>
            </c:ext>
          </c:extLst>
        </c:ser>
        <c:ser>
          <c:idx val="4"/>
          <c:order val="2"/>
          <c:tx>
            <c:strRef>
              <c:f>pH!$A$7</c:f>
              <c:strCache>
                <c:ptCount val="1"/>
                <c:pt idx="0">
                  <c:v>Reservoir Discharge</c:v>
                </c:pt>
              </c:strCache>
            </c:strRef>
          </c:tx>
          <c:spPr>
            <a:ln w="25400">
              <a:solidFill>
                <a:srgbClr val="800080"/>
              </a:solidFill>
              <a:prstDash val="solid"/>
            </a:ln>
          </c:spPr>
          <c:marker>
            <c:symbol val="star"/>
            <c:size val="7"/>
            <c:spPr>
              <a:noFill/>
              <a:ln>
                <a:solidFill>
                  <a:srgbClr val="800080"/>
                </a:solidFill>
                <a:prstDash val="solid"/>
              </a:ln>
            </c:spPr>
          </c:marker>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pH!$B$7:$P$7</c:f>
              <c:numCache>
                <c:formatCode>General</c:formatCode>
                <c:ptCount val="15"/>
                <c:pt idx="0">
                  <c:v>7.66</c:v>
                </c:pt>
                <c:pt idx="1">
                  <c:v>8.35</c:v>
                </c:pt>
                <c:pt idx="2" formatCode="0.00">
                  <c:v>8.3699999999999992</c:v>
                </c:pt>
                <c:pt idx="3">
                  <c:v>8.09</c:v>
                </c:pt>
                <c:pt idx="4" formatCode="0.00">
                  <c:v>8.18</c:v>
                </c:pt>
                <c:pt idx="5" formatCode="0.00">
                  <c:v>8.25</c:v>
                </c:pt>
                <c:pt idx="6">
                  <c:v>8.5399999999999991</c:v>
                </c:pt>
                <c:pt idx="7">
                  <c:v>8.4499999999999993</c:v>
                </c:pt>
                <c:pt idx="8">
                  <c:v>8.6300000000000008</c:v>
                </c:pt>
                <c:pt idx="9">
                  <c:v>8.57</c:v>
                </c:pt>
                <c:pt idx="10">
                  <c:v>9.0399999999999991</c:v>
                </c:pt>
                <c:pt idx="11">
                  <c:v>8.25</c:v>
                </c:pt>
                <c:pt idx="12">
                  <c:v>8.77</c:v>
                </c:pt>
                <c:pt idx="13">
                  <c:v>8.5</c:v>
                </c:pt>
                <c:pt idx="14">
                  <c:v>8.1999999999999993</c:v>
                </c:pt>
              </c:numCache>
            </c:numRef>
          </c:val>
          <c:smooth val="0"/>
          <c:extLst>
            <c:ext xmlns:c16="http://schemas.microsoft.com/office/drawing/2014/chart" uri="{C3380CC4-5D6E-409C-BE32-E72D297353CC}">
              <c16:uniqueId val="{00000002-28CF-412C-9678-3D90E6C5F30F}"/>
            </c:ext>
          </c:extLst>
        </c:ser>
        <c:dLbls>
          <c:showLegendKey val="0"/>
          <c:showVal val="0"/>
          <c:showCatName val="0"/>
          <c:showSerName val="0"/>
          <c:showPercent val="0"/>
          <c:showBubbleSize val="0"/>
        </c:dLbls>
        <c:marker val="1"/>
        <c:smooth val="0"/>
        <c:axId val="121497472"/>
        <c:axId val="123469824"/>
      </c:lineChart>
      <c:dateAx>
        <c:axId val="121497472"/>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23469824"/>
        <c:crosses val="autoZero"/>
        <c:auto val="1"/>
        <c:lblOffset val="100"/>
        <c:baseTimeUnit val="days"/>
        <c:majorUnit val="30"/>
        <c:majorTimeUnit val="days"/>
        <c:minorUnit val="15"/>
        <c:minorTimeUnit val="days"/>
      </c:dateAx>
      <c:valAx>
        <c:axId val="123469824"/>
        <c:scaling>
          <c:orientation val="minMax"/>
          <c:max val="9.5"/>
          <c:min val="6.5"/>
        </c:scaling>
        <c:delete val="0"/>
        <c:axPos val="l"/>
        <c:majorGridlines>
          <c:spPr>
            <a:ln w="3175">
              <a:solidFill>
                <a:srgbClr val="000000"/>
              </a:solidFill>
              <a:prstDash val="solid"/>
            </a:ln>
          </c:spPr>
        </c:majorGridlines>
        <c:minorGridlines/>
        <c:title>
          <c:tx>
            <c:rich>
              <a:bodyPr/>
              <a:lstStyle/>
              <a:p>
                <a:pPr>
                  <a:defRPr sz="1075" b="1" i="0" u="none" strike="noStrike" baseline="0">
                    <a:solidFill>
                      <a:srgbClr val="000000"/>
                    </a:solidFill>
                    <a:latin typeface="Arial"/>
                    <a:ea typeface="Arial"/>
                    <a:cs typeface="Arial"/>
                  </a:defRPr>
                </a:pPr>
                <a:r>
                  <a:rPr lang="en-US"/>
                  <a:t>pH (Standad Unit)</a:t>
                </a:r>
              </a:p>
            </c:rich>
          </c:tx>
          <c:layout>
            <c:manualLayout>
              <c:xMode val="edge"/>
              <c:yMode val="edge"/>
              <c:x val="1.7021351150104953E-2"/>
              <c:y val="0.383812010443877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2149747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32696416037139348"/>
          <c:y val="0.6123694810425927"/>
          <c:w val="0.32261294680912872"/>
          <c:h val="0.125326370757180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2010 Bear Creek Reservoir pH</a:t>
            </a:r>
          </a:p>
        </c:rich>
      </c:tx>
      <c:overlay val="0"/>
    </c:title>
    <c:autoTitleDeleted val="0"/>
    <c:plotArea>
      <c:layout>
        <c:manualLayout>
          <c:layoutTarget val="inner"/>
          <c:xMode val="edge"/>
          <c:yMode val="edge"/>
          <c:x val="7.0719362412355671E-2"/>
          <c:y val="0.18354819777963108"/>
          <c:w val="0.88952644104070056"/>
          <c:h val="0.64060986941852682"/>
        </c:manualLayout>
      </c:layout>
      <c:lineChart>
        <c:grouping val="standard"/>
        <c:varyColors val="0"/>
        <c:ser>
          <c:idx val="0"/>
          <c:order val="0"/>
          <c:tx>
            <c:strRef>
              <c:f>pH!$A$9</c:f>
              <c:strCache>
                <c:ptCount val="1"/>
                <c:pt idx="0">
                  <c:v>Reservoir (-1m)</c:v>
                </c:pt>
              </c:strCache>
            </c:strRef>
          </c:tx>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pH!$B$9:$P$9</c:f>
              <c:numCache>
                <c:formatCode>General</c:formatCode>
                <c:ptCount val="15"/>
                <c:pt idx="0">
                  <c:v>8.02</c:v>
                </c:pt>
                <c:pt idx="1">
                  <c:v>8.23</c:v>
                </c:pt>
                <c:pt idx="2" formatCode="0.00">
                  <c:v>7.93</c:v>
                </c:pt>
                <c:pt idx="3">
                  <c:v>8.3699999999999992</c:v>
                </c:pt>
                <c:pt idx="4" formatCode="0.00">
                  <c:v>8.58</c:v>
                </c:pt>
                <c:pt idx="5" formatCode="0.00">
                  <c:v>8.09</c:v>
                </c:pt>
                <c:pt idx="6">
                  <c:v>8.23</c:v>
                </c:pt>
                <c:pt idx="7">
                  <c:v>8.42</c:v>
                </c:pt>
                <c:pt idx="8">
                  <c:v>8.5</c:v>
                </c:pt>
                <c:pt idx="9">
                  <c:v>8.65</c:v>
                </c:pt>
                <c:pt idx="10">
                  <c:v>9.09</c:v>
                </c:pt>
                <c:pt idx="11">
                  <c:v>8.36</c:v>
                </c:pt>
                <c:pt idx="12">
                  <c:v>8.44</c:v>
                </c:pt>
                <c:pt idx="13">
                  <c:v>8.4700000000000006</c:v>
                </c:pt>
                <c:pt idx="14">
                  <c:v>8.35</c:v>
                </c:pt>
              </c:numCache>
            </c:numRef>
          </c:val>
          <c:smooth val="0"/>
          <c:extLst>
            <c:ext xmlns:c16="http://schemas.microsoft.com/office/drawing/2014/chart" uri="{C3380CC4-5D6E-409C-BE32-E72D297353CC}">
              <c16:uniqueId val="{00000000-B819-46E9-93D2-C6BF13369801}"/>
            </c:ext>
          </c:extLst>
        </c:ser>
        <c:ser>
          <c:idx val="2"/>
          <c:order val="1"/>
          <c:tx>
            <c:strRef>
              <c:f>pH!$A$11</c:f>
              <c:strCache>
                <c:ptCount val="1"/>
                <c:pt idx="0">
                  <c:v>Reservoir (-3m)</c:v>
                </c:pt>
              </c:strCache>
            </c:strRef>
          </c:tx>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pH!$B$11:$P$11</c:f>
              <c:numCache>
                <c:formatCode>General</c:formatCode>
                <c:ptCount val="15"/>
                <c:pt idx="0">
                  <c:v>8.02</c:v>
                </c:pt>
                <c:pt idx="1">
                  <c:v>7.82</c:v>
                </c:pt>
                <c:pt idx="2" formatCode="0.00">
                  <c:v>7.81</c:v>
                </c:pt>
                <c:pt idx="3">
                  <c:v>7.93</c:v>
                </c:pt>
                <c:pt idx="4" formatCode="0.00">
                  <c:v>8.2100000000000009</c:v>
                </c:pt>
                <c:pt idx="5" formatCode="0.00">
                  <c:v>8.01</c:v>
                </c:pt>
                <c:pt idx="6">
                  <c:v>7.89</c:v>
                </c:pt>
                <c:pt idx="7">
                  <c:v>8.2899999999999991</c:v>
                </c:pt>
                <c:pt idx="8">
                  <c:v>8.15</c:v>
                </c:pt>
                <c:pt idx="9">
                  <c:v>8.64</c:v>
                </c:pt>
                <c:pt idx="10">
                  <c:v>9.14</c:v>
                </c:pt>
                <c:pt idx="11">
                  <c:v>8.32</c:v>
                </c:pt>
                <c:pt idx="12">
                  <c:v>8.24</c:v>
                </c:pt>
                <c:pt idx="13">
                  <c:v>8.35</c:v>
                </c:pt>
                <c:pt idx="14">
                  <c:v>8.27</c:v>
                </c:pt>
              </c:numCache>
            </c:numRef>
          </c:val>
          <c:smooth val="0"/>
          <c:extLst>
            <c:ext xmlns:c16="http://schemas.microsoft.com/office/drawing/2014/chart" uri="{C3380CC4-5D6E-409C-BE32-E72D297353CC}">
              <c16:uniqueId val="{00000001-B819-46E9-93D2-C6BF13369801}"/>
            </c:ext>
          </c:extLst>
        </c:ser>
        <c:ser>
          <c:idx val="4"/>
          <c:order val="2"/>
          <c:tx>
            <c:strRef>
              <c:f>pH!$A$13</c:f>
              <c:strCache>
                <c:ptCount val="1"/>
                <c:pt idx="0">
                  <c:v>Reservoir (-5m)</c:v>
                </c:pt>
              </c:strCache>
            </c:strRef>
          </c:tx>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pH!$B$13:$P$13</c:f>
              <c:numCache>
                <c:formatCode>General</c:formatCode>
                <c:ptCount val="15"/>
                <c:pt idx="0">
                  <c:v>7.9</c:v>
                </c:pt>
                <c:pt idx="1">
                  <c:v>7.61</c:v>
                </c:pt>
                <c:pt idx="2" formatCode="0.00">
                  <c:v>7.78</c:v>
                </c:pt>
                <c:pt idx="3">
                  <c:v>7.87</c:v>
                </c:pt>
                <c:pt idx="4" formatCode="0.00">
                  <c:v>7.99</c:v>
                </c:pt>
                <c:pt idx="5" formatCode="0.00">
                  <c:v>7.92</c:v>
                </c:pt>
                <c:pt idx="6">
                  <c:v>7.63</c:v>
                </c:pt>
                <c:pt idx="7">
                  <c:v>8.23</c:v>
                </c:pt>
                <c:pt idx="8">
                  <c:v>8.02</c:v>
                </c:pt>
                <c:pt idx="9">
                  <c:v>8.61</c:v>
                </c:pt>
                <c:pt idx="10">
                  <c:v>9.09</c:v>
                </c:pt>
                <c:pt idx="11">
                  <c:v>8.2899999999999991</c:v>
                </c:pt>
                <c:pt idx="12">
                  <c:v>8.18</c:v>
                </c:pt>
                <c:pt idx="13">
                  <c:v>8.2799999999999994</c:v>
                </c:pt>
                <c:pt idx="14">
                  <c:v>8.33</c:v>
                </c:pt>
              </c:numCache>
            </c:numRef>
          </c:val>
          <c:smooth val="0"/>
          <c:extLst>
            <c:ext xmlns:c16="http://schemas.microsoft.com/office/drawing/2014/chart" uri="{C3380CC4-5D6E-409C-BE32-E72D297353CC}">
              <c16:uniqueId val="{00000002-B819-46E9-93D2-C6BF13369801}"/>
            </c:ext>
          </c:extLst>
        </c:ser>
        <c:ser>
          <c:idx val="6"/>
          <c:order val="3"/>
          <c:tx>
            <c:strRef>
              <c:f>pH!$A$15</c:f>
              <c:strCache>
                <c:ptCount val="1"/>
                <c:pt idx="0">
                  <c:v>Reservoir (-7m)</c:v>
                </c:pt>
              </c:strCache>
            </c:strRef>
          </c:tx>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pH!$B$15:$P$15</c:f>
              <c:numCache>
                <c:formatCode>General</c:formatCode>
                <c:ptCount val="15"/>
                <c:pt idx="0">
                  <c:v>7.85</c:v>
                </c:pt>
                <c:pt idx="1">
                  <c:v>7.64</c:v>
                </c:pt>
                <c:pt idx="2" formatCode="0.00">
                  <c:v>7.71</c:v>
                </c:pt>
                <c:pt idx="3">
                  <c:v>7.81</c:v>
                </c:pt>
                <c:pt idx="4" formatCode="0.00">
                  <c:v>7.88</c:v>
                </c:pt>
                <c:pt idx="5" formatCode="0.00">
                  <c:v>7.88</c:v>
                </c:pt>
                <c:pt idx="6">
                  <c:v>7.51</c:v>
                </c:pt>
                <c:pt idx="7">
                  <c:v>8.19</c:v>
                </c:pt>
                <c:pt idx="8">
                  <c:v>7.9</c:v>
                </c:pt>
                <c:pt idx="9">
                  <c:v>8.57</c:v>
                </c:pt>
                <c:pt idx="10">
                  <c:v>9.1199999999999992</c:v>
                </c:pt>
                <c:pt idx="11">
                  <c:v>8.2899999999999991</c:v>
                </c:pt>
                <c:pt idx="12">
                  <c:v>8.15</c:v>
                </c:pt>
                <c:pt idx="13">
                  <c:v>8.2200000000000006</c:v>
                </c:pt>
                <c:pt idx="14">
                  <c:v>8.35</c:v>
                </c:pt>
              </c:numCache>
            </c:numRef>
          </c:val>
          <c:smooth val="0"/>
          <c:extLst>
            <c:ext xmlns:c16="http://schemas.microsoft.com/office/drawing/2014/chart" uri="{C3380CC4-5D6E-409C-BE32-E72D297353CC}">
              <c16:uniqueId val="{00000003-B819-46E9-93D2-C6BF13369801}"/>
            </c:ext>
          </c:extLst>
        </c:ser>
        <c:ser>
          <c:idx val="9"/>
          <c:order val="4"/>
          <c:tx>
            <c:strRef>
              <c:f>pH!$A$17</c:f>
              <c:strCache>
                <c:ptCount val="1"/>
                <c:pt idx="0">
                  <c:v>Reservoir (-9m)</c:v>
                </c:pt>
              </c:strCache>
            </c:strRef>
          </c:tx>
          <c:cat>
            <c:numRef>
              <c:f>pH!$B$4:$P$4</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pH!$B$17:$P$17</c:f>
              <c:numCache>
                <c:formatCode>General</c:formatCode>
                <c:ptCount val="15"/>
                <c:pt idx="1">
                  <c:v>7.51</c:v>
                </c:pt>
                <c:pt idx="2" formatCode="0.00">
                  <c:v>7.57</c:v>
                </c:pt>
                <c:pt idx="3">
                  <c:v>7.8</c:v>
                </c:pt>
                <c:pt idx="5" formatCode="0.00">
                  <c:v>7.84</c:v>
                </c:pt>
                <c:pt idx="6">
                  <c:v>7.46</c:v>
                </c:pt>
                <c:pt idx="7">
                  <c:v>8.11</c:v>
                </c:pt>
                <c:pt idx="8">
                  <c:v>7.86</c:v>
                </c:pt>
                <c:pt idx="9">
                  <c:v>8.44</c:v>
                </c:pt>
                <c:pt idx="10">
                  <c:v>9.1199999999999992</c:v>
                </c:pt>
                <c:pt idx="11">
                  <c:v>8.25</c:v>
                </c:pt>
                <c:pt idx="12">
                  <c:v>8.1199999999999992</c:v>
                </c:pt>
                <c:pt idx="13">
                  <c:v>8.1999999999999993</c:v>
                </c:pt>
                <c:pt idx="14">
                  <c:v>8.34</c:v>
                </c:pt>
              </c:numCache>
            </c:numRef>
          </c:val>
          <c:smooth val="0"/>
          <c:extLst>
            <c:ext xmlns:c16="http://schemas.microsoft.com/office/drawing/2014/chart" uri="{C3380CC4-5D6E-409C-BE32-E72D297353CC}">
              <c16:uniqueId val="{00000004-B819-46E9-93D2-C6BF13369801}"/>
            </c:ext>
          </c:extLst>
        </c:ser>
        <c:dLbls>
          <c:showLegendKey val="0"/>
          <c:showVal val="0"/>
          <c:showCatName val="0"/>
          <c:showSerName val="0"/>
          <c:showPercent val="0"/>
          <c:showBubbleSize val="0"/>
        </c:dLbls>
        <c:marker val="1"/>
        <c:smooth val="0"/>
        <c:axId val="123493376"/>
        <c:axId val="123515648"/>
      </c:lineChart>
      <c:dateAx>
        <c:axId val="123493376"/>
        <c:scaling>
          <c:orientation val="minMax"/>
        </c:scaling>
        <c:delete val="0"/>
        <c:axPos val="b"/>
        <c:numFmt formatCode="[$-409]d\-mmm;@" sourceLinked="1"/>
        <c:majorTickMark val="out"/>
        <c:minorTickMark val="none"/>
        <c:tickLblPos val="nextTo"/>
        <c:txPr>
          <a:bodyPr/>
          <a:lstStyle/>
          <a:p>
            <a:pPr>
              <a:defRPr sz="1000"/>
            </a:pPr>
            <a:endParaRPr lang="en-US"/>
          </a:p>
        </c:txPr>
        <c:crossAx val="123515648"/>
        <c:crosses val="autoZero"/>
        <c:auto val="1"/>
        <c:lblOffset val="100"/>
        <c:baseTimeUnit val="days"/>
      </c:dateAx>
      <c:valAx>
        <c:axId val="123515648"/>
        <c:scaling>
          <c:orientation val="minMax"/>
          <c:max val="9.5"/>
          <c:min val="6.5"/>
        </c:scaling>
        <c:delete val="0"/>
        <c:axPos val="l"/>
        <c:majorGridlines/>
        <c:minorGridlines/>
        <c:numFmt formatCode="General" sourceLinked="1"/>
        <c:majorTickMark val="out"/>
        <c:minorTickMark val="none"/>
        <c:tickLblPos val="nextTo"/>
        <c:crossAx val="123493376"/>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t"/>
      <c:layout>
        <c:manualLayout>
          <c:xMode val="edge"/>
          <c:yMode val="edge"/>
          <c:x val="0.10857492554363667"/>
          <c:y val="9.3090184379126528E-2"/>
          <c:w val="0.78285014891271909"/>
          <c:h val="5.9877196641810522E-2"/>
        </c:manualLayout>
      </c:layout>
      <c:overlay val="0"/>
      <c:spPr>
        <a:ln w="25400" cap="sq" cmpd="sng">
          <a:solidFill>
            <a:srgbClr val="000000"/>
          </a:solidFill>
          <a:prstDash val="solid"/>
          <a:round/>
        </a:ln>
      </c:spPr>
    </c:legend>
    <c:plotVisOnly val="1"/>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Black"/>
                <a:ea typeface="Arial Black"/>
                <a:cs typeface="Arial Black"/>
              </a:defRPr>
            </a:pPr>
            <a:r>
              <a:rPr lang="en-US" sz="1200"/>
              <a:t>2010 Reservoir Dissolved Oxygen Trends</a:t>
            </a:r>
          </a:p>
        </c:rich>
      </c:tx>
      <c:layout>
        <c:manualLayout>
          <c:xMode val="edge"/>
          <c:yMode val="edge"/>
          <c:x val="0.32732513538295233"/>
          <c:y val="3.5294167317557155E-2"/>
        </c:manualLayout>
      </c:layout>
      <c:overlay val="0"/>
      <c:spPr>
        <a:noFill/>
        <a:ln w="25400">
          <a:noFill/>
        </a:ln>
      </c:spPr>
    </c:title>
    <c:autoTitleDeleted val="0"/>
    <c:plotArea>
      <c:layout>
        <c:manualLayout>
          <c:layoutTarget val="inner"/>
          <c:xMode val="edge"/>
          <c:yMode val="edge"/>
          <c:x val="9.5389917727394982E-2"/>
          <c:y val="0.14479678982435476"/>
          <c:w val="0.88133087334983395"/>
          <c:h val="0.69638098122350089"/>
        </c:manualLayout>
      </c:layout>
      <c:lineChart>
        <c:grouping val="standard"/>
        <c:varyColors val="0"/>
        <c:ser>
          <c:idx val="0"/>
          <c:order val="0"/>
          <c:tx>
            <c:strRef>
              <c:f>Oxygen!$A$10</c:f>
              <c:strCache>
                <c:ptCount val="1"/>
                <c:pt idx="0">
                  <c:v>Reservoir (-1m)</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Oxygen!$B$5:$P$5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Oxygen!$B$10:$P$10</c:f>
              <c:numCache>
                <c:formatCode>General</c:formatCode>
                <c:ptCount val="15"/>
                <c:pt idx="0">
                  <c:v>11.23</c:v>
                </c:pt>
                <c:pt idx="1">
                  <c:v>12.1</c:v>
                </c:pt>
                <c:pt idx="2">
                  <c:v>10.24</c:v>
                </c:pt>
                <c:pt idx="3">
                  <c:v>8.75</c:v>
                </c:pt>
                <c:pt idx="4" formatCode="0.00">
                  <c:v>8.4</c:v>
                </c:pt>
                <c:pt idx="5" formatCode="0.00">
                  <c:v>6.7</c:v>
                </c:pt>
                <c:pt idx="6" formatCode="0.00">
                  <c:v>8.0299999999999994</c:v>
                </c:pt>
                <c:pt idx="7">
                  <c:v>7.76</c:v>
                </c:pt>
                <c:pt idx="8">
                  <c:v>6.79</c:v>
                </c:pt>
                <c:pt idx="9">
                  <c:v>7.63</c:v>
                </c:pt>
                <c:pt idx="10">
                  <c:v>8.64</c:v>
                </c:pt>
                <c:pt idx="11">
                  <c:v>7.16</c:v>
                </c:pt>
                <c:pt idx="12">
                  <c:v>8.6199999999999992</c:v>
                </c:pt>
                <c:pt idx="13" formatCode="0.00">
                  <c:v>7.92</c:v>
                </c:pt>
                <c:pt idx="14">
                  <c:v>10.62</c:v>
                </c:pt>
              </c:numCache>
            </c:numRef>
          </c:val>
          <c:smooth val="0"/>
          <c:extLst>
            <c:ext xmlns:c16="http://schemas.microsoft.com/office/drawing/2014/chart" uri="{C3380CC4-5D6E-409C-BE32-E72D297353CC}">
              <c16:uniqueId val="{00000000-1A61-4492-94A1-1310D3478F84}"/>
            </c:ext>
          </c:extLst>
        </c:ser>
        <c:ser>
          <c:idx val="2"/>
          <c:order val="1"/>
          <c:tx>
            <c:strRef>
              <c:f>Oxygen!$A$14</c:f>
              <c:strCache>
                <c:ptCount val="1"/>
                <c:pt idx="0">
                  <c:v>Reservoir (-5m)</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cat>
            <c:numRef>
              <c:f>Oxygen!$B$5:$P$5</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Oxygen!$B$14:$P$14</c:f>
              <c:numCache>
                <c:formatCode>General</c:formatCode>
                <c:ptCount val="15"/>
                <c:pt idx="0">
                  <c:v>8.49</c:v>
                </c:pt>
                <c:pt idx="1">
                  <c:v>8.06</c:v>
                </c:pt>
                <c:pt idx="2">
                  <c:v>9.67</c:v>
                </c:pt>
                <c:pt idx="3">
                  <c:v>8.7799999999999994</c:v>
                </c:pt>
                <c:pt idx="4" formatCode="0.00">
                  <c:v>8.59</c:v>
                </c:pt>
                <c:pt idx="5" formatCode="0.00">
                  <c:v>6.2</c:v>
                </c:pt>
                <c:pt idx="6" formatCode="0.00">
                  <c:v>5.55</c:v>
                </c:pt>
                <c:pt idx="7">
                  <c:v>7.18</c:v>
                </c:pt>
                <c:pt idx="8">
                  <c:v>3.3</c:v>
                </c:pt>
                <c:pt idx="9">
                  <c:v>7</c:v>
                </c:pt>
                <c:pt idx="10">
                  <c:v>8</c:v>
                </c:pt>
                <c:pt idx="11">
                  <c:v>6.54</c:v>
                </c:pt>
                <c:pt idx="12">
                  <c:v>8.3000000000000007</c:v>
                </c:pt>
                <c:pt idx="13" formatCode="0.00">
                  <c:v>7.36</c:v>
                </c:pt>
                <c:pt idx="14">
                  <c:v>10.210000000000001</c:v>
                </c:pt>
              </c:numCache>
            </c:numRef>
          </c:val>
          <c:smooth val="0"/>
          <c:extLst>
            <c:ext xmlns:c16="http://schemas.microsoft.com/office/drawing/2014/chart" uri="{C3380CC4-5D6E-409C-BE32-E72D297353CC}">
              <c16:uniqueId val="{00000001-1A61-4492-94A1-1310D3478F84}"/>
            </c:ext>
          </c:extLst>
        </c:ser>
        <c:ser>
          <c:idx val="1"/>
          <c:order val="2"/>
          <c:tx>
            <c:strRef>
              <c:f>Oxygen!$A$19</c:f>
              <c:strCache>
                <c:ptCount val="1"/>
                <c:pt idx="0">
                  <c:v>Reservoir (-10m)</c:v>
                </c:pt>
              </c:strCache>
            </c:strRef>
          </c:tx>
          <c:val>
            <c:numRef>
              <c:f>Oxygen!$B$19:$P$19</c:f>
              <c:numCache>
                <c:formatCode>General</c:formatCode>
                <c:ptCount val="15"/>
                <c:pt idx="1">
                  <c:v>4.46</c:v>
                </c:pt>
                <c:pt idx="2">
                  <c:v>2.23</c:v>
                </c:pt>
                <c:pt idx="3">
                  <c:v>8.75</c:v>
                </c:pt>
                <c:pt idx="5" formatCode="0.00">
                  <c:v>5.47</c:v>
                </c:pt>
                <c:pt idx="6" formatCode="0.00">
                  <c:v>2.92</c:v>
                </c:pt>
                <c:pt idx="7">
                  <c:v>5.87</c:v>
                </c:pt>
                <c:pt idx="8">
                  <c:v>2.88</c:v>
                </c:pt>
                <c:pt idx="9">
                  <c:v>5.43</c:v>
                </c:pt>
                <c:pt idx="10">
                  <c:v>7.71</c:v>
                </c:pt>
                <c:pt idx="11">
                  <c:v>5.86</c:v>
                </c:pt>
                <c:pt idx="12">
                  <c:v>8.11</c:v>
                </c:pt>
                <c:pt idx="13" formatCode="0.00">
                  <c:v>7.22</c:v>
                </c:pt>
                <c:pt idx="14">
                  <c:v>8.3000000000000007</c:v>
                </c:pt>
              </c:numCache>
            </c:numRef>
          </c:val>
          <c:smooth val="0"/>
          <c:extLst>
            <c:ext xmlns:c16="http://schemas.microsoft.com/office/drawing/2014/chart" uri="{C3380CC4-5D6E-409C-BE32-E72D297353CC}">
              <c16:uniqueId val="{00000002-1A61-4492-94A1-1310D3478F84}"/>
            </c:ext>
          </c:extLst>
        </c:ser>
        <c:dLbls>
          <c:showLegendKey val="0"/>
          <c:showVal val="0"/>
          <c:showCatName val="0"/>
          <c:showSerName val="0"/>
          <c:showPercent val="0"/>
          <c:showBubbleSize val="0"/>
        </c:dLbls>
        <c:marker val="1"/>
        <c:smooth val="0"/>
        <c:axId val="124238080"/>
        <c:axId val="124243968"/>
      </c:lineChart>
      <c:dateAx>
        <c:axId val="12423808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124243968"/>
        <c:crosses val="autoZero"/>
        <c:auto val="1"/>
        <c:lblOffset val="100"/>
        <c:baseTimeUnit val="days"/>
        <c:majorUnit val="30"/>
        <c:majorTimeUnit val="days"/>
        <c:minorUnit val="7"/>
        <c:minorTimeUnit val="days"/>
      </c:dateAx>
      <c:valAx>
        <c:axId val="124243968"/>
        <c:scaling>
          <c:orientation val="minMax"/>
        </c:scaling>
        <c:delete val="0"/>
        <c:axPos val="l"/>
        <c:majorGridlines>
          <c:spPr>
            <a:ln w="3175">
              <a:solidFill>
                <a:srgbClr val="000000"/>
              </a:solidFill>
              <a:prstDash val="solid"/>
            </a:ln>
          </c:spPr>
        </c:majorGridlines>
        <c:minorGridlines/>
        <c:title>
          <c:tx>
            <c:rich>
              <a:bodyPr/>
              <a:lstStyle/>
              <a:p>
                <a:pPr>
                  <a:defRPr sz="800" b="1" i="0" u="none" strike="noStrike" baseline="0">
                    <a:solidFill>
                      <a:srgbClr val="000000"/>
                    </a:solidFill>
                    <a:latin typeface="Arial"/>
                    <a:ea typeface="Arial"/>
                    <a:cs typeface="Arial"/>
                  </a:defRPr>
                </a:pPr>
                <a:r>
                  <a:rPr lang="en-US"/>
                  <a:t>DO mg/l</a:t>
                </a:r>
              </a:p>
            </c:rich>
          </c:tx>
          <c:layout>
            <c:manualLayout>
              <c:xMode val="edge"/>
              <c:yMode val="edge"/>
              <c:x val="2.0834563061591552E-2"/>
              <c:y val="0.409955534969902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124238080"/>
        <c:crosses val="autoZero"/>
        <c:crossBetween val="between"/>
        <c:majorUnit val="1"/>
        <c:minorUnit val="0.5"/>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3232498772367865"/>
          <c:y val="0.10837178864706257"/>
          <c:w val="0.42204751880938562"/>
          <c:h val="7.8733683758701045E-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chemeClr val="tx1"/>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200"/>
              <a:t>2010 Total Phosphorus Bear Creek Watershed</a:t>
            </a:r>
          </a:p>
        </c:rich>
      </c:tx>
      <c:layout>
        <c:manualLayout>
          <c:xMode val="edge"/>
          <c:yMode val="edge"/>
          <c:x val="0.31888923490587295"/>
          <c:y val="3.4582132564841515E-2"/>
        </c:manualLayout>
      </c:layout>
      <c:overlay val="0"/>
      <c:spPr>
        <a:noFill/>
        <a:ln w="25400">
          <a:noFill/>
        </a:ln>
      </c:spPr>
    </c:title>
    <c:autoTitleDeleted val="0"/>
    <c:plotArea>
      <c:layout>
        <c:manualLayout>
          <c:layoutTarget val="inner"/>
          <c:xMode val="edge"/>
          <c:yMode val="edge"/>
          <c:x val="7.4098202075747133E-2"/>
          <c:y val="0.17547606730550772"/>
          <c:w val="0.87901499203293831"/>
          <c:h val="0.65475192967141727"/>
        </c:manualLayout>
      </c:layout>
      <c:lineChart>
        <c:grouping val="standard"/>
        <c:varyColors val="0"/>
        <c:ser>
          <c:idx val="0"/>
          <c:order val="0"/>
          <c:tx>
            <c:strRef>
              <c:f>'T &amp; Diss Phosphorus'!$A$17</c:f>
              <c:strCache>
                <c:ptCount val="1"/>
                <c:pt idx="0">
                  <c:v>Reservoir Discharge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Phosphorus'!$B$17:$M$17</c:f>
              <c:numCache>
                <c:formatCode>0.0</c:formatCode>
                <c:ptCount val="12"/>
                <c:pt idx="0">
                  <c:v>17</c:v>
                </c:pt>
                <c:pt idx="1">
                  <c:v>28</c:v>
                </c:pt>
                <c:pt idx="2">
                  <c:v>16</c:v>
                </c:pt>
                <c:pt idx="3">
                  <c:v>39</c:v>
                </c:pt>
                <c:pt idx="4">
                  <c:v>20</c:v>
                </c:pt>
                <c:pt idx="5">
                  <c:v>32</c:v>
                </c:pt>
                <c:pt idx="6">
                  <c:v>20.5</c:v>
                </c:pt>
                <c:pt idx="7">
                  <c:v>37</c:v>
                </c:pt>
                <c:pt idx="8">
                  <c:v>42.5</c:v>
                </c:pt>
                <c:pt idx="9">
                  <c:v>54</c:v>
                </c:pt>
                <c:pt idx="10">
                  <c:v>36</c:v>
                </c:pt>
                <c:pt idx="11">
                  <c:v>25</c:v>
                </c:pt>
              </c:numCache>
            </c:numRef>
          </c:val>
          <c:smooth val="0"/>
          <c:extLst>
            <c:ext xmlns:c16="http://schemas.microsoft.com/office/drawing/2014/chart" uri="{C3380CC4-5D6E-409C-BE32-E72D297353CC}">
              <c16:uniqueId val="{00000000-8BE7-4050-9987-A0003C0FBCAF}"/>
            </c:ext>
          </c:extLst>
        </c:ser>
        <c:ser>
          <c:idx val="2"/>
          <c:order val="1"/>
          <c:tx>
            <c:strRef>
              <c:f>'T &amp; Diss Phosphorus'!$A$15</c:f>
              <c:strCache>
                <c:ptCount val="1"/>
                <c:pt idx="0">
                  <c:v>Turkey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Phosphorus'!$B$15:$M$15</c:f>
              <c:numCache>
                <c:formatCode>0.0</c:formatCode>
                <c:ptCount val="12"/>
                <c:pt idx="0">
                  <c:v>11</c:v>
                </c:pt>
                <c:pt idx="1">
                  <c:v>16</c:v>
                </c:pt>
                <c:pt idx="2">
                  <c:v>46</c:v>
                </c:pt>
                <c:pt idx="3">
                  <c:v>81</c:v>
                </c:pt>
                <c:pt idx="4">
                  <c:v>22</c:v>
                </c:pt>
                <c:pt idx="5">
                  <c:v>39</c:v>
                </c:pt>
                <c:pt idx="6">
                  <c:v>16</c:v>
                </c:pt>
                <c:pt idx="7">
                  <c:v>11</c:v>
                </c:pt>
                <c:pt idx="8">
                  <c:v>3.5</c:v>
                </c:pt>
                <c:pt idx="9">
                  <c:v>3</c:v>
                </c:pt>
                <c:pt idx="10">
                  <c:v>7</c:v>
                </c:pt>
                <c:pt idx="11">
                  <c:v>3</c:v>
                </c:pt>
              </c:numCache>
            </c:numRef>
          </c:val>
          <c:smooth val="0"/>
          <c:extLst>
            <c:ext xmlns:c16="http://schemas.microsoft.com/office/drawing/2014/chart" uri="{C3380CC4-5D6E-409C-BE32-E72D297353CC}">
              <c16:uniqueId val="{00000001-8BE7-4050-9987-A0003C0FBCAF}"/>
            </c:ext>
          </c:extLst>
        </c:ser>
        <c:ser>
          <c:idx val="3"/>
          <c:order val="2"/>
          <c:tx>
            <c:strRef>
              <c:f>'T &amp; Diss Phosphorus'!$A$16</c:f>
              <c:strCache>
                <c:ptCount val="1"/>
                <c:pt idx="0">
                  <c:v>Bear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Phosphorus'!$B$16:$M$16</c:f>
              <c:numCache>
                <c:formatCode>0.0</c:formatCode>
                <c:ptCount val="12"/>
                <c:pt idx="0">
                  <c:v>45</c:v>
                </c:pt>
                <c:pt idx="1">
                  <c:v>41</c:v>
                </c:pt>
                <c:pt idx="2">
                  <c:v>32</c:v>
                </c:pt>
                <c:pt idx="3">
                  <c:v>39</c:v>
                </c:pt>
                <c:pt idx="4">
                  <c:v>62</c:v>
                </c:pt>
                <c:pt idx="5">
                  <c:v>38</c:v>
                </c:pt>
                <c:pt idx="6">
                  <c:v>37.5</c:v>
                </c:pt>
                <c:pt idx="7">
                  <c:v>27.5</c:v>
                </c:pt>
                <c:pt idx="8">
                  <c:v>41.5</c:v>
                </c:pt>
                <c:pt idx="9">
                  <c:v>70</c:v>
                </c:pt>
                <c:pt idx="10">
                  <c:v>46</c:v>
                </c:pt>
                <c:pt idx="11">
                  <c:v>102</c:v>
                </c:pt>
              </c:numCache>
            </c:numRef>
          </c:val>
          <c:smooth val="0"/>
          <c:extLst>
            <c:ext xmlns:c16="http://schemas.microsoft.com/office/drawing/2014/chart" uri="{C3380CC4-5D6E-409C-BE32-E72D297353CC}">
              <c16:uniqueId val="{00000002-8BE7-4050-9987-A0003C0FBCAF}"/>
            </c:ext>
          </c:extLst>
        </c:ser>
        <c:ser>
          <c:idx val="1"/>
          <c:order val="3"/>
          <c:tx>
            <c:strRef>
              <c:f>'T &amp; Diss Phosphorus'!$A$18</c:f>
              <c:strCache>
                <c:ptCount val="1"/>
                <c:pt idx="0">
                  <c:v>Reservoir - Top</c:v>
                </c:pt>
              </c:strCache>
            </c:strRef>
          </c:tx>
          <c:val>
            <c:numRef>
              <c:f>'T &amp; Diss Phosphorus'!$B$18:$M$18</c:f>
              <c:numCache>
                <c:formatCode>0.0</c:formatCode>
                <c:ptCount val="12"/>
                <c:pt idx="0">
                  <c:v>15</c:v>
                </c:pt>
                <c:pt idx="1">
                  <c:v>26</c:v>
                </c:pt>
                <c:pt idx="2">
                  <c:v>16</c:v>
                </c:pt>
                <c:pt idx="3">
                  <c:v>39</c:v>
                </c:pt>
                <c:pt idx="4">
                  <c:v>22</c:v>
                </c:pt>
                <c:pt idx="5">
                  <c:v>29</c:v>
                </c:pt>
                <c:pt idx="6">
                  <c:v>20</c:v>
                </c:pt>
                <c:pt idx="7">
                  <c:v>37</c:v>
                </c:pt>
                <c:pt idx="8">
                  <c:v>34</c:v>
                </c:pt>
                <c:pt idx="9">
                  <c:v>41</c:v>
                </c:pt>
                <c:pt idx="10">
                  <c:v>35</c:v>
                </c:pt>
                <c:pt idx="11">
                  <c:v>19</c:v>
                </c:pt>
              </c:numCache>
            </c:numRef>
          </c:val>
          <c:smooth val="0"/>
          <c:extLst>
            <c:ext xmlns:c16="http://schemas.microsoft.com/office/drawing/2014/chart" uri="{C3380CC4-5D6E-409C-BE32-E72D297353CC}">
              <c16:uniqueId val="{00000003-8BE7-4050-9987-A0003C0FBCAF}"/>
            </c:ext>
          </c:extLst>
        </c:ser>
        <c:dLbls>
          <c:showLegendKey val="0"/>
          <c:showVal val="0"/>
          <c:showCatName val="0"/>
          <c:showSerName val="0"/>
          <c:showPercent val="0"/>
          <c:showBubbleSize val="0"/>
        </c:dLbls>
        <c:marker val="1"/>
        <c:smooth val="0"/>
        <c:axId val="124357248"/>
        <c:axId val="125305216"/>
      </c:lineChart>
      <c:catAx>
        <c:axId val="12435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25305216"/>
        <c:crosses val="autoZero"/>
        <c:auto val="1"/>
        <c:lblAlgn val="ctr"/>
        <c:lblOffset val="100"/>
        <c:tickLblSkip val="1"/>
        <c:tickMarkSkip val="1"/>
        <c:noMultiLvlLbl val="0"/>
      </c:catAx>
      <c:valAx>
        <c:axId val="125305216"/>
        <c:scaling>
          <c:orientation val="minMax"/>
        </c:scaling>
        <c:delete val="0"/>
        <c:axPos val="l"/>
        <c:majorGridlines>
          <c:spPr>
            <a:ln w="3175">
              <a:solidFill>
                <a:srgbClr val="000000"/>
              </a:solidFill>
              <a:prstDash val="solid"/>
            </a:ln>
          </c:spPr>
        </c:majorGridlines>
        <c:minorGridlines/>
        <c:title>
          <c:tx>
            <c:rich>
              <a:bodyPr/>
              <a:lstStyle/>
              <a:p>
                <a:pPr>
                  <a:defRPr sz="1050" b="1" i="0" u="none" strike="noStrike" baseline="0">
                    <a:solidFill>
                      <a:srgbClr val="000000"/>
                    </a:solidFill>
                    <a:latin typeface="Arial"/>
                    <a:ea typeface="Arial"/>
                    <a:cs typeface="Arial"/>
                  </a:defRPr>
                </a:pPr>
                <a:r>
                  <a:rPr lang="en-US"/>
                  <a:t>Total Phosphorus ug/l</a:t>
                </a:r>
              </a:p>
            </c:rich>
          </c:tx>
          <c:layout>
            <c:manualLayout>
              <c:xMode val="edge"/>
              <c:yMode val="edge"/>
              <c:x val="1.2534925069850157E-3"/>
              <c:y val="0.2461347228199682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2435724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35702565405130809"/>
          <c:y val="0.22560826938188036"/>
          <c:w val="0.31730482370055729"/>
          <c:h val="0.1158080671223114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en-US" sz="1200" b="1"/>
              <a:t>2010 Bear Creek Reservoir Total Phosphorus Trends</a:t>
            </a:r>
          </a:p>
        </c:rich>
      </c:tx>
      <c:overlay val="0"/>
    </c:title>
    <c:autoTitleDeleted val="0"/>
    <c:plotArea>
      <c:layout>
        <c:manualLayout>
          <c:layoutTarget val="inner"/>
          <c:xMode val="edge"/>
          <c:yMode val="edge"/>
          <c:x val="5.5961137043247934E-2"/>
          <c:y val="0.24084965340870854"/>
          <c:w val="0.91975752799204058"/>
          <c:h val="0.64510061242348182"/>
        </c:manualLayout>
      </c:layout>
      <c:lineChart>
        <c:grouping val="standard"/>
        <c:varyColors val="0"/>
        <c:ser>
          <c:idx val="2"/>
          <c:order val="0"/>
          <c:tx>
            <c:strRef>
              <c:f>'T &amp; Diss Phosphorus'!$A$18</c:f>
              <c:strCache>
                <c:ptCount val="1"/>
                <c:pt idx="0">
                  <c:v>Reservoir - Top</c:v>
                </c:pt>
              </c:strCache>
            </c:strRef>
          </c:tx>
          <c:spPr>
            <a:ln w="38100"/>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15</c:v>
                </c:pt>
                <c:pt idx="1">
                  <c:v>26</c:v>
                </c:pt>
                <c:pt idx="2">
                  <c:v>16</c:v>
                </c:pt>
                <c:pt idx="3">
                  <c:v>39</c:v>
                </c:pt>
                <c:pt idx="4">
                  <c:v>22</c:v>
                </c:pt>
                <c:pt idx="5">
                  <c:v>29</c:v>
                </c:pt>
                <c:pt idx="6">
                  <c:v>20</c:v>
                </c:pt>
                <c:pt idx="7">
                  <c:v>37</c:v>
                </c:pt>
                <c:pt idx="8">
                  <c:v>34</c:v>
                </c:pt>
                <c:pt idx="9">
                  <c:v>41</c:v>
                </c:pt>
                <c:pt idx="10">
                  <c:v>35</c:v>
                </c:pt>
                <c:pt idx="11">
                  <c:v>19</c:v>
                </c:pt>
              </c:numCache>
            </c:numRef>
          </c:val>
          <c:smooth val="0"/>
          <c:extLst>
            <c:ext xmlns:c16="http://schemas.microsoft.com/office/drawing/2014/chart" uri="{C3380CC4-5D6E-409C-BE32-E72D297353CC}">
              <c16:uniqueId val="{00000000-03F1-4028-92F7-A11A04BC73A5}"/>
            </c:ext>
          </c:extLst>
        </c:ser>
        <c:ser>
          <c:idx val="3"/>
          <c:order val="1"/>
          <c:tx>
            <c:strRef>
              <c:f>'T &amp; Diss Phosphorus'!$A$19</c:f>
              <c:strCache>
                <c:ptCount val="1"/>
                <c:pt idx="0">
                  <c:v>Reservoir - Lower</c:v>
                </c:pt>
              </c:strCache>
            </c:strRef>
          </c:tx>
          <c:spPr>
            <a:ln w="38100"/>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Phosphorus'!$B$19:$M$19</c:f>
              <c:numCache>
                <c:formatCode>0.0</c:formatCode>
                <c:ptCount val="12"/>
                <c:pt idx="0">
                  <c:v>15</c:v>
                </c:pt>
                <c:pt idx="1">
                  <c:v>13</c:v>
                </c:pt>
                <c:pt idx="2">
                  <c:v>15</c:v>
                </c:pt>
                <c:pt idx="3">
                  <c:v>38</c:v>
                </c:pt>
                <c:pt idx="4">
                  <c:v>22</c:v>
                </c:pt>
                <c:pt idx="5">
                  <c:v>37</c:v>
                </c:pt>
                <c:pt idx="6">
                  <c:v>40.5</c:v>
                </c:pt>
                <c:pt idx="7">
                  <c:v>56</c:v>
                </c:pt>
                <c:pt idx="8">
                  <c:v>45</c:v>
                </c:pt>
                <c:pt idx="9">
                  <c:v>41</c:v>
                </c:pt>
                <c:pt idx="10">
                  <c:v>83</c:v>
                </c:pt>
                <c:pt idx="11">
                  <c:v>36</c:v>
                </c:pt>
              </c:numCache>
            </c:numRef>
          </c:val>
          <c:smooth val="0"/>
          <c:extLst>
            <c:ext xmlns:c16="http://schemas.microsoft.com/office/drawing/2014/chart" uri="{C3380CC4-5D6E-409C-BE32-E72D297353CC}">
              <c16:uniqueId val="{00000001-03F1-4028-92F7-A11A04BC73A5}"/>
            </c:ext>
          </c:extLst>
        </c:ser>
        <c:ser>
          <c:idx val="0"/>
          <c:order val="2"/>
          <c:tx>
            <c:strRef>
              <c:f>'T &amp; Diss Phosphorus'!$A$17</c:f>
              <c:strCache>
                <c:ptCount val="1"/>
                <c:pt idx="0">
                  <c:v>Reservoir Discharge</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Phosphorus'!$B$17:$M$17</c:f>
              <c:numCache>
                <c:formatCode>0.0</c:formatCode>
                <c:ptCount val="12"/>
                <c:pt idx="0">
                  <c:v>17</c:v>
                </c:pt>
                <c:pt idx="1">
                  <c:v>28</c:v>
                </c:pt>
                <c:pt idx="2">
                  <c:v>16</c:v>
                </c:pt>
                <c:pt idx="3">
                  <c:v>39</c:v>
                </c:pt>
                <c:pt idx="4">
                  <c:v>20</c:v>
                </c:pt>
                <c:pt idx="5">
                  <c:v>32</c:v>
                </c:pt>
                <c:pt idx="6">
                  <c:v>20.5</c:v>
                </c:pt>
                <c:pt idx="7">
                  <c:v>37</c:v>
                </c:pt>
                <c:pt idx="8">
                  <c:v>42.5</c:v>
                </c:pt>
                <c:pt idx="9">
                  <c:v>54</c:v>
                </c:pt>
                <c:pt idx="10">
                  <c:v>36</c:v>
                </c:pt>
                <c:pt idx="11">
                  <c:v>25</c:v>
                </c:pt>
              </c:numCache>
            </c:numRef>
          </c:val>
          <c:smooth val="0"/>
          <c:extLst>
            <c:ext xmlns:c16="http://schemas.microsoft.com/office/drawing/2014/chart" uri="{C3380CC4-5D6E-409C-BE32-E72D297353CC}">
              <c16:uniqueId val="{00000002-03F1-4028-92F7-A11A04BC73A5}"/>
            </c:ext>
          </c:extLst>
        </c:ser>
        <c:dLbls>
          <c:showLegendKey val="0"/>
          <c:showVal val="0"/>
          <c:showCatName val="0"/>
          <c:showSerName val="0"/>
          <c:showPercent val="0"/>
          <c:showBubbleSize val="0"/>
        </c:dLbls>
        <c:marker val="1"/>
        <c:smooth val="0"/>
        <c:axId val="125327232"/>
        <c:axId val="125328768"/>
      </c:lineChart>
      <c:catAx>
        <c:axId val="125327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28768"/>
        <c:crosses val="autoZero"/>
        <c:auto val="1"/>
        <c:lblAlgn val="ctr"/>
        <c:lblOffset val="100"/>
        <c:tickLblSkip val="1"/>
        <c:tickMarkSkip val="1"/>
        <c:noMultiLvlLbl val="0"/>
      </c:catAx>
      <c:valAx>
        <c:axId val="125328768"/>
        <c:scaling>
          <c:orientation val="minMax"/>
        </c:scaling>
        <c:delete val="0"/>
        <c:axPos val="l"/>
        <c:majorGridlines>
          <c:spPr>
            <a:ln w="3175">
              <a:solidFill>
                <a:srgbClr val="000000"/>
              </a:solidFill>
              <a:prstDash val="solid"/>
            </a:ln>
          </c:spPr>
        </c:majorGridlines>
        <c:min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27232"/>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legend>
      <c:legendPos val="r"/>
      <c:layout>
        <c:manualLayout>
          <c:xMode val="edge"/>
          <c:yMode val="edge"/>
          <c:x val="0.2504555848932058"/>
          <c:y val="0.11102463153644269"/>
          <c:w val="0.50798658588332835"/>
          <c:h val="0.1136787249419932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2010 Bear Creek Reservoir TP versus TDP Surface</a:t>
            </a:r>
          </a:p>
        </c:rich>
      </c:tx>
      <c:layout>
        <c:manualLayout>
          <c:xMode val="edge"/>
          <c:yMode val="edge"/>
          <c:x val="0.26584157749512083"/>
          <c:y val="1.3793103448275902E-2"/>
        </c:manualLayout>
      </c:layout>
      <c:overlay val="0"/>
    </c:title>
    <c:autoTitleDeleted val="0"/>
    <c:plotArea>
      <c:layout>
        <c:manualLayout>
          <c:layoutTarget val="inner"/>
          <c:xMode val="edge"/>
          <c:yMode val="edge"/>
          <c:x val="6.9161675303407583E-2"/>
          <c:y val="0.20761145805050241"/>
          <c:w val="0.92982132041188736"/>
          <c:h val="0.67829106706489695"/>
        </c:manualLayout>
      </c:layout>
      <c:lineChart>
        <c:grouping val="standard"/>
        <c:varyColors val="0"/>
        <c:ser>
          <c:idx val="0"/>
          <c:order val="0"/>
          <c:tx>
            <c:strRef>
              <c:f>'T &amp; Diss Phosphorus'!$A$13:$M$13</c:f>
              <c:strCache>
                <c:ptCount val="13"/>
                <c:pt idx="0">
                  <c:v>Total Phosphorus (ug/l)</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15</c:v>
                </c:pt>
                <c:pt idx="1">
                  <c:v>26</c:v>
                </c:pt>
                <c:pt idx="2">
                  <c:v>16</c:v>
                </c:pt>
                <c:pt idx="3">
                  <c:v>39</c:v>
                </c:pt>
                <c:pt idx="4">
                  <c:v>22</c:v>
                </c:pt>
                <c:pt idx="5">
                  <c:v>29</c:v>
                </c:pt>
                <c:pt idx="6">
                  <c:v>20</c:v>
                </c:pt>
                <c:pt idx="7">
                  <c:v>37</c:v>
                </c:pt>
                <c:pt idx="8">
                  <c:v>34</c:v>
                </c:pt>
                <c:pt idx="9">
                  <c:v>41</c:v>
                </c:pt>
                <c:pt idx="10">
                  <c:v>35</c:v>
                </c:pt>
                <c:pt idx="11">
                  <c:v>19</c:v>
                </c:pt>
              </c:numCache>
            </c:numRef>
          </c:val>
          <c:smooth val="0"/>
          <c:extLst>
            <c:ext xmlns:c16="http://schemas.microsoft.com/office/drawing/2014/chart" uri="{C3380CC4-5D6E-409C-BE32-E72D297353CC}">
              <c16:uniqueId val="{00000000-0AE5-4B0E-8E56-26C4B781B421}"/>
            </c:ext>
          </c:extLst>
        </c:ser>
        <c:ser>
          <c:idx val="1"/>
          <c:order val="1"/>
          <c:tx>
            <c:strRef>
              <c:f>'T &amp; Diss Phosphorus'!$A$53:$P$53</c:f>
              <c:strCache>
                <c:ptCount val="16"/>
                <c:pt idx="0">
                  <c:v>Total Dissolved Phosphorus, ug/l </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Phosphorus'!$B$58:$M$58</c:f>
              <c:numCache>
                <c:formatCode>0</c:formatCode>
                <c:ptCount val="12"/>
                <c:pt idx="0">
                  <c:v>16</c:v>
                </c:pt>
                <c:pt idx="1">
                  <c:v>12</c:v>
                </c:pt>
                <c:pt idx="2">
                  <c:v>8</c:v>
                </c:pt>
                <c:pt idx="3">
                  <c:v>15</c:v>
                </c:pt>
                <c:pt idx="4">
                  <c:v>5</c:v>
                </c:pt>
                <c:pt idx="5">
                  <c:v>15</c:v>
                </c:pt>
                <c:pt idx="6">
                  <c:v>12</c:v>
                </c:pt>
                <c:pt idx="7">
                  <c:v>10</c:v>
                </c:pt>
                <c:pt idx="8">
                  <c:v>10</c:v>
                </c:pt>
                <c:pt idx="9">
                  <c:v>16</c:v>
                </c:pt>
                <c:pt idx="10">
                  <c:v>11</c:v>
                </c:pt>
                <c:pt idx="11">
                  <c:v>5</c:v>
                </c:pt>
              </c:numCache>
            </c:numRef>
          </c:val>
          <c:smooth val="0"/>
          <c:extLst>
            <c:ext xmlns:c16="http://schemas.microsoft.com/office/drawing/2014/chart" uri="{C3380CC4-5D6E-409C-BE32-E72D297353CC}">
              <c16:uniqueId val="{00000001-0AE5-4B0E-8E56-26C4B781B421}"/>
            </c:ext>
          </c:extLst>
        </c:ser>
        <c:dLbls>
          <c:showLegendKey val="0"/>
          <c:showVal val="0"/>
          <c:showCatName val="0"/>
          <c:showSerName val="0"/>
          <c:showPercent val="0"/>
          <c:showBubbleSize val="0"/>
        </c:dLbls>
        <c:marker val="1"/>
        <c:smooth val="0"/>
        <c:axId val="125352576"/>
        <c:axId val="125366656"/>
      </c:lineChart>
      <c:catAx>
        <c:axId val="125352576"/>
        <c:scaling>
          <c:orientation val="minMax"/>
        </c:scaling>
        <c:delete val="0"/>
        <c:axPos val="b"/>
        <c:numFmt formatCode="General" sourceLinked="0"/>
        <c:majorTickMark val="out"/>
        <c:minorTickMark val="none"/>
        <c:tickLblPos val="nextTo"/>
        <c:crossAx val="125366656"/>
        <c:crosses val="autoZero"/>
        <c:auto val="1"/>
        <c:lblAlgn val="ctr"/>
        <c:lblOffset val="100"/>
        <c:noMultiLvlLbl val="0"/>
      </c:catAx>
      <c:valAx>
        <c:axId val="125366656"/>
        <c:scaling>
          <c:orientation val="minMax"/>
        </c:scaling>
        <c:delete val="0"/>
        <c:axPos val="l"/>
        <c:majorGridlines/>
        <c:numFmt formatCode="0.0" sourceLinked="1"/>
        <c:majorTickMark val="out"/>
        <c:minorTickMark val="none"/>
        <c:tickLblPos val="nextTo"/>
        <c:crossAx val="125352576"/>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38076283733764293"/>
          <c:y val="0.118532717893022"/>
          <c:w val="0.2796845425867508"/>
          <c:h val="0.13946429541135019"/>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1255" l="0.70000000000000062" r="0.70000000000000062" t="0.7500000000000125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2010 Bear Creek Watershed Nitrate-Nitrogen</a:t>
            </a:r>
          </a:p>
        </c:rich>
      </c:tx>
      <c:layout>
        <c:manualLayout>
          <c:xMode val="edge"/>
          <c:yMode val="edge"/>
          <c:x val="0.34838709677419388"/>
          <c:y val="3.5842293906810055E-2"/>
        </c:manualLayout>
      </c:layout>
      <c:overlay val="0"/>
      <c:spPr>
        <a:noFill/>
        <a:ln w="25400">
          <a:noFill/>
        </a:ln>
      </c:spPr>
    </c:title>
    <c:autoTitleDeleted val="0"/>
    <c:plotArea>
      <c:layout>
        <c:manualLayout>
          <c:layoutTarget val="inner"/>
          <c:xMode val="edge"/>
          <c:yMode val="edge"/>
          <c:x val="0.10392609699769056"/>
          <c:y val="0.14864073995439941"/>
          <c:w val="0.86951501154734412"/>
          <c:h val="0.72573132344390889"/>
        </c:manualLayout>
      </c:layout>
      <c:lineChart>
        <c:grouping val="standard"/>
        <c:varyColors val="0"/>
        <c:ser>
          <c:idx val="0"/>
          <c:order val="0"/>
          <c:tx>
            <c:strRef>
              <c:f>'Nitrate &amp; T Nitrogen'!$A$16</c:f>
              <c:strCache>
                <c:ptCount val="1"/>
                <c:pt idx="0">
                  <c:v>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'Nitrate &amp; T Nitrogen'!$B$15:$M$15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Nitrogen'!$B$16:$M$16</c:f>
              <c:numCache>
                <c:formatCode>0</c:formatCode>
                <c:ptCount val="12"/>
                <c:pt idx="0">
                  <c:v>695</c:v>
                </c:pt>
                <c:pt idx="1">
                  <c:v>789</c:v>
                </c:pt>
                <c:pt idx="2">
                  <c:v>784</c:v>
                </c:pt>
                <c:pt idx="3">
                  <c:v>465</c:v>
                </c:pt>
                <c:pt idx="4">
                  <c:v>466</c:v>
                </c:pt>
                <c:pt idx="5">
                  <c:v>339</c:v>
                </c:pt>
                <c:pt idx="6">
                  <c:v>382.5</c:v>
                </c:pt>
                <c:pt idx="7">
                  <c:v>361</c:v>
                </c:pt>
                <c:pt idx="8">
                  <c:v>1057</c:v>
                </c:pt>
                <c:pt idx="9">
                  <c:v>167</c:v>
                </c:pt>
                <c:pt idx="10">
                  <c:v>483</c:v>
                </c:pt>
                <c:pt idx="11">
                  <c:v>752</c:v>
                </c:pt>
              </c:numCache>
            </c:numRef>
          </c:val>
          <c:smooth val="0"/>
          <c:extLst>
            <c:ext xmlns:c16="http://schemas.microsoft.com/office/drawing/2014/chart" uri="{C3380CC4-5D6E-409C-BE32-E72D297353CC}">
              <c16:uniqueId val="{00000000-0875-41EB-A715-6633E32D9925}"/>
            </c:ext>
          </c:extLst>
        </c:ser>
        <c:ser>
          <c:idx val="1"/>
          <c:order val="1"/>
          <c:tx>
            <c:strRef>
              <c:f>'Nitrate &amp; T Nitrogen'!$A$17</c:f>
              <c:strCache>
                <c:ptCount val="1"/>
                <c:pt idx="0">
                  <c:v>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'Nitrate &amp; T Nitrogen'!$B$15:$M$15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Nitrogen'!$B$17:$M$17</c:f>
              <c:numCache>
                <c:formatCode>0</c:formatCode>
                <c:ptCount val="12"/>
                <c:pt idx="0">
                  <c:v>1453</c:v>
                </c:pt>
                <c:pt idx="1">
                  <c:v>1467</c:v>
                </c:pt>
                <c:pt idx="2">
                  <c:v>1084</c:v>
                </c:pt>
                <c:pt idx="3">
                  <c:v>554</c:v>
                </c:pt>
                <c:pt idx="4">
                  <c:v>555</c:v>
                </c:pt>
                <c:pt idx="5">
                  <c:v>303</c:v>
                </c:pt>
                <c:pt idx="6">
                  <c:v>541.5</c:v>
                </c:pt>
                <c:pt idx="7">
                  <c:v>467</c:v>
                </c:pt>
                <c:pt idx="8">
                  <c:v>1103</c:v>
                </c:pt>
                <c:pt idx="9">
                  <c:v>488</c:v>
                </c:pt>
                <c:pt idx="10">
                  <c:v>1486</c:v>
                </c:pt>
                <c:pt idx="11">
                  <c:v>7833</c:v>
                </c:pt>
              </c:numCache>
            </c:numRef>
          </c:val>
          <c:smooth val="0"/>
          <c:extLst>
            <c:ext xmlns:c16="http://schemas.microsoft.com/office/drawing/2014/chart" uri="{C3380CC4-5D6E-409C-BE32-E72D297353CC}">
              <c16:uniqueId val="{00000001-0875-41EB-A715-6633E32D9925}"/>
            </c:ext>
          </c:extLst>
        </c:ser>
        <c:ser>
          <c:idx val="2"/>
          <c:order val="2"/>
          <c:tx>
            <c:strRef>
              <c:f>'Nitrate &amp; T Nitrogen'!$A$18</c:f>
              <c:strCache>
                <c:ptCount val="1"/>
                <c:pt idx="0">
                  <c:v>Reservoir Discharge</c:v>
                </c:pt>
              </c:strCache>
            </c:strRef>
          </c:tx>
          <c:spPr>
            <a:ln w="38100">
              <a:solidFill>
                <a:srgbClr val="FFFF00"/>
              </a:solidFill>
              <a:prstDash val="solid"/>
            </a:ln>
          </c:spPr>
          <c:marker>
            <c:symbol val="triangle"/>
            <c:size val="9"/>
            <c:spPr>
              <a:solidFill>
                <a:srgbClr val="FFFF00"/>
              </a:solidFill>
              <a:ln>
                <a:solidFill>
                  <a:srgbClr val="FFFF00"/>
                </a:solidFill>
                <a:prstDash val="solid"/>
              </a:ln>
            </c:spPr>
          </c:marker>
          <c:cat>
            <c:strRef>
              <c:f>'Nitrate &amp; T Nitrogen'!$B$15:$M$15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Nitrogen'!$B$18:$M$18</c:f>
              <c:numCache>
                <c:formatCode>0</c:formatCode>
                <c:ptCount val="12"/>
                <c:pt idx="0">
                  <c:v>693</c:v>
                </c:pt>
                <c:pt idx="1">
                  <c:v>973</c:v>
                </c:pt>
                <c:pt idx="2">
                  <c:v>579</c:v>
                </c:pt>
                <c:pt idx="3">
                  <c:v>464</c:v>
                </c:pt>
                <c:pt idx="4">
                  <c:v>465</c:v>
                </c:pt>
                <c:pt idx="5">
                  <c:v>211</c:v>
                </c:pt>
                <c:pt idx="6">
                  <c:v>198</c:v>
                </c:pt>
                <c:pt idx="7">
                  <c:v>106.5</c:v>
                </c:pt>
                <c:pt idx="8">
                  <c:v>29</c:v>
                </c:pt>
                <c:pt idx="9">
                  <c:v>37</c:v>
                </c:pt>
                <c:pt idx="10">
                  <c:v>69</c:v>
                </c:pt>
                <c:pt idx="11">
                  <c:v>8</c:v>
                </c:pt>
              </c:numCache>
            </c:numRef>
          </c:val>
          <c:smooth val="0"/>
          <c:extLst>
            <c:ext xmlns:c16="http://schemas.microsoft.com/office/drawing/2014/chart" uri="{C3380CC4-5D6E-409C-BE32-E72D297353CC}">
              <c16:uniqueId val="{00000002-0875-41EB-A715-6633E32D9925}"/>
            </c:ext>
          </c:extLst>
        </c:ser>
        <c:dLbls>
          <c:showLegendKey val="0"/>
          <c:showVal val="0"/>
          <c:showCatName val="0"/>
          <c:showSerName val="0"/>
          <c:showPercent val="0"/>
          <c:showBubbleSize val="0"/>
        </c:dLbls>
        <c:marker val="1"/>
        <c:smooth val="0"/>
        <c:axId val="127011456"/>
        <c:axId val="127021824"/>
      </c:lineChart>
      <c:catAx>
        <c:axId val="12701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21824"/>
        <c:crosses val="autoZero"/>
        <c:auto val="1"/>
        <c:lblAlgn val="ctr"/>
        <c:lblOffset val="100"/>
        <c:tickLblSkip val="1"/>
        <c:tickMarkSkip val="1"/>
        <c:noMultiLvlLbl val="0"/>
      </c:catAx>
      <c:valAx>
        <c:axId val="127021824"/>
        <c:scaling>
          <c:orientation val="minMax"/>
        </c:scaling>
        <c:delete val="0"/>
        <c:axPos val="l"/>
        <c:majorGridlines>
          <c:spPr>
            <a:ln w="3175">
              <a:solidFill>
                <a:srgbClr val="000000"/>
              </a:solidFill>
              <a:prstDash val="solid"/>
            </a:ln>
          </c:spPr>
        </c:majorGridlines>
        <c:minorGridlines/>
        <c:title>
          <c:tx>
            <c:rich>
              <a:bodyPr/>
              <a:lstStyle/>
              <a:p>
                <a:pPr>
                  <a:defRPr sz="1050" b="1" i="0" u="none" strike="noStrike" baseline="0">
                    <a:solidFill>
                      <a:srgbClr val="000000"/>
                    </a:solidFill>
                    <a:latin typeface="Arial"/>
                    <a:ea typeface="Arial"/>
                    <a:cs typeface="Arial"/>
                  </a:defRPr>
                </a:pPr>
                <a:r>
                  <a:rPr lang="en-US"/>
                  <a:t>Nitrate ug/l</a:t>
                </a:r>
              </a:p>
            </c:rich>
          </c:tx>
          <c:layout>
            <c:manualLayout>
              <c:xMode val="edge"/>
              <c:yMode val="edge"/>
              <c:x val="1.3901476478970765E-2"/>
              <c:y val="0.330338684217825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011456"/>
        <c:crosses val="autoZero"/>
        <c:crossBetween val="between"/>
      </c:valAx>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30508381799521223"/>
          <c:y val="0.20332684088580374"/>
          <c:w val="0.46635360492982791"/>
          <c:h val="0.11491816746822242"/>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Nitrate-Nitrogen [ug/l] Trend</a:t>
            </a:r>
          </a:p>
        </c:rich>
      </c:tx>
      <c:layout>
        <c:manualLayout>
          <c:xMode val="edge"/>
          <c:yMode val="edge"/>
          <c:x val="0.17907444668008049"/>
          <c:y val="3.6065573770491806E-2"/>
        </c:manualLayout>
      </c:layout>
      <c:overlay val="0"/>
      <c:spPr>
        <a:noFill/>
        <a:ln w="25400">
          <a:noFill/>
        </a:ln>
      </c:spPr>
    </c:title>
    <c:autoTitleDeleted val="0"/>
    <c:plotArea>
      <c:layout>
        <c:manualLayout>
          <c:layoutTarget val="inner"/>
          <c:xMode val="edge"/>
          <c:yMode val="edge"/>
          <c:x val="8.6519114688128479E-2"/>
          <c:y val="0.15737704918033343"/>
          <c:w val="0.89738430583499296"/>
          <c:h val="0.66557377049181365"/>
        </c:manualLayout>
      </c:layout>
      <c:barChart>
        <c:barDir val="col"/>
        <c:grouping val="clustered"/>
        <c:varyColors val="0"/>
        <c:ser>
          <c:idx val="0"/>
          <c:order val="0"/>
          <c:tx>
            <c:strRef>
              <c:f>'Annual Reservoir Trends'!$B$7</c:f>
              <c:strCache>
                <c:ptCount val="1"/>
                <c:pt idx="0">
                  <c:v>Top</c:v>
                </c:pt>
              </c:strCache>
            </c:strRef>
          </c:tx>
          <c:spPr>
            <a:solidFill>
              <a:srgbClr val="9999FF"/>
            </a:solidFill>
            <a:ln w="12700">
              <a:solidFill>
                <a:srgbClr val="000000"/>
              </a:solidFill>
              <a:prstDash val="solid"/>
            </a:ln>
          </c:spPr>
          <c:invertIfNegative val="0"/>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Trends'!$C$7:$V$7</c:f>
              <c:numCache>
                <c:formatCode>General</c:formatCode>
                <c:ptCount val="20"/>
                <c:pt idx="0">
                  <c:v>442</c:v>
                </c:pt>
                <c:pt idx="1">
                  <c:v>289</c:v>
                </c:pt>
                <c:pt idx="2">
                  <c:v>504</c:v>
                </c:pt>
                <c:pt idx="3">
                  <c:v>382</c:v>
                </c:pt>
                <c:pt idx="4">
                  <c:v>474</c:v>
                </c:pt>
                <c:pt idx="5">
                  <c:v>578</c:v>
                </c:pt>
                <c:pt idx="6">
                  <c:v>393</c:v>
                </c:pt>
                <c:pt idx="7">
                  <c:v>388</c:v>
                </c:pt>
                <c:pt idx="8">
                  <c:v>224</c:v>
                </c:pt>
                <c:pt idx="9">
                  <c:v>431</c:v>
                </c:pt>
                <c:pt idx="10">
                  <c:v>401</c:v>
                </c:pt>
                <c:pt idx="11">
                  <c:v>289</c:v>
                </c:pt>
                <c:pt idx="12">
                  <c:v>268</c:v>
                </c:pt>
                <c:pt idx="13">
                  <c:v>268</c:v>
                </c:pt>
                <c:pt idx="14" formatCode="0">
                  <c:v>193.23769230769227</c:v>
                </c:pt>
                <c:pt idx="15" formatCode="0">
                  <c:v>158.27857142857144</c:v>
                </c:pt>
                <c:pt idx="16" formatCode="0">
                  <c:v>221.96199999999999</c:v>
                </c:pt>
                <c:pt idx="17" formatCode="0">
                  <c:v>233</c:v>
                </c:pt>
                <c:pt idx="18" formatCode="0">
                  <c:v>291</c:v>
                </c:pt>
                <c:pt idx="19" formatCode="0">
                  <c:v>287</c:v>
                </c:pt>
              </c:numCache>
            </c:numRef>
          </c:val>
          <c:extLst>
            <c:ext xmlns:c16="http://schemas.microsoft.com/office/drawing/2014/chart" uri="{C3380CC4-5D6E-409C-BE32-E72D297353CC}">
              <c16:uniqueId val="{00000000-F491-4ECE-BBA5-5603DF01D02B}"/>
            </c:ext>
          </c:extLst>
        </c:ser>
        <c:ser>
          <c:idx val="3"/>
          <c:order val="1"/>
          <c:tx>
            <c:strRef>
              <c:f>'Annual Reservoir Trends'!$B$9</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Trends'!$C$9:$V$9</c:f>
              <c:numCache>
                <c:formatCode>General</c:formatCode>
                <c:ptCount val="20"/>
                <c:pt idx="0">
                  <c:v>341</c:v>
                </c:pt>
                <c:pt idx="1">
                  <c:v>228</c:v>
                </c:pt>
                <c:pt idx="2">
                  <c:v>333</c:v>
                </c:pt>
                <c:pt idx="3">
                  <c:v>308</c:v>
                </c:pt>
                <c:pt idx="4">
                  <c:v>503</c:v>
                </c:pt>
                <c:pt idx="5">
                  <c:v>561</c:v>
                </c:pt>
                <c:pt idx="6">
                  <c:v>341</c:v>
                </c:pt>
                <c:pt idx="7">
                  <c:v>342</c:v>
                </c:pt>
                <c:pt idx="8">
                  <c:v>231</c:v>
                </c:pt>
                <c:pt idx="9">
                  <c:v>483</c:v>
                </c:pt>
                <c:pt idx="10">
                  <c:v>390</c:v>
                </c:pt>
                <c:pt idx="11">
                  <c:v>268</c:v>
                </c:pt>
                <c:pt idx="12">
                  <c:v>259</c:v>
                </c:pt>
                <c:pt idx="13">
                  <c:v>224</c:v>
                </c:pt>
                <c:pt idx="14" formatCode="0">
                  <c:v>220.75615384615381</c:v>
                </c:pt>
                <c:pt idx="15" formatCode="0">
                  <c:v>151.27000000000001</c:v>
                </c:pt>
                <c:pt idx="16" formatCode="0">
                  <c:v>232.79071428571427</c:v>
                </c:pt>
                <c:pt idx="17" formatCode="0">
                  <c:v>230</c:v>
                </c:pt>
                <c:pt idx="18" formatCode="0">
                  <c:v>244</c:v>
                </c:pt>
                <c:pt idx="19" formatCode="0">
                  <c:v>222</c:v>
                </c:pt>
              </c:numCache>
            </c:numRef>
          </c:val>
          <c:extLst>
            <c:ext xmlns:c16="http://schemas.microsoft.com/office/drawing/2014/chart" uri="{C3380CC4-5D6E-409C-BE32-E72D297353CC}">
              <c16:uniqueId val="{00000002-F491-4ECE-BBA5-5603DF01D02B}"/>
            </c:ext>
          </c:extLst>
        </c:ser>
        <c:dLbls>
          <c:showLegendKey val="0"/>
          <c:showVal val="0"/>
          <c:showCatName val="0"/>
          <c:showSerName val="0"/>
          <c:showPercent val="0"/>
          <c:showBubbleSize val="0"/>
        </c:dLbls>
        <c:gapWidth val="150"/>
        <c:axId val="51182592"/>
        <c:axId val="51249920"/>
      </c:barChart>
      <c:catAx>
        <c:axId val="51182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51249920"/>
        <c:crosses val="autoZero"/>
        <c:auto val="1"/>
        <c:lblAlgn val="ctr"/>
        <c:lblOffset val="100"/>
        <c:tickLblSkip val="1"/>
        <c:tickMarkSkip val="1"/>
        <c:noMultiLvlLbl val="0"/>
      </c:catAx>
      <c:valAx>
        <c:axId val="51249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18259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69818913480885314"/>
          <c:y val="0.13989071038251366"/>
          <c:w val="0.27364185110663974"/>
          <c:h val="0.1901639344262324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2010 Bear Creek Reservoir Nitrogen Trend</a:t>
            </a:r>
          </a:p>
        </c:rich>
      </c:tx>
      <c:overlay val="0"/>
    </c:title>
    <c:autoTitleDeleted val="0"/>
    <c:plotArea>
      <c:layout>
        <c:manualLayout>
          <c:layoutTarget val="inner"/>
          <c:xMode val="edge"/>
          <c:yMode val="edge"/>
          <c:x val="0.11265507436570428"/>
          <c:y val="0.31991907261592967"/>
          <c:w val="0.86785870516185482"/>
          <c:h val="0.50350284339457563"/>
        </c:manualLayout>
      </c:layout>
      <c:lineChart>
        <c:grouping val="standard"/>
        <c:varyColors val="0"/>
        <c:ser>
          <c:idx val="0"/>
          <c:order val="0"/>
          <c:tx>
            <c:strRef>
              <c:f>'Nitrate &amp; T Nitrogen'!$A$19</c:f>
              <c:strCache>
                <c:ptCount val="1"/>
                <c:pt idx="0">
                  <c:v>Reservoir - Top (NO3)</c:v>
                </c:pt>
              </c:strCache>
            </c:strRef>
          </c:tx>
          <c:cat>
            <c:strRef>
              <c:f>'Nitrate &amp; T Nitrogen'!$B$15:$M$15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Nitrogen'!$B$19:$M$19</c:f>
              <c:numCache>
                <c:formatCode>0</c:formatCode>
                <c:ptCount val="12"/>
                <c:pt idx="0">
                  <c:v>791</c:v>
                </c:pt>
                <c:pt idx="1">
                  <c:v>1019</c:v>
                </c:pt>
                <c:pt idx="2">
                  <c:v>593</c:v>
                </c:pt>
                <c:pt idx="3">
                  <c:v>456</c:v>
                </c:pt>
                <c:pt idx="4">
                  <c:v>459</c:v>
                </c:pt>
                <c:pt idx="5">
                  <c:v>205</c:v>
                </c:pt>
                <c:pt idx="6">
                  <c:v>199.5</c:v>
                </c:pt>
                <c:pt idx="7">
                  <c:v>106</c:v>
                </c:pt>
                <c:pt idx="8">
                  <c:v>29.5</c:v>
                </c:pt>
                <c:pt idx="9">
                  <c:v>37</c:v>
                </c:pt>
                <c:pt idx="10">
                  <c:v>74</c:v>
                </c:pt>
                <c:pt idx="11">
                  <c:v>2</c:v>
                </c:pt>
              </c:numCache>
            </c:numRef>
          </c:val>
          <c:smooth val="0"/>
          <c:extLst>
            <c:ext xmlns:c16="http://schemas.microsoft.com/office/drawing/2014/chart" uri="{C3380CC4-5D6E-409C-BE32-E72D297353CC}">
              <c16:uniqueId val="{00000000-20B3-430F-8C58-B3F88AC7E584}"/>
            </c:ext>
          </c:extLst>
        </c:ser>
        <c:ser>
          <c:idx val="1"/>
          <c:order val="1"/>
          <c:tx>
            <c:strRef>
              <c:f>'Nitrate &amp; T Nitrogen'!$A$20</c:f>
              <c:strCache>
                <c:ptCount val="1"/>
                <c:pt idx="0">
                  <c:v>Reservoir - Lower (NO3)</c:v>
                </c:pt>
              </c:strCache>
            </c:strRef>
          </c:tx>
          <c:cat>
            <c:strRef>
              <c:f>'Nitrate &amp; T Nitrogen'!$B$15:$M$15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'Nitrate &amp; T Nitrogen'!$B$20:$M$20</c:f>
              <c:numCache>
                <c:formatCode>0</c:formatCode>
                <c:ptCount val="12"/>
                <c:pt idx="0">
                  <c:v>393</c:v>
                </c:pt>
                <c:pt idx="1">
                  <c:v>547</c:v>
                </c:pt>
                <c:pt idx="2">
                  <c:v>348</c:v>
                </c:pt>
                <c:pt idx="3">
                  <c:v>487</c:v>
                </c:pt>
                <c:pt idx="4">
                  <c:v>490</c:v>
                </c:pt>
                <c:pt idx="5">
                  <c:v>200</c:v>
                </c:pt>
                <c:pt idx="6">
                  <c:v>182</c:v>
                </c:pt>
                <c:pt idx="7">
                  <c:v>109.5</c:v>
                </c:pt>
                <c:pt idx="8">
                  <c:v>44.5</c:v>
                </c:pt>
                <c:pt idx="9">
                  <c:v>39</c:v>
                </c:pt>
                <c:pt idx="10">
                  <c:v>111</c:v>
                </c:pt>
                <c:pt idx="11">
                  <c:v>40</c:v>
                </c:pt>
              </c:numCache>
            </c:numRef>
          </c:val>
          <c:smooth val="0"/>
          <c:extLst>
            <c:ext xmlns:c16="http://schemas.microsoft.com/office/drawing/2014/chart" uri="{C3380CC4-5D6E-409C-BE32-E72D297353CC}">
              <c16:uniqueId val="{00000001-20B3-430F-8C58-B3F88AC7E584}"/>
            </c:ext>
          </c:extLst>
        </c:ser>
        <c:ser>
          <c:idx val="2"/>
          <c:order val="2"/>
          <c:tx>
            <c:strRef>
              <c:f>'Nitrate &amp; T Nitrogen'!$A$22</c:f>
              <c:strCache>
                <c:ptCount val="1"/>
                <c:pt idx="0">
                  <c:v>Reservoir - Top (TN)</c:v>
                </c:pt>
              </c:strCache>
            </c:strRef>
          </c:tx>
          <c:val>
            <c:numRef>
              <c:f>'Nitrate &amp; T Nitrogen'!$B$22:$M$22</c:f>
              <c:numCache>
                <c:formatCode>General</c:formatCode>
                <c:ptCount val="12"/>
                <c:pt idx="6">
                  <c:v>785</c:v>
                </c:pt>
                <c:pt idx="7" formatCode="0">
                  <c:v>650</c:v>
                </c:pt>
                <c:pt idx="8" formatCode="0">
                  <c:v>585.5</c:v>
                </c:pt>
                <c:pt idx="9">
                  <c:v>504</c:v>
                </c:pt>
                <c:pt idx="10">
                  <c:v>575</c:v>
                </c:pt>
                <c:pt idx="11" formatCode="0.0">
                  <c:v>474</c:v>
                </c:pt>
              </c:numCache>
            </c:numRef>
          </c:val>
          <c:smooth val="0"/>
          <c:extLst>
            <c:ext xmlns:c16="http://schemas.microsoft.com/office/drawing/2014/chart" uri="{C3380CC4-5D6E-409C-BE32-E72D297353CC}">
              <c16:uniqueId val="{00000002-20B3-430F-8C58-B3F88AC7E584}"/>
            </c:ext>
          </c:extLst>
        </c:ser>
        <c:ser>
          <c:idx val="3"/>
          <c:order val="3"/>
          <c:tx>
            <c:strRef>
              <c:f>'Nitrate &amp; T Nitrogen'!$A$23</c:f>
              <c:strCache>
                <c:ptCount val="1"/>
                <c:pt idx="0">
                  <c:v>Reservoir - Lower (TN)</c:v>
                </c:pt>
              </c:strCache>
            </c:strRef>
          </c:tx>
          <c:val>
            <c:numRef>
              <c:f>'Nitrate &amp; T Nitrogen'!$B$23:$M$23</c:f>
              <c:numCache>
                <c:formatCode>General</c:formatCode>
                <c:ptCount val="12"/>
                <c:pt idx="6" formatCode="0">
                  <c:v>684</c:v>
                </c:pt>
                <c:pt idx="7" formatCode="0">
                  <c:v>658</c:v>
                </c:pt>
                <c:pt idx="8" formatCode="0">
                  <c:v>547.5</c:v>
                </c:pt>
                <c:pt idx="9">
                  <c:v>453</c:v>
                </c:pt>
                <c:pt idx="10">
                  <c:v>578</c:v>
                </c:pt>
                <c:pt idx="11" formatCode="0.0">
                  <c:v>569</c:v>
                </c:pt>
              </c:numCache>
            </c:numRef>
          </c:val>
          <c:smooth val="0"/>
          <c:extLst>
            <c:ext xmlns:c16="http://schemas.microsoft.com/office/drawing/2014/chart" uri="{C3380CC4-5D6E-409C-BE32-E72D297353CC}">
              <c16:uniqueId val="{00000003-20B3-430F-8C58-B3F88AC7E584}"/>
            </c:ext>
          </c:extLst>
        </c:ser>
        <c:dLbls>
          <c:showLegendKey val="0"/>
          <c:showVal val="0"/>
          <c:showCatName val="0"/>
          <c:showSerName val="0"/>
          <c:showPercent val="0"/>
          <c:showBubbleSize val="0"/>
        </c:dLbls>
        <c:marker val="1"/>
        <c:smooth val="0"/>
        <c:axId val="127052800"/>
        <c:axId val="127062784"/>
      </c:lineChart>
      <c:catAx>
        <c:axId val="127052800"/>
        <c:scaling>
          <c:orientation val="minMax"/>
        </c:scaling>
        <c:delete val="0"/>
        <c:axPos val="b"/>
        <c:numFmt formatCode="General" sourceLinked="0"/>
        <c:majorTickMark val="out"/>
        <c:minorTickMark val="none"/>
        <c:tickLblPos val="nextTo"/>
        <c:txPr>
          <a:bodyPr/>
          <a:lstStyle/>
          <a:p>
            <a:pPr>
              <a:defRPr sz="1100" b="1"/>
            </a:pPr>
            <a:endParaRPr lang="en-US"/>
          </a:p>
        </c:txPr>
        <c:crossAx val="127062784"/>
        <c:crosses val="autoZero"/>
        <c:auto val="1"/>
        <c:lblAlgn val="ctr"/>
        <c:lblOffset val="100"/>
        <c:noMultiLvlLbl val="0"/>
      </c:catAx>
      <c:valAx>
        <c:axId val="127062784"/>
        <c:scaling>
          <c:orientation val="minMax"/>
        </c:scaling>
        <c:delete val="0"/>
        <c:axPos val="l"/>
        <c:majorGridlines/>
        <c:numFmt formatCode="0" sourceLinked="1"/>
        <c:majorTickMark val="out"/>
        <c:minorTickMark val="none"/>
        <c:tickLblPos val="nextTo"/>
        <c:spPr>
          <a:noFill/>
        </c:spPr>
        <c:txPr>
          <a:bodyPr/>
          <a:lstStyle/>
          <a:p>
            <a:pPr>
              <a:defRPr sz="1100" b="1"/>
            </a:pPr>
            <a:endParaRPr lang="en-US"/>
          </a:p>
        </c:txPr>
        <c:crossAx val="12705280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23193548887098442"/>
          <c:y val="0.14776428988044063"/>
          <c:w val="0.53743117986233735"/>
          <c:h val="0.1396566054243219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solidFill>
            <a:srgbClr val="000000"/>
          </a:solidFill>
        </a:ln>
      </c:sp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255" l="0.70000000000000062" r="0.70000000000000062" t="0.7500000000000125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sz="1200"/>
              <a:t>2010 Total Suspended Sediments</a:t>
            </a:r>
          </a:p>
        </c:rich>
      </c:tx>
      <c:layout>
        <c:manualLayout>
          <c:xMode val="edge"/>
          <c:yMode val="edge"/>
          <c:x val="0.37889278920249686"/>
          <c:y val="3.6128738858137784E-2"/>
        </c:manualLayout>
      </c:layout>
      <c:overlay val="0"/>
      <c:spPr>
        <a:noFill/>
        <a:ln w="25400">
          <a:noFill/>
        </a:ln>
      </c:spPr>
    </c:title>
    <c:autoTitleDeleted val="0"/>
    <c:plotArea>
      <c:layout>
        <c:manualLayout>
          <c:layoutTarget val="inner"/>
          <c:xMode val="edge"/>
          <c:yMode val="edge"/>
          <c:x val="0.11563731931668857"/>
          <c:y val="0.12843845014423294"/>
          <c:w val="0.85151116951379768"/>
          <c:h val="0.73772537096229363"/>
        </c:manualLayout>
      </c:layout>
      <c:lineChart>
        <c:grouping val="standard"/>
        <c:varyColors val="0"/>
        <c:ser>
          <c:idx val="0"/>
          <c:order val="0"/>
          <c:tx>
            <c:strRef>
              <c:f>TSS!$A$16</c:f>
              <c:strCache>
                <c:ptCount val="1"/>
                <c:pt idx="0">
                  <c:v>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TSS!$B$16:$M$16</c:f>
              <c:numCache>
                <c:formatCode>0.0</c:formatCode>
                <c:ptCount val="12"/>
                <c:pt idx="0">
                  <c:v>5.6</c:v>
                </c:pt>
                <c:pt idx="1">
                  <c:v>17.2</c:v>
                </c:pt>
                <c:pt idx="2">
                  <c:v>29.8</c:v>
                </c:pt>
                <c:pt idx="3">
                  <c:v>58.6</c:v>
                </c:pt>
                <c:pt idx="4">
                  <c:v>14.8</c:v>
                </c:pt>
                <c:pt idx="5">
                  <c:v>10.9</c:v>
                </c:pt>
                <c:pt idx="6">
                  <c:v>9.6999999999999993</c:v>
                </c:pt>
                <c:pt idx="7">
                  <c:v>7.5</c:v>
                </c:pt>
                <c:pt idx="8">
                  <c:v>11.6</c:v>
                </c:pt>
                <c:pt idx="9">
                  <c:v>4.0999999999999996</c:v>
                </c:pt>
                <c:pt idx="10">
                  <c:v>0</c:v>
                </c:pt>
                <c:pt idx="11">
                  <c:v>4</c:v>
                </c:pt>
              </c:numCache>
            </c:numRef>
          </c:val>
          <c:smooth val="0"/>
          <c:extLst>
            <c:ext xmlns:c16="http://schemas.microsoft.com/office/drawing/2014/chart" uri="{C3380CC4-5D6E-409C-BE32-E72D297353CC}">
              <c16:uniqueId val="{00000000-27D4-46ED-A337-69C38AC1875C}"/>
            </c:ext>
          </c:extLst>
        </c:ser>
        <c:ser>
          <c:idx val="1"/>
          <c:order val="1"/>
          <c:tx>
            <c:strRef>
              <c:f>TSS!$A$17</c:f>
              <c:strCache>
                <c:ptCount val="1"/>
                <c:pt idx="0">
                  <c:v>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TSS!$B$17:$M$17</c:f>
              <c:numCache>
                <c:formatCode>0.0</c:formatCode>
                <c:ptCount val="12"/>
                <c:pt idx="0">
                  <c:v>5.2</c:v>
                </c:pt>
                <c:pt idx="1">
                  <c:v>0</c:v>
                </c:pt>
                <c:pt idx="2">
                  <c:v>9.8000000000000007</c:v>
                </c:pt>
                <c:pt idx="3">
                  <c:v>58.4</c:v>
                </c:pt>
                <c:pt idx="4">
                  <c:v>39</c:v>
                </c:pt>
                <c:pt idx="5">
                  <c:v>11.2</c:v>
                </c:pt>
                <c:pt idx="6">
                  <c:v>12</c:v>
                </c:pt>
                <c:pt idx="7">
                  <c:v>7.8999999999999995</c:v>
                </c:pt>
                <c:pt idx="8">
                  <c:v>17.8</c:v>
                </c:pt>
                <c:pt idx="9">
                  <c:v>39.299999999999997</c:v>
                </c:pt>
                <c:pt idx="10">
                  <c:v>4.5999999999999996</c:v>
                </c:pt>
                <c:pt idx="11">
                  <c:v>4.2</c:v>
                </c:pt>
              </c:numCache>
            </c:numRef>
          </c:val>
          <c:smooth val="0"/>
          <c:extLst>
            <c:ext xmlns:c16="http://schemas.microsoft.com/office/drawing/2014/chart" uri="{C3380CC4-5D6E-409C-BE32-E72D297353CC}">
              <c16:uniqueId val="{00000001-27D4-46ED-A337-69C38AC1875C}"/>
            </c:ext>
          </c:extLst>
        </c:ser>
        <c:ser>
          <c:idx val="2"/>
          <c:order val="2"/>
          <c:tx>
            <c:strRef>
              <c:f>TSS!$A$19</c:f>
              <c:strCache>
                <c:ptCount val="1"/>
                <c:pt idx="0">
                  <c:v>Reservoir - Top</c:v>
                </c:pt>
              </c:strCache>
            </c:strRef>
          </c:tx>
          <c:spPr>
            <a:ln w="25400">
              <a:solidFill>
                <a:srgbClr val="FFFF00"/>
              </a:solidFill>
              <a:prstDash val="solid"/>
            </a:ln>
          </c:spPr>
          <c:marker>
            <c:symbol val="triangle"/>
            <c:size val="7"/>
            <c:spPr>
              <a:solidFill>
                <a:srgbClr val="FFFF00"/>
              </a:solidFill>
              <a:ln>
                <a:solidFill>
                  <a:srgbClr val="FFFF0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TSS!$B$19:$M$19</c:f>
              <c:numCache>
                <c:formatCode>0.0</c:formatCode>
                <c:ptCount val="12"/>
                <c:pt idx="0">
                  <c:v>0</c:v>
                </c:pt>
                <c:pt idx="1">
                  <c:v>0</c:v>
                </c:pt>
                <c:pt idx="2">
                  <c:v>5.4</c:v>
                </c:pt>
                <c:pt idx="3">
                  <c:v>14.2</c:v>
                </c:pt>
                <c:pt idx="4">
                  <c:v>10.8</c:v>
                </c:pt>
                <c:pt idx="5">
                  <c:v>0</c:v>
                </c:pt>
                <c:pt idx="6">
                  <c:v>4.75</c:v>
                </c:pt>
                <c:pt idx="7">
                  <c:v>6.3999999999999995</c:v>
                </c:pt>
                <c:pt idx="8">
                  <c:v>15.7</c:v>
                </c:pt>
                <c:pt idx="9">
                  <c:v>7.8</c:v>
                </c:pt>
                <c:pt idx="10">
                  <c:v>4</c:v>
                </c:pt>
                <c:pt idx="11">
                  <c:v>5.6</c:v>
                </c:pt>
              </c:numCache>
            </c:numRef>
          </c:val>
          <c:smooth val="0"/>
          <c:extLst>
            <c:ext xmlns:c16="http://schemas.microsoft.com/office/drawing/2014/chart" uri="{C3380CC4-5D6E-409C-BE32-E72D297353CC}">
              <c16:uniqueId val="{00000002-27D4-46ED-A337-69C38AC1875C}"/>
            </c:ext>
          </c:extLst>
        </c:ser>
        <c:ser>
          <c:idx val="3"/>
          <c:order val="3"/>
          <c:tx>
            <c:strRef>
              <c:f>TSS!$A$18</c:f>
              <c:strCache>
                <c:ptCount val="1"/>
                <c:pt idx="0">
                  <c:v>Reservoir Discharge</c:v>
                </c:pt>
              </c:strCache>
            </c:strRef>
          </c:tx>
          <c:val>
            <c:numRef>
              <c:f>TSS!$B$18:$M$18</c:f>
              <c:numCache>
                <c:formatCode>0.0</c:formatCode>
                <c:ptCount val="12"/>
                <c:pt idx="0">
                  <c:v>0</c:v>
                </c:pt>
                <c:pt idx="1">
                  <c:v>0</c:v>
                </c:pt>
                <c:pt idx="2">
                  <c:v>0</c:v>
                </c:pt>
                <c:pt idx="3">
                  <c:v>17.2</c:v>
                </c:pt>
                <c:pt idx="4">
                  <c:v>16</c:v>
                </c:pt>
                <c:pt idx="5">
                  <c:v>0</c:v>
                </c:pt>
                <c:pt idx="6">
                  <c:v>5</c:v>
                </c:pt>
                <c:pt idx="7">
                  <c:v>6.5</c:v>
                </c:pt>
                <c:pt idx="8">
                  <c:v>16.299999999999997</c:v>
                </c:pt>
                <c:pt idx="9">
                  <c:v>17.600000000000001</c:v>
                </c:pt>
                <c:pt idx="10">
                  <c:v>5</c:v>
                </c:pt>
                <c:pt idx="11">
                  <c:v>7.6</c:v>
                </c:pt>
              </c:numCache>
            </c:numRef>
          </c:val>
          <c:smooth val="0"/>
          <c:extLst>
            <c:ext xmlns:c16="http://schemas.microsoft.com/office/drawing/2014/chart" uri="{C3380CC4-5D6E-409C-BE32-E72D297353CC}">
              <c16:uniqueId val="{00000003-27D4-46ED-A337-69C38AC1875C}"/>
            </c:ext>
          </c:extLst>
        </c:ser>
        <c:dLbls>
          <c:showLegendKey val="0"/>
          <c:showVal val="0"/>
          <c:showCatName val="0"/>
          <c:showSerName val="0"/>
          <c:showPercent val="0"/>
          <c:showBubbleSize val="0"/>
        </c:dLbls>
        <c:marker val="1"/>
        <c:smooth val="0"/>
        <c:axId val="132500480"/>
        <c:axId val="132518656"/>
      </c:lineChart>
      <c:catAx>
        <c:axId val="13250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32518656"/>
        <c:crosses val="autoZero"/>
        <c:auto val="1"/>
        <c:lblAlgn val="ctr"/>
        <c:lblOffset val="100"/>
        <c:tickLblSkip val="1"/>
        <c:tickMarkSkip val="1"/>
        <c:noMultiLvlLbl val="0"/>
      </c:catAx>
      <c:valAx>
        <c:axId val="132518656"/>
        <c:scaling>
          <c:orientation val="minMax"/>
        </c:scaling>
        <c:delete val="0"/>
        <c:axPos val="l"/>
        <c:majorGridlines>
          <c:spPr>
            <a:ln w="3175">
              <a:solidFill>
                <a:srgbClr val="000000"/>
              </a:solidFill>
              <a:prstDash val="solid"/>
            </a:ln>
          </c:spPr>
        </c:majorGridlines>
        <c:minorGridlines/>
        <c:title>
          <c:tx>
            <c:rich>
              <a:bodyPr/>
              <a:lstStyle/>
              <a:p>
                <a:pPr>
                  <a:defRPr sz="900" b="1" i="0" u="none" strike="noStrike" baseline="0">
                    <a:solidFill>
                      <a:srgbClr val="000000"/>
                    </a:solidFill>
                    <a:latin typeface="Arial"/>
                    <a:ea typeface="Arial"/>
                    <a:cs typeface="Arial"/>
                  </a:defRPr>
                </a:pPr>
                <a:r>
                  <a:rPr lang="en-US"/>
                  <a:t>TSS mg/l</a:t>
                </a:r>
              </a:p>
            </c:rich>
          </c:tx>
          <c:layout>
            <c:manualLayout>
              <c:xMode val="edge"/>
              <c:yMode val="edge"/>
              <c:x val="3.9421811404010625E-2"/>
              <c:y val="0.4621222725947203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325004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76925665630156481"/>
          <c:y val="0.13128842805540442"/>
          <c:w val="0.19387286297035636"/>
          <c:h val="0.2088214963228612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en-US"/>
              <a:t>2010 Chlorophyll-a Bear Creek Reservoir </a:t>
            </a:r>
          </a:p>
        </c:rich>
      </c:tx>
      <c:layout>
        <c:manualLayout>
          <c:xMode val="edge"/>
          <c:yMode val="edge"/>
          <c:x val="0.32611787972833511"/>
          <c:y val="3.6630036630036632E-2"/>
        </c:manualLayout>
      </c:layout>
      <c:overlay val="0"/>
      <c:spPr>
        <a:noFill/>
        <a:ln w="25400">
          <a:noFill/>
        </a:ln>
      </c:spPr>
    </c:title>
    <c:autoTitleDeleted val="0"/>
    <c:plotArea>
      <c:layout/>
      <c:areaChart>
        <c:grouping val="stacked"/>
        <c:varyColors val="0"/>
        <c:ser>
          <c:idx val="0"/>
          <c:order val="0"/>
          <c:tx>
            <c:strRef>
              <c:f>Chlsecchi!$A$3</c:f>
              <c:strCache>
                <c:ptCount val="1"/>
                <c:pt idx="0">
                  <c:v>Chlorophyll, ug/L</c:v>
                </c:pt>
              </c:strCache>
            </c:strRef>
          </c:tx>
          <c:spPr>
            <a:solidFill>
              <a:srgbClr val="9999FF"/>
            </a:solidFill>
            <a:ln w="12700">
              <a:solidFill>
                <a:srgbClr val="000000"/>
              </a:solidFill>
              <a:prstDash val="solid"/>
            </a:ln>
          </c:spPr>
          <c:cat>
            <c:strRef>
              <c:f>Chlsecchi!$D$13:$M$13</c:f>
              <c:strCache>
                <c:ptCount val="10"/>
                <c:pt idx="0">
                  <c:v>Mar</c:v>
                </c:pt>
                <c:pt idx="1">
                  <c:v>Apr</c:v>
                </c:pt>
                <c:pt idx="2">
                  <c:v>May</c:v>
                </c:pt>
                <c:pt idx="3">
                  <c:v>Jun</c:v>
                </c:pt>
                <c:pt idx="4">
                  <c:v>Jul</c:v>
                </c:pt>
                <c:pt idx="5">
                  <c:v>Aug</c:v>
                </c:pt>
                <c:pt idx="6">
                  <c:v>Sep</c:v>
                </c:pt>
                <c:pt idx="7">
                  <c:v>Oct</c:v>
                </c:pt>
                <c:pt idx="8">
                  <c:v>Nov</c:v>
                </c:pt>
                <c:pt idx="9">
                  <c:v>Dec</c:v>
                </c:pt>
              </c:strCache>
            </c:strRef>
          </c:cat>
          <c:val>
            <c:numRef>
              <c:f>Chlsecchi!$D$14:$M$14</c:f>
              <c:numCache>
                <c:formatCode>General</c:formatCode>
                <c:ptCount val="10"/>
                <c:pt idx="0">
                  <c:v>1.8</c:v>
                </c:pt>
                <c:pt idx="1">
                  <c:v>0.9</c:v>
                </c:pt>
                <c:pt idx="2">
                  <c:v>2.5</c:v>
                </c:pt>
                <c:pt idx="3">
                  <c:v>1.2</c:v>
                </c:pt>
                <c:pt idx="4" formatCode="0.0">
                  <c:v>12.25</c:v>
                </c:pt>
                <c:pt idx="5" formatCode="0.0">
                  <c:v>15.7</c:v>
                </c:pt>
                <c:pt idx="6" formatCode="0.0">
                  <c:v>17.7</c:v>
                </c:pt>
                <c:pt idx="7">
                  <c:v>10.3</c:v>
                </c:pt>
                <c:pt idx="8">
                  <c:v>10.5</c:v>
                </c:pt>
                <c:pt idx="9">
                  <c:v>24.1</c:v>
                </c:pt>
              </c:numCache>
            </c:numRef>
          </c:val>
          <c:extLst>
            <c:ext xmlns:c16="http://schemas.microsoft.com/office/drawing/2014/chart" uri="{C3380CC4-5D6E-409C-BE32-E72D297353CC}">
              <c16:uniqueId val="{00000000-097D-4202-A7A9-BC10F8527942}"/>
            </c:ext>
          </c:extLst>
        </c:ser>
        <c:dLbls>
          <c:showLegendKey val="0"/>
          <c:showVal val="0"/>
          <c:showCatName val="0"/>
          <c:showSerName val="0"/>
          <c:showPercent val="0"/>
          <c:showBubbleSize val="0"/>
        </c:dLbls>
        <c:axId val="132617344"/>
        <c:axId val="132618880"/>
      </c:areaChart>
      <c:catAx>
        <c:axId val="132617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132618880"/>
        <c:crosses val="autoZero"/>
        <c:auto val="1"/>
        <c:lblAlgn val="ctr"/>
        <c:lblOffset val="100"/>
        <c:tickLblSkip val="1"/>
        <c:tickMarkSkip val="1"/>
        <c:noMultiLvlLbl val="0"/>
      </c:catAx>
      <c:valAx>
        <c:axId val="132618880"/>
        <c:scaling>
          <c:orientation val="minMax"/>
          <c:max val="25"/>
        </c:scaling>
        <c:delete val="0"/>
        <c:axPos val="l"/>
        <c:majorGridlines>
          <c:spPr>
            <a:ln w="3175">
              <a:solidFill>
                <a:srgbClr val="000000"/>
              </a:solidFill>
              <a:prstDash val="solid"/>
            </a:ln>
          </c:spPr>
        </c:majorGridlines>
        <c:minorGridlines/>
        <c:numFmt formatCode="General" sourceLinked="1"/>
        <c:majorTickMark val="none"/>
        <c:minorTickMark val="none"/>
        <c:tickLblPos val="nextTo"/>
        <c:spPr>
          <a:ln w="3175">
            <a:solidFill>
              <a:srgbClr val="000000"/>
            </a:solidFill>
            <a:prstDash val="solid"/>
          </a:ln>
        </c:spPr>
        <c:txPr>
          <a:bodyPr rot="0" vert="horz"/>
          <a:lstStyle/>
          <a:p>
            <a:pPr>
              <a:defRPr sz="1225" b="1" i="0" u="none" strike="noStrike" baseline="0">
                <a:solidFill>
                  <a:srgbClr val="000000"/>
                </a:solidFill>
                <a:latin typeface="Arial"/>
                <a:ea typeface="Arial"/>
                <a:cs typeface="Arial"/>
              </a:defRPr>
            </a:pPr>
            <a:endParaRPr lang="en-US"/>
          </a:p>
        </c:txPr>
        <c:crossAx val="132617344"/>
        <c:crosses val="autoZero"/>
        <c:crossBetween val="midCat"/>
      </c:valAx>
      <c:dTable>
        <c:showHorzBorder val="1"/>
        <c:showVertBorder val="1"/>
        <c:showOutline val="1"/>
        <c:showKeys val="1"/>
        <c:txPr>
          <a:bodyPr/>
          <a:lstStyle/>
          <a:p>
            <a:pPr rtl="0">
              <a:defRPr sz="1050" b="1"/>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FFFFFF"/>
          </a:solidFill>
          <a:prstDash val="solid"/>
        </a:ln>
      </c:spPr>
    </c:plotArea>
    <c:plotVisOnly val="1"/>
    <c:dispBlanksAs val="zero"/>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2010 Secchi Depth Bear Creek Reservoir</a:t>
            </a:r>
          </a:p>
        </c:rich>
      </c:tx>
      <c:layout>
        <c:manualLayout>
          <c:xMode val="edge"/>
          <c:yMode val="edge"/>
          <c:x val="0.27333133137562948"/>
          <c:y val="5.0935390888639014E-2"/>
        </c:manualLayout>
      </c:layout>
      <c:overlay val="0"/>
      <c:spPr>
        <a:noFill/>
        <a:ln w="25400">
          <a:noFill/>
        </a:ln>
      </c:spPr>
    </c:title>
    <c:autoTitleDeleted val="0"/>
    <c:plotArea>
      <c:layout>
        <c:manualLayout>
          <c:layoutTarget val="inner"/>
          <c:xMode val="edge"/>
          <c:yMode val="edge"/>
          <c:x val="0.11353717842584651"/>
          <c:y val="0.25547415268743578"/>
          <c:w val="0.85262054183255886"/>
          <c:h val="0.62165889798894391"/>
        </c:manualLayout>
      </c:layout>
      <c:barChart>
        <c:barDir val="col"/>
        <c:grouping val="clustered"/>
        <c:varyColors val="0"/>
        <c:ser>
          <c:idx val="0"/>
          <c:order val="0"/>
          <c:tx>
            <c:strRef>
              <c:f>Chlsecchi!$A$15</c:f>
              <c:strCache>
                <c:ptCount val="1"/>
                <c:pt idx="0">
                  <c:v>Secchi (ft)</c:v>
                </c:pt>
              </c:strCache>
            </c:strRef>
          </c:tx>
          <c:spPr>
            <a:solidFill>
              <a:srgbClr val="9999FF"/>
            </a:solidFill>
            <a:ln w="12700">
              <a:solidFill>
                <a:srgbClr val="000000"/>
              </a:solidFill>
              <a:prstDash val="solid"/>
            </a:ln>
          </c:spPr>
          <c:invertIfNegative val="0"/>
          <c:cat>
            <c:strRef>
              <c:f>Chlsecchi!$B$13:$M$13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Chlsecchi!$B$15:$M$15</c:f>
              <c:numCache>
                <c:formatCode>0.0</c:formatCode>
                <c:ptCount val="12"/>
                <c:pt idx="0">
                  <c:v>8.8559999999999999</c:v>
                </c:pt>
                <c:pt idx="1">
                  <c:v>5.5759999999999996</c:v>
                </c:pt>
                <c:pt idx="2">
                  <c:v>5.2480000000000002</c:v>
                </c:pt>
                <c:pt idx="3">
                  <c:v>0.49199999999999994</c:v>
                </c:pt>
                <c:pt idx="4">
                  <c:v>3.9359999999999995</c:v>
                </c:pt>
                <c:pt idx="5">
                  <c:v>9.1839999999999993</c:v>
                </c:pt>
                <c:pt idx="6">
                  <c:v>7.4619999999999997</c:v>
                </c:pt>
                <c:pt idx="7">
                  <c:v>5.9039999999999999</c:v>
                </c:pt>
                <c:pt idx="8">
                  <c:v>3.3620000000000001</c:v>
                </c:pt>
                <c:pt idx="9">
                  <c:v>3.28</c:v>
                </c:pt>
                <c:pt idx="10">
                  <c:v>6.0679999999999996</c:v>
                </c:pt>
                <c:pt idx="11">
                  <c:v>5.411999999999999</c:v>
                </c:pt>
              </c:numCache>
            </c:numRef>
          </c:val>
          <c:extLst>
            <c:ext xmlns:c16="http://schemas.microsoft.com/office/drawing/2014/chart" uri="{C3380CC4-5D6E-409C-BE32-E72D297353CC}">
              <c16:uniqueId val="{00000000-C4D0-4966-850B-3E00A368CCD3}"/>
            </c:ext>
          </c:extLst>
        </c:ser>
        <c:dLbls>
          <c:showLegendKey val="0"/>
          <c:showVal val="0"/>
          <c:showCatName val="0"/>
          <c:showSerName val="0"/>
          <c:showPercent val="0"/>
          <c:showBubbleSize val="0"/>
        </c:dLbls>
        <c:gapWidth val="150"/>
        <c:axId val="132644224"/>
        <c:axId val="132666496"/>
      </c:barChart>
      <c:catAx>
        <c:axId val="13264422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32666496"/>
        <c:crosses val="autoZero"/>
        <c:auto val="1"/>
        <c:lblAlgn val="ctr"/>
        <c:lblOffset val="100"/>
        <c:tickLblSkip val="1"/>
        <c:tickMarkSkip val="1"/>
        <c:noMultiLvlLbl val="0"/>
      </c:catAx>
      <c:valAx>
        <c:axId val="132666496"/>
        <c:scaling>
          <c:orientation val="maxMin"/>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Secchi Depth (feet)</a:t>
                </a:r>
              </a:p>
            </c:rich>
          </c:tx>
          <c:layout>
            <c:manualLayout>
              <c:xMode val="edge"/>
              <c:yMode val="edge"/>
              <c:x val="2.7147856517935286E-2"/>
              <c:y val="0.3730602957906898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350" b="1" i="0" u="none" strike="noStrike" baseline="0">
                <a:solidFill>
                  <a:srgbClr val="000000"/>
                </a:solidFill>
                <a:latin typeface="Arial"/>
                <a:ea typeface="Arial"/>
                <a:cs typeface="Arial"/>
              </a:defRPr>
            </a:pPr>
            <a:endParaRPr lang="en-US"/>
          </a:p>
        </c:txPr>
        <c:crossAx val="13264422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2010 Phytoplankton Growing Season Relative Total Density</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9.4742666412786627E-2"/>
          <c:y val="0.2494746852295637"/>
          <c:w val="0.83327426888139688"/>
          <c:h val="0.71285754498079068"/>
        </c:manualLayout>
      </c:layout>
      <c:pie3DChart>
        <c:varyColors val="1"/>
        <c:ser>
          <c:idx val="0"/>
          <c:order val="0"/>
          <c:tx>
            <c:strRef>
              <c:f>Phytoplankton!$A$1</c:f>
              <c:strCache>
                <c:ptCount val="1"/>
                <c:pt idx="0">
                  <c:v>2010 Phytoplankton Average Density</c:v>
                </c:pt>
              </c:strCache>
            </c:strRef>
          </c:tx>
          <c:explosion val="8"/>
          <c:dPt>
            <c:idx val="3"/>
            <c:bubble3D val="0"/>
            <c:explosion val="11"/>
            <c:extLst>
              <c:ext xmlns:c16="http://schemas.microsoft.com/office/drawing/2014/chart" uri="{C3380CC4-5D6E-409C-BE32-E72D297353CC}">
                <c16:uniqueId val="{00000000-8CE5-4D5C-910A-F4F58DC30E0A}"/>
              </c:ext>
            </c:extLst>
          </c:dPt>
          <c:dLbls>
            <c:dLbl>
              <c:idx val="0"/>
              <c:layout>
                <c:manualLayout>
                  <c:x val="-6.2892366050260912E-2"/>
                  <c:y val="-0.2031578226634713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E5-4D5C-910A-F4F58DC30E0A}"/>
                </c:ext>
              </c:extLst>
            </c:dLbl>
            <c:dLbl>
              <c:idx val="1"/>
              <c:layout>
                <c:manualLayout>
                  <c:x val="-1.6730248690464185E-2"/>
                  <c:y val="4.81850203507170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E5-4D5C-910A-F4F58DC30E0A}"/>
                </c:ext>
              </c:extLst>
            </c:dLbl>
            <c:dLbl>
              <c:idx val="2"/>
              <c:layout>
                <c:manualLayout>
                  <c:x val="-1.0648327565028769E-2"/>
                  <c:y val="-7.44916885389328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CE5-4D5C-910A-F4F58DC30E0A}"/>
                </c:ext>
              </c:extLst>
            </c:dLbl>
            <c:dLbl>
              <c:idx val="3"/>
              <c:layout>
                <c:manualLayout>
                  <c:x val="6.194165985297357E-2"/>
                  <c:y val="-3.183932443227211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E5-4D5C-910A-F4F58DC30E0A}"/>
                </c:ext>
              </c:extLst>
            </c:dLbl>
            <c:numFmt formatCode="0%" sourceLinked="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Phytoplankton!$A$2:$A$5</c:f>
              <c:strCache>
                <c:ptCount val="4"/>
                <c:pt idx="0">
                  <c:v>Heterokontophyta (Diatoms)</c:v>
                </c:pt>
                <c:pt idx="1">
                  <c:v>CHLOROPHYTA (Greens)</c:v>
                </c:pt>
                <c:pt idx="2">
                  <c:v>CRYPTOPHYTA</c:v>
                </c:pt>
                <c:pt idx="3">
                  <c:v>CYANOPHYTA (Bluegreens)</c:v>
                </c:pt>
              </c:strCache>
            </c:strRef>
          </c:cat>
          <c:val>
            <c:numRef>
              <c:f>Phytoplankton!$B$2:$B$5</c:f>
              <c:numCache>
                <c:formatCode>0</c:formatCode>
                <c:ptCount val="4"/>
                <c:pt idx="0">
                  <c:v>321.01563088928231</c:v>
                </c:pt>
                <c:pt idx="1">
                  <c:v>291.4734200740395</c:v>
                </c:pt>
                <c:pt idx="2">
                  <c:v>82.502975963221772</c:v>
                </c:pt>
                <c:pt idx="3">
                  <c:v>40.334187093431751</c:v>
                </c:pt>
              </c:numCache>
            </c:numRef>
          </c:val>
          <c:extLst>
            <c:ext xmlns:c16="http://schemas.microsoft.com/office/drawing/2014/chart" uri="{C3380CC4-5D6E-409C-BE32-E72D297353CC}">
              <c16:uniqueId val="{00000004-8CE5-4D5C-910A-F4F58DC30E0A}"/>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2010 Phytopankton Species Diversity</a:t>
            </a:r>
          </a:p>
        </c:rich>
      </c:tx>
      <c:layout>
        <c:manualLayout>
          <c:xMode val="edge"/>
          <c:yMode val="edge"/>
          <c:x val="0.2661290322580645"/>
          <c:y val="3.2911392405065319E-2"/>
        </c:manualLayout>
      </c:layout>
      <c:overlay val="0"/>
      <c:spPr>
        <a:noFill/>
        <a:ln w="25400">
          <a:noFill/>
        </a:ln>
      </c:spPr>
    </c:title>
    <c:autoTitleDeleted val="0"/>
    <c:view3D>
      <c:rotX val="15"/>
      <c:rotY val="24"/>
      <c:rAngAx val="0"/>
      <c:perspective val="0"/>
    </c:view3D>
    <c:floor>
      <c:thickness val="0"/>
    </c:floor>
    <c:sideWall>
      <c:thickness val="0"/>
    </c:sideWall>
    <c:backWall>
      <c:thickness val="0"/>
    </c:backWall>
    <c:plotArea>
      <c:layout>
        <c:manualLayout>
          <c:layoutTarget val="inner"/>
          <c:xMode val="edge"/>
          <c:yMode val="edge"/>
          <c:x val="0.12800888593745074"/>
          <c:y val="0.33077005901958845"/>
          <c:w val="0.82505502324257796"/>
          <c:h val="0.52161287531366252"/>
        </c:manualLayout>
      </c:layout>
      <c:pie3DChart>
        <c:varyColors val="1"/>
        <c:ser>
          <c:idx val="0"/>
          <c:order val="0"/>
          <c:spPr>
            <a:effectLst>
              <a:outerShdw blurRad="50800" dist="50800" dir="5400000" sx="113000" sy="113000" algn="ctr" rotWithShape="0">
                <a:srgbClr val="000000"/>
              </a:outerShdw>
            </a:effectLst>
          </c:spPr>
          <c:explosion val="30"/>
          <c:dLbls>
            <c:dLbl>
              <c:idx val="0"/>
              <c:layout>
                <c:manualLayout>
                  <c:x val="-2.8735097871802211E-2"/>
                  <c:y val="7.62598425196848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2CE-4A76-B97E-B12D78D0EAE0}"/>
                </c:ext>
              </c:extLst>
            </c:dLbl>
            <c:dLbl>
              <c:idx val="1"/>
              <c:layout>
                <c:manualLayout>
                  <c:x val="5.2208835341365459E-2"/>
                  <c:y val="0.2915254823916246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CE-4A76-B97E-B12D78D0EAE0}"/>
                </c:ext>
              </c:extLst>
            </c:dLbl>
            <c:dLbl>
              <c:idx val="2"/>
              <c:layout>
                <c:manualLayout>
                  <c:x val="2.6319292919710406E-2"/>
                  <c:y val="-7.46316303485321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2CE-4A76-B97E-B12D78D0EAE0}"/>
                </c:ext>
              </c:extLst>
            </c:dLbl>
            <c:dLbl>
              <c:idx val="3"/>
              <c:layout>
                <c:manualLayout>
                  <c:x val="0.12322961135882129"/>
                  <c:y val="-7.62607581029115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CE-4A76-B97E-B12D78D0EAE0}"/>
                </c:ext>
              </c:extLst>
            </c:dLbl>
            <c:dLbl>
              <c:idx val="4"/>
              <c:layout>
                <c:manualLayout>
                  <c:x val="-1.8962661925323851E-2"/>
                  <c:y val="-3.091175496266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2CE-4A76-B97E-B12D78D0EAE0}"/>
                </c:ext>
              </c:extLst>
            </c:dLbl>
            <c:dLbl>
              <c:idx val="5"/>
              <c:layout>
                <c:manualLayout>
                  <c:x val="-8.9121666243332745E-2"/>
                  <c:y val="-7.651151201036580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2CE-4A76-B97E-B12D78D0EAE0}"/>
                </c:ext>
              </c:extLst>
            </c:dLbl>
            <c:dLbl>
              <c:idx val="6"/>
              <c:layout>
                <c:manualLayout>
                  <c:x val="-0.11748658030649396"/>
                  <c:y val="-0.1751500049835485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2CE-4A76-B97E-B12D78D0EAE0}"/>
                </c:ext>
              </c:extLst>
            </c:dLbl>
            <c:dLbl>
              <c:idx val="7"/>
              <c:layout>
                <c:manualLayout>
                  <c:x val="2.5595292523919535E-2"/>
                  <c:y val="-0.1864278241503524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2CE-4A76-B97E-B12D78D0EAE0}"/>
                </c:ext>
              </c:extLst>
            </c:dLbl>
            <c:dLbl>
              <c:idx val="8"/>
              <c:layout>
                <c:manualLayout>
                  <c:x val="0.10266344932689866"/>
                  <c:y val="-0.113823050599687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2CE-4A76-B97E-B12D78D0EAE0}"/>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Phytoplankton!$A$2:$A$5</c:f>
              <c:strCache>
                <c:ptCount val="4"/>
                <c:pt idx="0">
                  <c:v>Heterokontophyta (Diatoms)</c:v>
                </c:pt>
                <c:pt idx="1">
                  <c:v>CHLOROPHYTA (Greens)</c:v>
                </c:pt>
                <c:pt idx="2">
                  <c:v>CRYPTOPHYTA</c:v>
                </c:pt>
                <c:pt idx="3">
                  <c:v>CYANOPHYTA (Bluegreens)</c:v>
                </c:pt>
              </c:strCache>
            </c:strRef>
          </c:cat>
          <c:val>
            <c:numRef>
              <c:f>Phytoplankton!$C$2:$C$5</c:f>
              <c:numCache>
                <c:formatCode>General</c:formatCode>
                <c:ptCount val="4"/>
                <c:pt idx="0">
                  <c:v>18</c:v>
                </c:pt>
                <c:pt idx="1">
                  <c:v>4</c:v>
                </c:pt>
                <c:pt idx="2">
                  <c:v>3</c:v>
                </c:pt>
                <c:pt idx="3">
                  <c:v>4</c:v>
                </c:pt>
              </c:numCache>
            </c:numRef>
          </c:val>
          <c:extLst>
            <c:ext xmlns:c16="http://schemas.microsoft.com/office/drawing/2014/chart" uri="{C3380CC4-5D6E-409C-BE32-E72D297353CC}">
              <c16:uniqueId val="{00000009-12CE-4A76-B97E-B12D78D0EA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0"/>
      <c:rAngAx val="0"/>
    </c:view3D>
    <c:floor>
      <c:thickness val="0"/>
    </c:floor>
    <c:sideWall>
      <c:thickness val="0"/>
    </c:sideWall>
    <c:backWall>
      <c:thickness val="0"/>
    </c:backWall>
    <c:plotArea>
      <c:layout>
        <c:manualLayout>
          <c:layoutTarget val="inner"/>
          <c:xMode val="edge"/>
          <c:yMode val="edge"/>
          <c:x val="0"/>
          <c:y val="0.15807912899776441"/>
          <c:w val="0.82055621655102962"/>
          <c:h val="0.79301324708148868"/>
        </c:manualLayout>
      </c:layout>
      <c:pie3DChart>
        <c:varyColors val="1"/>
        <c:ser>
          <c:idx val="0"/>
          <c:order val="0"/>
          <c:tx>
            <c:strRef>
              <c:f>Phytoplankton!$A$62</c:f>
              <c:strCache>
                <c:ptCount val="1"/>
                <c:pt idx="0">
                  <c:v>Total Biovolume (um3/mL):              </c:v>
                </c:pt>
              </c:strCache>
            </c:strRef>
          </c:tx>
          <c:explosion val="25"/>
          <c:dLbls>
            <c:dLbl>
              <c:idx val="0"/>
              <c:layout>
                <c:manualLayout>
                  <c:x val="-4.0212469196868314E-2"/>
                  <c:y val="-4.66304338220349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DD-436F-A6AA-C27E7F1EBDF9}"/>
                </c:ext>
              </c:extLst>
            </c:dLbl>
            <c:dLbl>
              <c:idx val="2"/>
              <c:layout>
                <c:manualLayout>
                  <c:x val="-2.9518780441069654E-2"/>
                  <c:y val="-0.2269105755719932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DD-436F-A6AA-C27E7F1EBDF9}"/>
                </c:ext>
              </c:extLst>
            </c:dLbl>
            <c:dLbl>
              <c:idx val="3"/>
              <c:layout>
                <c:manualLayout>
                  <c:x val="2.5993253390015549E-2"/>
                  <c:y val="3.95008704719991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DD-436F-A6AA-C27E7F1EBDF9}"/>
                </c:ext>
              </c:extLst>
            </c:dLbl>
            <c:dLbl>
              <c:idx val="4"/>
              <c:layout>
                <c:manualLayout>
                  <c:x val="5.0888511601584613E-2"/>
                  <c:y val="-0.10905308553602516"/>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0DD-436F-A6AA-C27E7F1EBDF9}"/>
                </c:ext>
              </c:extLst>
            </c:dLbl>
            <c:dLbl>
              <c:idx val="5"/>
              <c:layout>
                <c:manualLayout>
                  <c:x val="5.4967314145154718E-2"/>
                  <c:y val="-6.58801488197813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0DD-436F-A6AA-C27E7F1EBDF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numRef>
              <c:f>Phytoplankton!$B$60:$G$60</c:f>
              <c:numCache>
                <c:formatCode>d\-mmm\-yy</c:formatCode>
                <c:ptCount val="6"/>
                <c:pt idx="0">
                  <c:v>40385</c:v>
                </c:pt>
                <c:pt idx="1">
                  <c:v>40399</c:v>
                </c:pt>
                <c:pt idx="2">
                  <c:v>40413</c:v>
                </c:pt>
                <c:pt idx="3">
                  <c:v>40428</c:v>
                </c:pt>
                <c:pt idx="4">
                  <c:v>40428</c:v>
                </c:pt>
                <c:pt idx="5">
                  <c:v>40448</c:v>
                </c:pt>
              </c:numCache>
            </c:numRef>
          </c:cat>
          <c:val>
            <c:numRef>
              <c:f>Phytoplankton!$B$62:$G$62</c:f>
              <c:numCache>
                <c:formatCode>#,##0</c:formatCode>
                <c:ptCount val="6"/>
                <c:pt idx="0">
                  <c:v>984253.80952381017</c:v>
                </c:pt>
                <c:pt idx="1">
                  <c:v>188151.56249999983</c:v>
                </c:pt>
                <c:pt idx="2">
                  <c:v>1370363.9199255046</c:v>
                </c:pt>
                <c:pt idx="3">
                  <c:v>2093659.3712693846</c:v>
                </c:pt>
                <c:pt idx="4">
                  <c:v>1733667.7226539117</c:v>
                </c:pt>
                <c:pt idx="5">
                  <c:v>879525.85626911477</c:v>
                </c:pt>
              </c:numCache>
            </c:numRef>
          </c:val>
          <c:extLst>
            <c:ext xmlns:c16="http://schemas.microsoft.com/office/drawing/2014/chart" uri="{C3380CC4-5D6E-409C-BE32-E72D297353CC}">
              <c16:uniqueId val="{00000005-00DD-436F-A6AA-C27E7F1EBDF9}"/>
            </c:ext>
          </c:extLst>
        </c:ser>
        <c:dLbls>
          <c:showLegendKey val="0"/>
          <c:showVal val="0"/>
          <c:showCatName val="0"/>
          <c:showSerName val="0"/>
          <c:showPercent val="1"/>
          <c:showBubbleSize val="0"/>
          <c:showLeaderLines val="1"/>
        </c:dLbls>
      </c:pie3DChart>
    </c:plotArea>
    <c:legend>
      <c:legendPos val="r"/>
      <c:layout>
        <c:manualLayout>
          <c:xMode val="edge"/>
          <c:yMode val="edge"/>
          <c:x val="0.85256473670842081"/>
          <c:y val="0.10152089574661768"/>
          <c:w val="0.13385292033741963"/>
          <c:h val="0.4870818420424725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Station 40 Profile Temp and DO (1/25/2010)</a:t>
            </a:r>
          </a:p>
        </c:rich>
      </c:tx>
      <c:layout>
        <c:manualLayout>
          <c:xMode val="edge"/>
          <c:yMode val="edge"/>
          <c:x val="0.21336111111111244"/>
          <c:y val="1.7429193899782161E-2"/>
        </c:manualLayout>
      </c:layout>
      <c:overlay val="1"/>
    </c:title>
    <c:autoTitleDeleted val="0"/>
    <c:plotArea>
      <c:layout>
        <c:manualLayout>
          <c:layoutTarget val="inner"/>
          <c:xMode val="edge"/>
          <c:yMode val="edge"/>
          <c:x val="8.4488407699037621E-2"/>
          <c:y val="0.13116566311563987"/>
          <c:w val="0.84710870516185477"/>
          <c:h val="0.72730550838008978"/>
        </c:manualLayout>
      </c:layout>
      <c:lineChart>
        <c:grouping val="standard"/>
        <c:varyColors val="0"/>
        <c:ser>
          <c:idx val="0"/>
          <c:order val="0"/>
          <c:tx>
            <c:strRef>
              <c:f>'1-25-10'!$D$3</c:f>
              <c:strCache>
                <c:ptCount val="1"/>
                <c:pt idx="0">
                  <c:v>DO</c:v>
                </c:pt>
              </c:strCache>
            </c:strRef>
          </c:tx>
          <c:marker>
            <c:symbol val="none"/>
          </c:marker>
          <c:cat>
            <c:strRef>
              <c:f>'1-25-10'!$A$8:$A$15</c:f>
              <c:strCache>
                <c:ptCount val="8"/>
                <c:pt idx="0">
                  <c:v>1m</c:v>
                </c:pt>
                <c:pt idx="1">
                  <c:v>2m</c:v>
                </c:pt>
                <c:pt idx="2">
                  <c:v>3m</c:v>
                </c:pt>
                <c:pt idx="3">
                  <c:v>4m</c:v>
                </c:pt>
                <c:pt idx="4">
                  <c:v>5m</c:v>
                </c:pt>
                <c:pt idx="5">
                  <c:v>6m</c:v>
                </c:pt>
                <c:pt idx="6">
                  <c:v>7m</c:v>
                </c:pt>
                <c:pt idx="7">
                  <c:v>8m</c:v>
                </c:pt>
              </c:strCache>
            </c:strRef>
          </c:cat>
          <c:val>
            <c:numRef>
              <c:f>'1-25-10'!$D$8:$D$15</c:f>
              <c:numCache>
                <c:formatCode>General</c:formatCode>
                <c:ptCount val="8"/>
                <c:pt idx="0">
                  <c:v>11.23</c:v>
                </c:pt>
                <c:pt idx="1">
                  <c:v>10.36</c:v>
                </c:pt>
                <c:pt idx="2">
                  <c:v>10.01</c:v>
                </c:pt>
                <c:pt idx="3">
                  <c:v>9.15</c:v>
                </c:pt>
                <c:pt idx="4">
                  <c:v>8.49</c:v>
                </c:pt>
                <c:pt idx="5">
                  <c:v>7.75</c:v>
                </c:pt>
                <c:pt idx="6">
                  <c:v>7.2</c:v>
                </c:pt>
                <c:pt idx="7">
                  <c:v>6</c:v>
                </c:pt>
              </c:numCache>
            </c:numRef>
          </c:val>
          <c:smooth val="0"/>
          <c:extLst>
            <c:ext xmlns:c16="http://schemas.microsoft.com/office/drawing/2014/chart" uri="{C3380CC4-5D6E-409C-BE32-E72D297353CC}">
              <c16:uniqueId val="{00000000-725C-4C58-8C33-DA1E44482B33}"/>
            </c:ext>
          </c:extLst>
        </c:ser>
        <c:ser>
          <c:idx val="1"/>
          <c:order val="1"/>
          <c:tx>
            <c:strRef>
              <c:f>'1-25-10'!$E$3</c:f>
              <c:strCache>
                <c:ptCount val="1"/>
                <c:pt idx="0">
                  <c:v>Temp</c:v>
                </c:pt>
              </c:strCache>
            </c:strRef>
          </c:tx>
          <c:marker>
            <c:symbol val="none"/>
          </c:marker>
          <c:cat>
            <c:strRef>
              <c:f>'1-25-10'!$A$8:$A$15</c:f>
              <c:strCache>
                <c:ptCount val="8"/>
                <c:pt idx="0">
                  <c:v>1m</c:v>
                </c:pt>
                <c:pt idx="1">
                  <c:v>2m</c:v>
                </c:pt>
                <c:pt idx="2">
                  <c:v>3m</c:v>
                </c:pt>
                <c:pt idx="3">
                  <c:v>4m</c:v>
                </c:pt>
                <c:pt idx="4">
                  <c:v>5m</c:v>
                </c:pt>
                <c:pt idx="5">
                  <c:v>6m</c:v>
                </c:pt>
                <c:pt idx="6">
                  <c:v>7m</c:v>
                </c:pt>
                <c:pt idx="7">
                  <c:v>8m</c:v>
                </c:pt>
              </c:strCache>
            </c:strRef>
          </c:cat>
          <c:val>
            <c:numRef>
              <c:f>'1-25-10'!$E$8:$E$15</c:f>
              <c:numCache>
                <c:formatCode>General</c:formatCode>
                <c:ptCount val="8"/>
                <c:pt idx="0">
                  <c:v>2.79</c:v>
                </c:pt>
                <c:pt idx="1">
                  <c:v>3.26</c:v>
                </c:pt>
                <c:pt idx="2">
                  <c:v>3.41</c:v>
                </c:pt>
                <c:pt idx="3">
                  <c:v>3.1</c:v>
                </c:pt>
                <c:pt idx="4">
                  <c:v>3.22</c:v>
                </c:pt>
                <c:pt idx="5">
                  <c:v>4.34</c:v>
                </c:pt>
                <c:pt idx="6">
                  <c:v>3.39</c:v>
                </c:pt>
                <c:pt idx="7">
                  <c:v>3.6</c:v>
                </c:pt>
              </c:numCache>
            </c:numRef>
          </c:val>
          <c:smooth val="0"/>
          <c:extLst>
            <c:ext xmlns:c16="http://schemas.microsoft.com/office/drawing/2014/chart" uri="{C3380CC4-5D6E-409C-BE32-E72D297353CC}">
              <c16:uniqueId val="{00000001-725C-4C58-8C33-DA1E44482B33}"/>
            </c:ext>
          </c:extLst>
        </c:ser>
        <c:dLbls>
          <c:showLegendKey val="0"/>
          <c:showVal val="0"/>
          <c:showCatName val="0"/>
          <c:showSerName val="0"/>
          <c:showPercent val="0"/>
          <c:showBubbleSize val="0"/>
        </c:dLbls>
        <c:smooth val="0"/>
        <c:axId val="133185536"/>
        <c:axId val="133187072"/>
      </c:lineChart>
      <c:catAx>
        <c:axId val="133185536"/>
        <c:scaling>
          <c:orientation val="minMax"/>
        </c:scaling>
        <c:delete val="0"/>
        <c:axPos val="b"/>
        <c:minorGridlines/>
        <c:numFmt formatCode="General" sourceLinked="0"/>
        <c:majorTickMark val="out"/>
        <c:minorTickMark val="none"/>
        <c:tickLblPos val="nextTo"/>
        <c:crossAx val="133187072"/>
        <c:crosses val="autoZero"/>
        <c:auto val="1"/>
        <c:lblAlgn val="ctr"/>
        <c:lblOffset val="100"/>
        <c:noMultiLvlLbl val="0"/>
      </c:catAx>
      <c:valAx>
        <c:axId val="133187072"/>
        <c:scaling>
          <c:orientation val="minMax"/>
        </c:scaling>
        <c:delete val="0"/>
        <c:axPos val="l"/>
        <c:majorGridlines/>
        <c:minorGridlines/>
        <c:numFmt formatCode="General" sourceLinked="1"/>
        <c:majorTickMark val="out"/>
        <c:minorTickMark val="none"/>
        <c:tickLblPos val="nextTo"/>
        <c:crossAx val="133185536"/>
        <c:crosses val="autoZero"/>
        <c:crossBetween val="midCat"/>
      </c:valAx>
    </c:plotArea>
    <c:legend>
      <c:legendPos val="r"/>
      <c:layout>
        <c:manualLayout>
          <c:xMode val="edge"/>
          <c:yMode val="edge"/>
          <c:x val="0.62195822397200362"/>
          <c:y val="0.16848403753452626"/>
          <c:w val="0.14748622047244447"/>
          <c:h val="0.1575853018372744"/>
        </c:manualLayout>
      </c:layout>
      <c:overlay val="0"/>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'2-22-10'!$D$3</c:f>
              <c:strCache>
                <c:ptCount val="1"/>
                <c:pt idx="0">
                  <c:v>DO</c:v>
                </c:pt>
              </c:strCache>
            </c:strRef>
          </c:tx>
          <c:marker>
            <c:symbol val="none"/>
          </c:marker>
          <c:cat>
            <c:strRef>
              <c:f>'2-22-10'!$A$8:$A$18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'2-22-10'!$D$8:$D$18</c:f>
              <c:numCache>
                <c:formatCode>General</c:formatCode>
                <c:ptCount val="11"/>
                <c:pt idx="0">
                  <c:v>12.1</c:v>
                </c:pt>
                <c:pt idx="1">
                  <c:v>10.9</c:v>
                </c:pt>
                <c:pt idx="2">
                  <c:v>8.6</c:v>
                </c:pt>
                <c:pt idx="3">
                  <c:v>8.15</c:v>
                </c:pt>
                <c:pt idx="4">
                  <c:v>8.06</c:v>
                </c:pt>
                <c:pt idx="5">
                  <c:v>7.45</c:v>
                </c:pt>
                <c:pt idx="6">
                  <c:v>6.59</c:v>
                </c:pt>
                <c:pt idx="7">
                  <c:v>5.95</c:v>
                </c:pt>
                <c:pt idx="8">
                  <c:v>4.5199999999999996</c:v>
                </c:pt>
                <c:pt idx="9">
                  <c:v>4.46</c:v>
                </c:pt>
                <c:pt idx="10">
                  <c:v>4.92</c:v>
                </c:pt>
              </c:numCache>
            </c:numRef>
          </c:val>
          <c:smooth val="0"/>
          <c:extLst>
            <c:ext xmlns:c16="http://schemas.microsoft.com/office/drawing/2014/chart" uri="{C3380CC4-5D6E-409C-BE32-E72D297353CC}">
              <c16:uniqueId val="{00000000-7686-42DB-82A5-09D9AB885AAE}"/>
            </c:ext>
          </c:extLst>
        </c:ser>
        <c:ser>
          <c:idx val="1"/>
          <c:order val="1"/>
          <c:tx>
            <c:strRef>
              <c:f>'2-22-10'!$E$3</c:f>
              <c:strCache>
                <c:ptCount val="1"/>
                <c:pt idx="0">
                  <c:v>Temp</c:v>
                </c:pt>
              </c:strCache>
            </c:strRef>
          </c:tx>
          <c:marker>
            <c:symbol val="none"/>
          </c:marker>
          <c:cat>
            <c:strRef>
              <c:f>'2-22-10'!$A$8:$A$18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'2-22-10'!$E$8:$E$18</c:f>
              <c:numCache>
                <c:formatCode>General</c:formatCode>
                <c:ptCount val="11"/>
                <c:pt idx="0">
                  <c:v>1.9</c:v>
                </c:pt>
                <c:pt idx="1">
                  <c:v>2.7</c:v>
                </c:pt>
                <c:pt idx="2">
                  <c:v>3.6</c:v>
                </c:pt>
                <c:pt idx="3">
                  <c:v>3.7</c:v>
                </c:pt>
                <c:pt idx="4">
                  <c:v>3.4</c:v>
                </c:pt>
                <c:pt idx="5">
                  <c:v>3.4</c:v>
                </c:pt>
                <c:pt idx="6">
                  <c:v>3.6</c:v>
                </c:pt>
                <c:pt idx="7">
                  <c:v>3.8</c:v>
                </c:pt>
                <c:pt idx="8">
                  <c:v>4</c:v>
                </c:pt>
                <c:pt idx="9">
                  <c:v>4.0999999999999996</c:v>
                </c:pt>
                <c:pt idx="10">
                  <c:v>4.0999999999999996</c:v>
                </c:pt>
              </c:numCache>
            </c:numRef>
          </c:val>
          <c:smooth val="0"/>
          <c:extLst>
            <c:ext xmlns:c16="http://schemas.microsoft.com/office/drawing/2014/chart" uri="{C3380CC4-5D6E-409C-BE32-E72D297353CC}">
              <c16:uniqueId val="{00000001-7686-42DB-82A5-09D9AB885AAE}"/>
            </c:ext>
          </c:extLst>
        </c:ser>
        <c:dLbls>
          <c:showLegendKey val="0"/>
          <c:showVal val="0"/>
          <c:showCatName val="0"/>
          <c:showSerName val="0"/>
          <c:showPercent val="0"/>
          <c:showBubbleSize val="0"/>
        </c:dLbls>
        <c:smooth val="0"/>
        <c:axId val="133236992"/>
        <c:axId val="133246976"/>
      </c:lineChart>
      <c:catAx>
        <c:axId val="133236992"/>
        <c:scaling>
          <c:orientation val="minMax"/>
        </c:scaling>
        <c:delete val="0"/>
        <c:axPos val="b"/>
        <c:numFmt formatCode="General" sourceLinked="0"/>
        <c:majorTickMark val="out"/>
        <c:minorTickMark val="none"/>
        <c:tickLblPos val="nextTo"/>
        <c:crossAx val="133246976"/>
        <c:crosses val="autoZero"/>
        <c:auto val="1"/>
        <c:lblAlgn val="ctr"/>
        <c:lblOffset val="100"/>
        <c:noMultiLvlLbl val="0"/>
      </c:catAx>
      <c:valAx>
        <c:axId val="133246976"/>
        <c:scaling>
          <c:orientation val="minMax"/>
        </c:scaling>
        <c:delete val="0"/>
        <c:axPos val="l"/>
        <c:majorGridlines/>
        <c:numFmt formatCode="General" sourceLinked="1"/>
        <c:majorTickMark val="out"/>
        <c:minorTickMark val="none"/>
        <c:tickLblPos val="nextTo"/>
        <c:crossAx val="133236992"/>
        <c:crosses val="autoZero"/>
        <c:crossBetween val="between"/>
      </c:valAx>
    </c:plotArea>
    <c:legend>
      <c:legendPos val="r"/>
      <c:overlay val="0"/>
    </c:legend>
    <c:plotVisOnly val="1"/>
    <c:dispBlanksAs val="gap"/>
    <c:showDLblsOverMax val="0"/>
  </c:chart>
  <c:printSettings>
    <c:headerFooter/>
    <c:pageMargins b="0.75000000000001044" l="0.70000000000000062" r="0.70000000000000062" t="0.75000000000001044"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35824457711048E-2"/>
          <c:y val="5.1400554097404488E-2"/>
          <c:w val="0.85846817006816212"/>
          <c:h val="0.75542395742198964"/>
        </c:manualLayout>
      </c:layout>
      <c:lineChart>
        <c:grouping val="standard"/>
        <c:varyColors val="0"/>
        <c:ser>
          <c:idx val="0"/>
          <c:order val="0"/>
          <c:tx>
            <c:strRef>
              <c:f>'3-29-10'!$D$3</c:f>
              <c:strCache>
                <c:ptCount val="1"/>
                <c:pt idx="0">
                  <c:v>DO</c:v>
                </c:pt>
              </c:strCache>
            </c:strRef>
          </c:tx>
          <c:marker>
            <c:symbol val="none"/>
          </c:marker>
          <c:cat>
            <c:strRef>
              <c:f>'3-29-10'!$A$8:$A$18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'3-29-10'!$D$8:$D$18</c:f>
              <c:numCache>
                <c:formatCode>General</c:formatCode>
                <c:ptCount val="11"/>
                <c:pt idx="0">
                  <c:v>10.24</c:v>
                </c:pt>
                <c:pt idx="1">
                  <c:v>9.86</c:v>
                </c:pt>
                <c:pt idx="2">
                  <c:v>9.52</c:v>
                </c:pt>
                <c:pt idx="3">
                  <c:v>9.5500000000000007</c:v>
                </c:pt>
                <c:pt idx="4">
                  <c:v>9.67</c:v>
                </c:pt>
                <c:pt idx="5">
                  <c:v>9.3699999999999992</c:v>
                </c:pt>
                <c:pt idx="6">
                  <c:v>9.0500000000000007</c:v>
                </c:pt>
                <c:pt idx="7">
                  <c:v>8.7769999999999992</c:v>
                </c:pt>
                <c:pt idx="8">
                  <c:v>4.8</c:v>
                </c:pt>
                <c:pt idx="9">
                  <c:v>2.23</c:v>
                </c:pt>
                <c:pt idx="10">
                  <c:v>1.54</c:v>
                </c:pt>
              </c:numCache>
            </c:numRef>
          </c:val>
          <c:smooth val="0"/>
          <c:extLst>
            <c:ext xmlns:c16="http://schemas.microsoft.com/office/drawing/2014/chart" uri="{C3380CC4-5D6E-409C-BE32-E72D297353CC}">
              <c16:uniqueId val="{00000000-8552-4505-A160-94F7075A446D}"/>
            </c:ext>
          </c:extLst>
        </c:ser>
        <c:ser>
          <c:idx val="1"/>
          <c:order val="1"/>
          <c:tx>
            <c:strRef>
              <c:f>'3-29-10'!$E$3</c:f>
              <c:strCache>
                <c:ptCount val="1"/>
                <c:pt idx="0">
                  <c:v>Temp</c:v>
                </c:pt>
              </c:strCache>
            </c:strRef>
          </c:tx>
          <c:marker>
            <c:symbol val="none"/>
          </c:marker>
          <c:cat>
            <c:strRef>
              <c:f>'3-29-10'!$A$8:$A$18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'3-29-10'!$E$8:$E$18</c:f>
              <c:numCache>
                <c:formatCode>General</c:formatCode>
                <c:ptCount val="11"/>
                <c:pt idx="0">
                  <c:v>5.6</c:v>
                </c:pt>
                <c:pt idx="1">
                  <c:v>5.3</c:v>
                </c:pt>
                <c:pt idx="2">
                  <c:v>5.2</c:v>
                </c:pt>
                <c:pt idx="3">
                  <c:v>5.0999999999999996</c:v>
                </c:pt>
                <c:pt idx="4">
                  <c:v>5</c:v>
                </c:pt>
                <c:pt idx="5">
                  <c:v>4.7</c:v>
                </c:pt>
                <c:pt idx="6">
                  <c:v>4.7</c:v>
                </c:pt>
                <c:pt idx="7">
                  <c:v>4.7</c:v>
                </c:pt>
                <c:pt idx="8">
                  <c:v>4.7</c:v>
                </c:pt>
                <c:pt idx="9">
                  <c:v>4.8</c:v>
                </c:pt>
                <c:pt idx="10">
                  <c:v>4.8</c:v>
                </c:pt>
              </c:numCache>
            </c:numRef>
          </c:val>
          <c:smooth val="0"/>
          <c:extLst>
            <c:ext xmlns:c16="http://schemas.microsoft.com/office/drawing/2014/chart" uri="{C3380CC4-5D6E-409C-BE32-E72D297353CC}">
              <c16:uniqueId val="{00000001-8552-4505-A160-94F7075A446D}"/>
            </c:ext>
          </c:extLst>
        </c:ser>
        <c:dLbls>
          <c:showLegendKey val="0"/>
          <c:showVal val="0"/>
          <c:showCatName val="0"/>
          <c:showSerName val="0"/>
          <c:showPercent val="0"/>
          <c:showBubbleSize val="0"/>
        </c:dLbls>
        <c:smooth val="0"/>
        <c:axId val="133398912"/>
        <c:axId val="133400448"/>
      </c:lineChart>
      <c:catAx>
        <c:axId val="133398912"/>
        <c:scaling>
          <c:orientation val="minMax"/>
        </c:scaling>
        <c:delete val="0"/>
        <c:axPos val="b"/>
        <c:minorGridlines/>
        <c:numFmt formatCode="General" sourceLinked="0"/>
        <c:majorTickMark val="out"/>
        <c:minorTickMark val="none"/>
        <c:tickLblPos val="nextTo"/>
        <c:crossAx val="133400448"/>
        <c:crosses val="autoZero"/>
        <c:auto val="1"/>
        <c:lblAlgn val="ctr"/>
        <c:lblOffset val="100"/>
        <c:noMultiLvlLbl val="0"/>
      </c:catAx>
      <c:valAx>
        <c:axId val="133400448"/>
        <c:scaling>
          <c:orientation val="minMax"/>
        </c:scaling>
        <c:delete val="0"/>
        <c:axPos val="l"/>
        <c:majorGridlines/>
        <c:numFmt formatCode="General" sourceLinked="1"/>
        <c:majorTickMark val="out"/>
        <c:minorTickMark val="none"/>
        <c:tickLblPos val="nextTo"/>
        <c:crossAx val="133398912"/>
        <c:crosses val="autoZero"/>
        <c:crossBetween val="midCat"/>
      </c:valAx>
    </c:plotArea>
    <c:legend>
      <c:legendPos val="r"/>
      <c:layout>
        <c:manualLayout>
          <c:xMode val="edge"/>
          <c:yMode val="edge"/>
          <c:x val="0.61918044619422574"/>
          <c:y val="7.8319845435987162E-2"/>
          <c:w val="0.2280907329908699"/>
          <c:h val="0.19058253135024789"/>
        </c:manualLayout>
      </c:layout>
      <c:overlay val="0"/>
    </c:legend>
    <c:plotVisOnly val="1"/>
    <c:dispBlanksAs val="gap"/>
    <c:showDLblsOverMax val="0"/>
  </c:chart>
  <c:printSettings>
    <c:headerFooter/>
    <c:pageMargins b="0.75000000000001044" l="0.70000000000000062" r="0.70000000000000062" t="0.750000000000010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sz="900"/>
              <a:t>Bear Creek Reservoir Total </a:t>
            </a:r>
            <a:r>
              <a:rPr lang="en-US" sz="1000"/>
              <a:t>Suspended</a:t>
            </a:r>
            <a:r>
              <a:rPr lang="en-US" sz="900"/>
              <a:t> Sediments [mg/l] Trend</a:t>
            </a:r>
          </a:p>
        </c:rich>
      </c:tx>
      <c:layout>
        <c:manualLayout>
          <c:xMode val="edge"/>
          <c:yMode val="edge"/>
          <c:x val="0.22063492063492063"/>
          <c:y val="4.065040650406504E-2"/>
        </c:manualLayout>
      </c:layout>
      <c:overlay val="0"/>
      <c:spPr>
        <a:noFill/>
        <a:ln w="25400">
          <a:noFill/>
        </a:ln>
      </c:spPr>
    </c:title>
    <c:autoTitleDeleted val="0"/>
    <c:plotArea>
      <c:layout>
        <c:manualLayout>
          <c:layoutTarget val="inner"/>
          <c:xMode val="edge"/>
          <c:yMode val="edge"/>
          <c:x val="6.2184924981063934E-2"/>
          <c:y val="0.14769733051661749"/>
          <c:w val="0.92268983282714923"/>
          <c:h val="0.68157437637369955"/>
        </c:manualLayout>
      </c:layout>
      <c:barChart>
        <c:barDir val="col"/>
        <c:grouping val="clustered"/>
        <c:varyColors val="0"/>
        <c:ser>
          <c:idx val="0"/>
          <c:order val="0"/>
          <c:tx>
            <c:strRef>
              <c:f>'Annual Reservoir Trends'!$B$15</c:f>
              <c:strCache>
                <c:ptCount val="1"/>
                <c:pt idx="0">
                  <c:v>Top</c:v>
                </c:pt>
              </c:strCache>
            </c:strRef>
          </c:tx>
          <c:spPr>
            <a:solidFill>
              <a:srgbClr val="9999FF"/>
            </a:solidFill>
            <a:ln w="12700">
              <a:solidFill>
                <a:srgbClr val="000000"/>
              </a:solidFill>
              <a:prstDash val="solid"/>
            </a:ln>
          </c:spPr>
          <c:invertIfNegative val="0"/>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Trends'!$C$15:$V$15</c:f>
              <c:numCache>
                <c:formatCode>General</c:formatCode>
                <c:ptCount val="20"/>
                <c:pt idx="0">
                  <c:v>6</c:v>
                </c:pt>
                <c:pt idx="1">
                  <c:v>7</c:v>
                </c:pt>
                <c:pt idx="2">
                  <c:v>4</c:v>
                </c:pt>
                <c:pt idx="3">
                  <c:v>9</c:v>
                </c:pt>
                <c:pt idx="4">
                  <c:v>6</c:v>
                </c:pt>
                <c:pt idx="5">
                  <c:v>4</c:v>
                </c:pt>
                <c:pt idx="6">
                  <c:v>12</c:v>
                </c:pt>
                <c:pt idx="7">
                  <c:v>6</c:v>
                </c:pt>
                <c:pt idx="8">
                  <c:v>7</c:v>
                </c:pt>
                <c:pt idx="9">
                  <c:v>6</c:v>
                </c:pt>
                <c:pt idx="10">
                  <c:v>7</c:v>
                </c:pt>
                <c:pt idx="11">
                  <c:v>5</c:v>
                </c:pt>
                <c:pt idx="12">
                  <c:v>7</c:v>
                </c:pt>
                <c:pt idx="13">
                  <c:v>3</c:v>
                </c:pt>
                <c:pt idx="14" formatCode="0.0">
                  <c:v>5.4026666666666667</c:v>
                </c:pt>
                <c:pt idx="15" formatCode="0.0">
                  <c:v>6.2935111111111111</c:v>
                </c:pt>
                <c:pt idx="16" formatCode="0.0">
                  <c:v>5.7373968253968224</c:v>
                </c:pt>
                <c:pt idx="17" formatCode="0.0">
                  <c:v>11.2</c:v>
                </c:pt>
                <c:pt idx="18" formatCode="0.0">
                  <c:v>6.9</c:v>
                </c:pt>
                <c:pt idx="19" formatCode="0.0">
                  <c:v>7.3</c:v>
                </c:pt>
              </c:numCache>
            </c:numRef>
          </c:val>
          <c:extLst>
            <c:ext xmlns:c16="http://schemas.microsoft.com/office/drawing/2014/chart" uri="{C3380CC4-5D6E-409C-BE32-E72D297353CC}">
              <c16:uniqueId val="{00000000-8D5A-4F73-A4CA-2D9D4A76905D}"/>
            </c:ext>
          </c:extLst>
        </c:ser>
        <c:ser>
          <c:idx val="3"/>
          <c:order val="1"/>
          <c:tx>
            <c:strRef>
              <c:f>'Annual Reservoir Trends'!$B$17</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Trends'!$C$17:$V$17</c:f>
              <c:numCache>
                <c:formatCode>General</c:formatCode>
                <c:ptCount val="20"/>
                <c:pt idx="0">
                  <c:v>19</c:v>
                </c:pt>
                <c:pt idx="1">
                  <c:v>8</c:v>
                </c:pt>
                <c:pt idx="2">
                  <c:v>5</c:v>
                </c:pt>
                <c:pt idx="3">
                  <c:v>9</c:v>
                </c:pt>
                <c:pt idx="4">
                  <c:v>13</c:v>
                </c:pt>
                <c:pt idx="5">
                  <c:v>7</c:v>
                </c:pt>
                <c:pt idx="6">
                  <c:v>22</c:v>
                </c:pt>
                <c:pt idx="7">
                  <c:v>12</c:v>
                </c:pt>
                <c:pt idx="8">
                  <c:v>12</c:v>
                </c:pt>
                <c:pt idx="9">
                  <c:v>8</c:v>
                </c:pt>
                <c:pt idx="10">
                  <c:v>10</c:v>
                </c:pt>
                <c:pt idx="11">
                  <c:v>5</c:v>
                </c:pt>
                <c:pt idx="12">
                  <c:v>8</c:v>
                </c:pt>
                <c:pt idx="13">
                  <c:v>9</c:v>
                </c:pt>
                <c:pt idx="14" formatCode="0.0">
                  <c:v>7.4459215686274529</c:v>
                </c:pt>
                <c:pt idx="15" formatCode="0.0">
                  <c:v>10.296394771241831</c:v>
                </c:pt>
                <c:pt idx="16" formatCode="0.0">
                  <c:v>6.033309794757165</c:v>
                </c:pt>
                <c:pt idx="17" formatCode="0.0">
                  <c:v>20.9</c:v>
                </c:pt>
                <c:pt idx="18" formatCode="0.0">
                  <c:v>10</c:v>
                </c:pt>
                <c:pt idx="19" formatCode="0.0">
                  <c:v>8.9</c:v>
                </c:pt>
              </c:numCache>
            </c:numRef>
          </c:val>
          <c:extLst>
            <c:ext xmlns:c16="http://schemas.microsoft.com/office/drawing/2014/chart" uri="{C3380CC4-5D6E-409C-BE32-E72D297353CC}">
              <c16:uniqueId val="{00000002-8D5A-4F73-A4CA-2D9D4A76905D}"/>
            </c:ext>
          </c:extLst>
        </c:ser>
        <c:dLbls>
          <c:showLegendKey val="0"/>
          <c:showVal val="0"/>
          <c:showCatName val="0"/>
          <c:showSerName val="0"/>
          <c:showPercent val="0"/>
          <c:showBubbleSize val="0"/>
        </c:dLbls>
        <c:gapWidth val="150"/>
        <c:axId val="51279744"/>
        <c:axId val="51281280"/>
      </c:barChart>
      <c:catAx>
        <c:axId val="51279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281280"/>
        <c:crosses val="autoZero"/>
        <c:auto val="1"/>
        <c:lblAlgn val="ctr"/>
        <c:lblOffset val="100"/>
        <c:tickLblSkip val="1"/>
        <c:tickMarkSkip val="1"/>
        <c:noMultiLvlLbl val="0"/>
      </c:catAx>
      <c:valAx>
        <c:axId val="512812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27974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6162765970043218"/>
          <c:y val="0.14092226276593703"/>
          <c:w val="0.22857159521726456"/>
          <c:h val="0.2357732112754198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Profile Temp / DO - 4/26/2010</a:t>
            </a:r>
          </a:p>
        </c:rich>
      </c:tx>
      <c:layout>
        <c:manualLayout>
          <c:xMode val="edge"/>
          <c:yMode val="edge"/>
          <c:x val="0.10411733107529296"/>
          <c:y val="3.7166085946573751E-2"/>
        </c:manualLayout>
      </c:layout>
      <c:overlay val="0"/>
    </c:title>
    <c:autoTitleDeleted val="0"/>
    <c:plotArea>
      <c:layout>
        <c:manualLayout>
          <c:layoutTarget val="inner"/>
          <c:xMode val="edge"/>
          <c:yMode val="edge"/>
          <c:x val="9.9642348146289361E-2"/>
          <c:y val="0.18616002268009191"/>
          <c:w val="0.67072607324577505"/>
          <c:h val="0.66346584725690005"/>
        </c:manualLayout>
      </c:layout>
      <c:lineChart>
        <c:grouping val="standard"/>
        <c:varyColors val="0"/>
        <c:ser>
          <c:idx val="0"/>
          <c:order val="0"/>
          <c:tx>
            <c:strRef>
              <c:f>'4-26-10'!$D$3</c:f>
              <c:strCache>
                <c:ptCount val="1"/>
                <c:pt idx="0">
                  <c:v>DO</c:v>
                </c:pt>
              </c:strCache>
            </c:strRef>
          </c:tx>
          <c:marker>
            <c:symbol val="none"/>
          </c:marker>
          <c:val>
            <c:numRef>
              <c:f>'4-26-10'!$D$8:$D$18</c:f>
              <c:numCache>
                <c:formatCode>General</c:formatCode>
                <c:ptCount val="11"/>
                <c:pt idx="0">
                  <c:v>8.75</c:v>
                </c:pt>
                <c:pt idx="1">
                  <c:v>8.68</c:v>
                </c:pt>
                <c:pt idx="2">
                  <c:v>8.66</c:v>
                </c:pt>
                <c:pt idx="3">
                  <c:v>8.61</c:v>
                </c:pt>
                <c:pt idx="4">
                  <c:v>8.7799999999999994</c:v>
                </c:pt>
                <c:pt idx="5">
                  <c:v>8.66</c:v>
                </c:pt>
                <c:pt idx="6">
                  <c:v>8.67</c:v>
                </c:pt>
                <c:pt idx="7">
                  <c:v>8.7799999999999994</c:v>
                </c:pt>
                <c:pt idx="8">
                  <c:v>8.56</c:v>
                </c:pt>
                <c:pt idx="9">
                  <c:v>8.75</c:v>
                </c:pt>
                <c:pt idx="10">
                  <c:v>8.66</c:v>
                </c:pt>
              </c:numCache>
            </c:numRef>
          </c:val>
          <c:smooth val="0"/>
          <c:extLst>
            <c:ext xmlns:c16="http://schemas.microsoft.com/office/drawing/2014/chart" uri="{C3380CC4-5D6E-409C-BE32-E72D297353CC}">
              <c16:uniqueId val="{00000000-50E1-47E9-967D-0E2350674272}"/>
            </c:ext>
          </c:extLst>
        </c:ser>
        <c:ser>
          <c:idx val="1"/>
          <c:order val="1"/>
          <c:tx>
            <c:strRef>
              <c:f>'4-26-10'!$E$3</c:f>
              <c:strCache>
                <c:ptCount val="1"/>
                <c:pt idx="0">
                  <c:v>Temp</c:v>
                </c:pt>
              </c:strCache>
            </c:strRef>
          </c:tx>
          <c:marker>
            <c:symbol val="none"/>
          </c:marker>
          <c:val>
            <c:numRef>
              <c:f>'4-26-10'!$E$8:$E$18</c:f>
              <c:numCache>
                <c:formatCode>General</c:formatCode>
                <c:ptCount val="11"/>
                <c:pt idx="0">
                  <c:v>7.5</c:v>
                </c:pt>
                <c:pt idx="1">
                  <c:v>7.5</c:v>
                </c:pt>
                <c:pt idx="2">
                  <c:v>7.3</c:v>
                </c:pt>
                <c:pt idx="3">
                  <c:v>7.2</c:v>
                </c:pt>
                <c:pt idx="4">
                  <c:v>7.1</c:v>
                </c:pt>
                <c:pt idx="5">
                  <c:v>7.1</c:v>
                </c:pt>
                <c:pt idx="6">
                  <c:v>7</c:v>
                </c:pt>
                <c:pt idx="7">
                  <c:v>6.9</c:v>
                </c:pt>
                <c:pt idx="8">
                  <c:v>6.8</c:v>
                </c:pt>
                <c:pt idx="9">
                  <c:v>6.3</c:v>
                </c:pt>
                <c:pt idx="10">
                  <c:v>6.3</c:v>
                </c:pt>
              </c:numCache>
            </c:numRef>
          </c:val>
          <c:smooth val="0"/>
          <c:extLst>
            <c:ext xmlns:c16="http://schemas.microsoft.com/office/drawing/2014/chart" uri="{C3380CC4-5D6E-409C-BE32-E72D297353CC}">
              <c16:uniqueId val="{00000001-50E1-47E9-967D-0E2350674272}"/>
            </c:ext>
          </c:extLst>
        </c:ser>
        <c:dLbls>
          <c:showLegendKey val="0"/>
          <c:showVal val="0"/>
          <c:showCatName val="0"/>
          <c:showSerName val="0"/>
          <c:showPercent val="0"/>
          <c:showBubbleSize val="0"/>
        </c:dLbls>
        <c:smooth val="0"/>
        <c:axId val="133434752"/>
        <c:axId val="133457024"/>
      </c:lineChart>
      <c:catAx>
        <c:axId val="133434752"/>
        <c:scaling>
          <c:orientation val="minMax"/>
        </c:scaling>
        <c:delete val="0"/>
        <c:axPos val="b"/>
        <c:minorGridlines/>
        <c:majorTickMark val="out"/>
        <c:minorTickMark val="none"/>
        <c:tickLblPos val="nextTo"/>
        <c:crossAx val="133457024"/>
        <c:crosses val="autoZero"/>
        <c:auto val="1"/>
        <c:lblAlgn val="ctr"/>
        <c:lblOffset val="100"/>
        <c:noMultiLvlLbl val="0"/>
      </c:catAx>
      <c:valAx>
        <c:axId val="133457024"/>
        <c:scaling>
          <c:orientation val="minMax"/>
          <c:min val="6"/>
        </c:scaling>
        <c:delete val="0"/>
        <c:axPos val="l"/>
        <c:minorGridlines/>
        <c:numFmt formatCode="General" sourceLinked="1"/>
        <c:majorTickMark val="out"/>
        <c:minorTickMark val="none"/>
        <c:tickLblPos val="nextTo"/>
        <c:crossAx val="133434752"/>
        <c:crosses val="autoZero"/>
        <c:crossBetween val="between"/>
      </c:valAx>
    </c:plotArea>
    <c:legend>
      <c:legendPos val="r"/>
      <c:layout>
        <c:manualLayout>
          <c:xMode val="edge"/>
          <c:yMode val="edge"/>
          <c:x val="0.79942968128958525"/>
          <c:y val="0.17203069128554055"/>
          <c:w val="0.14477171907493055"/>
          <c:h val="0.20518386421209545"/>
        </c:manualLayout>
      </c:layout>
      <c:overlay val="0"/>
      <c:txPr>
        <a:bodyPr/>
        <a:lstStyle/>
        <a:p>
          <a:pPr>
            <a:defRPr sz="900"/>
          </a:pPr>
          <a:endParaRPr lang="en-US"/>
        </a:p>
      </c:txPr>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DO/ Temperature Profile 5/24/2010</a:t>
            </a:r>
          </a:p>
        </c:rich>
      </c:tx>
      <c:overlay val="1"/>
    </c:title>
    <c:autoTitleDeleted val="0"/>
    <c:plotArea>
      <c:layout>
        <c:manualLayout>
          <c:layoutTarget val="inner"/>
          <c:xMode val="edge"/>
          <c:yMode val="edge"/>
          <c:x val="0.11966885389326334"/>
          <c:y val="0.19954870224555263"/>
          <c:w val="0.6785811461067367"/>
          <c:h val="0.63618802857976164"/>
        </c:manualLayout>
      </c:layout>
      <c:lineChart>
        <c:grouping val="standard"/>
        <c:varyColors val="0"/>
        <c:ser>
          <c:idx val="0"/>
          <c:order val="0"/>
          <c:tx>
            <c:strRef>
              <c:f>'5-24-10'!$D$4</c:f>
              <c:strCache>
                <c:ptCount val="1"/>
                <c:pt idx="0">
                  <c:v>DO</c:v>
                </c:pt>
              </c:strCache>
            </c:strRef>
          </c:tx>
          <c:marker>
            <c:symbol val="none"/>
          </c:marker>
          <c:val>
            <c:numRef>
              <c:f>'5-24-10'!$D$9:$D$15</c:f>
              <c:numCache>
                <c:formatCode>0.00</c:formatCode>
                <c:ptCount val="7"/>
                <c:pt idx="0">
                  <c:v>8.4</c:v>
                </c:pt>
                <c:pt idx="1">
                  <c:v>8.64</c:v>
                </c:pt>
                <c:pt idx="2">
                  <c:v>8.67</c:v>
                </c:pt>
                <c:pt idx="3">
                  <c:v>8.67</c:v>
                </c:pt>
                <c:pt idx="4">
                  <c:v>8.59</c:v>
                </c:pt>
                <c:pt idx="5">
                  <c:v>8.51</c:v>
                </c:pt>
                <c:pt idx="6">
                  <c:v>8.2899999999999991</c:v>
                </c:pt>
              </c:numCache>
            </c:numRef>
          </c:val>
          <c:smooth val="0"/>
          <c:extLst>
            <c:ext xmlns:c16="http://schemas.microsoft.com/office/drawing/2014/chart" uri="{C3380CC4-5D6E-409C-BE32-E72D297353CC}">
              <c16:uniqueId val="{00000000-744F-4DBC-86CB-B8345C9C83FC}"/>
            </c:ext>
          </c:extLst>
        </c:ser>
        <c:ser>
          <c:idx val="1"/>
          <c:order val="1"/>
          <c:tx>
            <c:strRef>
              <c:f>'5-24-10'!$E$4</c:f>
              <c:strCache>
                <c:ptCount val="1"/>
                <c:pt idx="0">
                  <c:v>Temp</c:v>
                </c:pt>
              </c:strCache>
            </c:strRef>
          </c:tx>
          <c:marker>
            <c:symbol val="none"/>
          </c:marker>
          <c:val>
            <c:numRef>
              <c:f>'5-24-10'!$E$9:$E$15</c:f>
              <c:numCache>
                <c:formatCode>0.00</c:formatCode>
                <c:ptCount val="7"/>
                <c:pt idx="0">
                  <c:v>12.3</c:v>
                </c:pt>
                <c:pt idx="1">
                  <c:v>12.3</c:v>
                </c:pt>
                <c:pt idx="2">
                  <c:v>12.1</c:v>
                </c:pt>
                <c:pt idx="3">
                  <c:v>12.1</c:v>
                </c:pt>
                <c:pt idx="4">
                  <c:v>12</c:v>
                </c:pt>
                <c:pt idx="5">
                  <c:v>12</c:v>
                </c:pt>
                <c:pt idx="6">
                  <c:v>11.1</c:v>
                </c:pt>
              </c:numCache>
            </c:numRef>
          </c:val>
          <c:smooth val="0"/>
          <c:extLst>
            <c:ext xmlns:c16="http://schemas.microsoft.com/office/drawing/2014/chart" uri="{C3380CC4-5D6E-409C-BE32-E72D297353CC}">
              <c16:uniqueId val="{00000001-744F-4DBC-86CB-B8345C9C83FC}"/>
            </c:ext>
          </c:extLst>
        </c:ser>
        <c:dLbls>
          <c:showLegendKey val="0"/>
          <c:showVal val="0"/>
          <c:showCatName val="0"/>
          <c:showSerName val="0"/>
          <c:showPercent val="0"/>
          <c:showBubbleSize val="0"/>
        </c:dLbls>
        <c:smooth val="0"/>
        <c:axId val="133591808"/>
        <c:axId val="133593344"/>
      </c:lineChart>
      <c:catAx>
        <c:axId val="133591808"/>
        <c:scaling>
          <c:orientation val="minMax"/>
        </c:scaling>
        <c:delete val="0"/>
        <c:axPos val="b"/>
        <c:minorGridlines/>
        <c:majorTickMark val="out"/>
        <c:minorTickMark val="none"/>
        <c:tickLblPos val="nextTo"/>
        <c:crossAx val="133593344"/>
        <c:crosses val="autoZero"/>
        <c:auto val="1"/>
        <c:lblAlgn val="ctr"/>
        <c:lblOffset val="100"/>
        <c:noMultiLvlLbl val="0"/>
      </c:catAx>
      <c:valAx>
        <c:axId val="133593344"/>
        <c:scaling>
          <c:orientation val="minMax"/>
        </c:scaling>
        <c:delete val="0"/>
        <c:axPos val="l"/>
        <c:majorGridlines/>
        <c:numFmt formatCode="0.00" sourceLinked="1"/>
        <c:majorTickMark val="out"/>
        <c:minorTickMark val="none"/>
        <c:tickLblPos val="nextTo"/>
        <c:crossAx val="133591808"/>
        <c:crosses val="autoZero"/>
        <c:crossBetween val="midCat"/>
      </c:valAx>
    </c:plotArea>
    <c:legend>
      <c:legendPos val="r"/>
      <c:overlay val="0"/>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'6-29-10'!$D$4</c:f>
              <c:strCache>
                <c:ptCount val="1"/>
                <c:pt idx="0">
                  <c:v>DO</c:v>
                </c:pt>
              </c:strCache>
            </c:strRef>
          </c:tx>
          <c:marker>
            <c:symbol val="none"/>
          </c:marker>
          <c:cat>
            <c:strRef>
              <c:f>'6-29-10'!$A$9:$A$19</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'6-29-10'!$D$9:$D$19</c:f>
              <c:numCache>
                <c:formatCode>0.00</c:formatCode>
                <c:ptCount val="11"/>
                <c:pt idx="0">
                  <c:v>6.7</c:v>
                </c:pt>
                <c:pt idx="1">
                  <c:v>6.47</c:v>
                </c:pt>
                <c:pt idx="2">
                  <c:v>6.41</c:v>
                </c:pt>
                <c:pt idx="3">
                  <c:v>6.42</c:v>
                </c:pt>
                <c:pt idx="4">
                  <c:v>6.2</c:v>
                </c:pt>
                <c:pt idx="5">
                  <c:v>5.92</c:v>
                </c:pt>
                <c:pt idx="6">
                  <c:v>5.94</c:v>
                </c:pt>
                <c:pt idx="7">
                  <c:v>5.9</c:v>
                </c:pt>
                <c:pt idx="8">
                  <c:v>5.65</c:v>
                </c:pt>
                <c:pt idx="9">
                  <c:v>5.47</c:v>
                </c:pt>
                <c:pt idx="10">
                  <c:v>4.95</c:v>
                </c:pt>
              </c:numCache>
            </c:numRef>
          </c:val>
          <c:smooth val="0"/>
          <c:extLst>
            <c:ext xmlns:c16="http://schemas.microsoft.com/office/drawing/2014/chart" uri="{C3380CC4-5D6E-409C-BE32-E72D297353CC}">
              <c16:uniqueId val="{00000000-C517-4407-8F2F-2AC0A136C652}"/>
            </c:ext>
          </c:extLst>
        </c:ser>
        <c:ser>
          <c:idx val="1"/>
          <c:order val="1"/>
          <c:tx>
            <c:strRef>
              <c:f>'6-29-10'!$E$4</c:f>
              <c:strCache>
                <c:ptCount val="1"/>
                <c:pt idx="0">
                  <c:v>Temp</c:v>
                </c:pt>
              </c:strCache>
            </c:strRef>
          </c:tx>
          <c:marker>
            <c:symbol val="none"/>
          </c:marker>
          <c:cat>
            <c:strRef>
              <c:f>'6-29-10'!$A$9:$A$19</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'6-29-10'!$E$9:$E$19</c:f>
              <c:numCache>
                <c:formatCode>0.00</c:formatCode>
                <c:ptCount val="11"/>
                <c:pt idx="0">
                  <c:v>19</c:v>
                </c:pt>
                <c:pt idx="1">
                  <c:v>18.399999999999999</c:v>
                </c:pt>
                <c:pt idx="2">
                  <c:v>18.7</c:v>
                </c:pt>
                <c:pt idx="3">
                  <c:v>18.399999999999999</c:v>
                </c:pt>
                <c:pt idx="4">
                  <c:v>18.3</c:v>
                </c:pt>
                <c:pt idx="5">
                  <c:v>18.2</c:v>
                </c:pt>
                <c:pt idx="6">
                  <c:v>18.100000000000001</c:v>
                </c:pt>
                <c:pt idx="7">
                  <c:v>17.899999999999999</c:v>
                </c:pt>
                <c:pt idx="8">
                  <c:v>17.8</c:v>
                </c:pt>
                <c:pt idx="9">
                  <c:v>17.5</c:v>
                </c:pt>
                <c:pt idx="10">
                  <c:v>17</c:v>
                </c:pt>
              </c:numCache>
            </c:numRef>
          </c:val>
          <c:smooth val="0"/>
          <c:extLst>
            <c:ext xmlns:c16="http://schemas.microsoft.com/office/drawing/2014/chart" uri="{C3380CC4-5D6E-409C-BE32-E72D297353CC}">
              <c16:uniqueId val="{00000001-C517-4407-8F2F-2AC0A136C652}"/>
            </c:ext>
          </c:extLst>
        </c:ser>
        <c:dLbls>
          <c:showLegendKey val="0"/>
          <c:showVal val="0"/>
          <c:showCatName val="0"/>
          <c:showSerName val="0"/>
          <c:showPercent val="0"/>
          <c:showBubbleSize val="0"/>
        </c:dLbls>
        <c:smooth val="0"/>
        <c:axId val="133766144"/>
        <c:axId val="133772032"/>
      </c:lineChart>
      <c:catAx>
        <c:axId val="133766144"/>
        <c:scaling>
          <c:orientation val="minMax"/>
        </c:scaling>
        <c:delete val="0"/>
        <c:axPos val="b"/>
        <c:minorGridlines/>
        <c:numFmt formatCode="General" sourceLinked="0"/>
        <c:majorTickMark val="out"/>
        <c:minorTickMark val="none"/>
        <c:tickLblPos val="nextTo"/>
        <c:crossAx val="133772032"/>
        <c:crosses val="autoZero"/>
        <c:auto val="1"/>
        <c:lblAlgn val="ctr"/>
        <c:lblOffset val="100"/>
        <c:noMultiLvlLbl val="0"/>
      </c:catAx>
      <c:valAx>
        <c:axId val="133772032"/>
        <c:scaling>
          <c:orientation val="minMax"/>
        </c:scaling>
        <c:delete val="0"/>
        <c:axPos val="l"/>
        <c:majorGridlines/>
        <c:numFmt formatCode="0.00" sourceLinked="1"/>
        <c:majorTickMark val="out"/>
        <c:minorTickMark val="none"/>
        <c:tickLblPos val="nextTo"/>
        <c:crossAx val="133766144"/>
        <c:crosses val="autoZero"/>
        <c:crossBetween val="between"/>
      </c:valAx>
    </c:plotArea>
    <c:legend>
      <c:legendPos val="r"/>
      <c:overlay val="0"/>
    </c:legend>
    <c:plotVisOnly val="1"/>
    <c:dispBlanksAs val="gap"/>
    <c:showDLblsOverMax val="0"/>
  </c:chart>
  <c:printSettings>
    <c:headerFooter/>
    <c:pageMargins b="0.75000000000001044" l="0.70000000000000062" r="0.70000000000000062" t="0.750000000000010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Profile Temp /DO 7/13/10</a:t>
            </a:r>
          </a:p>
        </c:rich>
      </c:tx>
      <c:layout>
        <c:manualLayout>
          <c:xMode val="edge"/>
          <c:yMode val="edge"/>
          <c:x val="0.1298418977248697"/>
          <c:y val="5.5555555555555455E-2"/>
        </c:manualLayout>
      </c:layout>
      <c:overlay val="0"/>
    </c:title>
    <c:autoTitleDeleted val="0"/>
    <c:plotArea>
      <c:layout>
        <c:manualLayout>
          <c:layoutTarget val="inner"/>
          <c:xMode val="edge"/>
          <c:yMode val="edge"/>
          <c:x val="0.13611623191650821"/>
          <c:y val="0.19480351414406533"/>
          <c:w val="0.81303056312273758"/>
          <c:h val="0.65482210557013765"/>
        </c:manualLayout>
      </c:layout>
      <c:lineChart>
        <c:grouping val="standard"/>
        <c:varyColors val="0"/>
        <c:ser>
          <c:idx val="0"/>
          <c:order val="0"/>
          <c:tx>
            <c:strRef>
              <c:f>'7-13-10'!$D$3</c:f>
              <c:strCache>
                <c:ptCount val="1"/>
                <c:pt idx="0">
                  <c:v>DO</c:v>
                </c:pt>
              </c:strCache>
            </c:strRef>
          </c:tx>
          <c:marker>
            <c:symbol val="none"/>
          </c:marker>
          <c:cat>
            <c:strRef>
              <c:f>'7-13-10'!$A$8:$A$18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'7-13-10'!$D$8:$D$18</c:f>
              <c:numCache>
                <c:formatCode>0.00</c:formatCode>
                <c:ptCount val="11"/>
                <c:pt idx="0">
                  <c:v>8.0299999999999994</c:v>
                </c:pt>
                <c:pt idx="1">
                  <c:v>8</c:v>
                </c:pt>
                <c:pt idx="2">
                  <c:v>6.74</c:v>
                </c:pt>
                <c:pt idx="3">
                  <c:v>5.69</c:v>
                </c:pt>
                <c:pt idx="4">
                  <c:v>5.55</c:v>
                </c:pt>
                <c:pt idx="5">
                  <c:v>4.7699999999999996</c:v>
                </c:pt>
                <c:pt idx="6">
                  <c:v>4.6100000000000003</c:v>
                </c:pt>
                <c:pt idx="7">
                  <c:v>4.29</c:v>
                </c:pt>
                <c:pt idx="8">
                  <c:v>3.88</c:v>
                </c:pt>
                <c:pt idx="9">
                  <c:v>2.92</c:v>
                </c:pt>
                <c:pt idx="10">
                  <c:v>1.69</c:v>
                </c:pt>
              </c:numCache>
            </c:numRef>
          </c:val>
          <c:smooth val="0"/>
          <c:extLst>
            <c:ext xmlns:c16="http://schemas.microsoft.com/office/drawing/2014/chart" uri="{C3380CC4-5D6E-409C-BE32-E72D297353CC}">
              <c16:uniqueId val="{00000000-98A0-48DA-A824-7BCE0FE1C784}"/>
            </c:ext>
          </c:extLst>
        </c:ser>
        <c:ser>
          <c:idx val="1"/>
          <c:order val="1"/>
          <c:tx>
            <c:strRef>
              <c:f>'7-13-10'!$E$3</c:f>
              <c:strCache>
                <c:ptCount val="1"/>
                <c:pt idx="0">
                  <c:v>Temp</c:v>
                </c:pt>
              </c:strCache>
            </c:strRef>
          </c:tx>
          <c:marker>
            <c:symbol val="none"/>
          </c:marker>
          <c:cat>
            <c:strRef>
              <c:f>'7-13-10'!$A$8:$A$18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'7-13-10'!$E$8:$E$18</c:f>
              <c:numCache>
                <c:formatCode>General</c:formatCode>
                <c:ptCount val="11"/>
                <c:pt idx="0">
                  <c:v>21.24</c:v>
                </c:pt>
                <c:pt idx="1">
                  <c:v>21.13</c:v>
                </c:pt>
                <c:pt idx="2">
                  <c:v>19.760000000000002</c:v>
                </c:pt>
                <c:pt idx="3">
                  <c:v>19.46</c:v>
                </c:pt>
                <c:pt idx="4">
                  <c:v>19.14</c:v>
                </c:pt>
                <c:pt idx="5">
                  <c:v>18.829999999999998</c:v>
                </c:pt>
                <c:pt idx="6">
                  <c:v>18.77</c:v>
                </c:pt>
                <c:pt idx="7">
                  <c:v>18.71</c:v>
                </c:pt>
                <c:pt idx="8">
                  <c:v>18.54</c:v>
                </c:pt>
                <c:pt idx="9">
                  <c:v>18.41</c:v>
                </c:pt>
                <c:pt idx="10">
                  <c:v>18.27</c:v>
                </c:pt>
              </c:numCache>
            </c:numRef>
          </c:val>
          <c:smooth val="0"/>
          <c:extLst>
            <c:ext xmlns:c16="http://schemas.microsoft.com/office/drawing/2014/chart" uri="{C3380CC4-5D6E-409C-BE32-E72D297353CC}">
              <c16:uniqueId val="{00000001-98A0-48DA-A824-7BCE0FE1C784}"/>
            </c:ext>
          </c:extLst>
        </c:ser>
        <c:dLbls>
          <c:showLegendKey val="0"/>
          <c:showVal val="0"/>
          <c:showCatName val="0"/>
          <c:showSerName val="0"/>
          <c:showPercent val="0"/>
          <c:showBubbleSize val="0"/>
        </c:dLbls>
        <c:smooth val="0"/>
        <c:axId val="133837952"/>
        <c:axId val="133839488"/>
      </c:lineChart>
      <c:catAx>
        <c:axId val="133837952"/>
        <c:scaling>
          <c:orientation val="minMax"/>
        </c:scaling>
        <c:delete val="0"/>
        <c:axPos val="b"/>
        <c:minorGridlines/>
        <c:numFmt formatCode="General" sourceLinked="0"/>
        <c:majorTickMark val="out"/>
        <c:minorTickMark val="none"/>
        <c:tickLblPos val="nextTo"/>
        <c:crossAx val="133839488"/>
        <c:crosses val="autoZero"/>
        <c:auto val="1"/>
        <c:lblAlgn val="ctr"/>
        <c:lblOffset val="100"/>
        <c:noMultiLvlLbl val="0"/>
      </c:catAx>
      <c:valAx>
        <c:axId val="133839488"/>
        <c:scaling>
          <c:orientation val="minMax"/>
        </c:scaling>
        <c:delete val="0"/>
        <c:axPos val="l"/>
        <c:majorGridlines/>
        <c:minorGridlines/>
        <c:numFmt formatCode="0.00" sourceLinked="1"/>
        <c:majorTickMark val="out"/>
        <c:minorTickMark val="none"/>
        <c:tickLblPos val="nextTo"/>
        <c:crossAx val="133837952"/>
        <c:crosses val="autoZero"/>
        <c:crossBetween val="between"/>
      </c:valAx>
    </c:plotArea>
    <c:legend>
      <c:legendPos val="r"/>
      <c:layout>
        <c:manualLayout>
          <c:xMode val="edge"/>
          <c:yMode val="edge"/>
          <c:x val="0.44361756913087613"/>
          <c:y val="0.46946558763488411"/>
          <c:w val="0.16775683845206737"/>
          <c:h val="0.16743438320210202"/>
        </c:manualLayout>
      </c:layout>
      <c:overlay val="0"/>
    </c:legend>
    <c:plotVisOnly val="1"/>
    <c:dispBlanksAs val="gap"/>
    <c:showDLblsOverMax val="0"/>
  </c:chart>
  <c:printSettings>
    <c:headerFooter/>
    <c:pageMargins b="0.75000000000001044" l="0.70000000000000062" r="0.70000000000000062" t="0.75000000000001044"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'7-26-10'!$D$3</c:f>
              <c:strCache>
                <c:ptCount val="1"/>
                <c:pt idx="0">
                  <c:v>DO</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'7-26-10'!$D$8:$D$18</c:f>
              <c:numCache>
                <c:formatCode>General</c:formatCode>
                <c:ptCount val="11"/>
                <c:pt idx="0">
                  <c:v>7.76</c:v>
                </c:pt>
                <c:pt idx="1">
                  <c:v>7.52</c:v>
                </c:pt>
                <c:pt idx="2">
                  <c:v>7.36</c:v>
                </c:pt>
                <c:pt idx="3">
                  <c:v>7.31</c:v>
                </c:pt>
                <c:pt idx="4">
                  <c:v>7.18</c:v>
                </c:pt>
                <c:pt idx="5">
                  <c:v>7.14</c:v>
                </c:pt>
                <c:pt idx="6">
                  <c:v>7.11</c:v>
                </c:pt>
                <c:pt idx="7">
                  <c:v>6.81</c:v>
                </c:pt>
                <c:pt idx="8">
                  <c:v>6.55</c:v>
                </c:pt>
                <c:pt idx="9">
                  <c:v>5.87</c:v>
                </c:pt>
                <c:pt idx="10">
                  <c:v>6</c:v>
                </c:pt>
              </c:numCache>
            </c:numRef>
          </c:val>
          <c:smooth val="0"/>
          <c:extLst>
            <c:ext xmlns:c16="http://schemas.microsoft.com/office/drawing/2014/chart" uri="{C3380CC4-5D6E-409C-BE32-E72D297353CC}">
              <c16:uniqueId val="{00000000-81A7-4801-BB65-3A972A07A679}"/>
            </c:ext>
          </c:extLst>
        </c:ser>
        <c:ser>
          <c:idx val="1"/>
          <c:order val="1"/>
          <c:tx>
            <c:strRef>
              <c:f>'7-26-10'!$E$3</c:f>
              <c:strCache>
                <c:ptCount val="1"/>
                <c:pt idx="0">
                  <c:v>Temp</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'7-26-10'!$E$8:$E$18</c:f>
              <c:numCache>
                <c:formatCode>General</c:formatCode>
                <c:ptCount val="11"/>
                <c:pt idx="0">
                  <c:v>22.52</c:v>
                </c:pt>
                <c:pt idx="1">
                  <c:v>22.44</c:v>
                </c:pt>
                <c:pt idx="2">
                  <c:v>22.31</c:v>
                </c:pt>
                <c:pt idx="3">
                  <c:v>22.28</c:v>
                </c:pt>
                <c:pt idx="4">
                  <c:v>22.25</c:v>
                </c:pt>
                <c:pt idx="5">
                  <c:v>22.23</c:v>
                </c:pt>
                <c:pt idx="6">
                  <c:v>22.22</c:v>
                </c:pt>
                <c:pt idx="7">
                  <c:v>22.15</c:v>
                </c:pt>
                <c:pt idx="8">
                  <c:v>22.04</c:v>
                </c:pt>
                <c:pt idx="9">
                  <c:v>21.66</c:v>
                </c:pt>
                <c:pt idx="10">
                  <c:v>21.48</c:v>
                </c:pt>
              </c:numCache>
            </c:numRef>
          </c:val>
          <c:smooth val="0"/>
          <c:extLst>
            <c:ext xmlns:c16="http://schemas.microsoft.com/office/drawing/2014/chart" uri="{C3380CC4-5D6E-409C-BE32-E72D297353CC}">
              <c16:uniqueId val="{00000001-81A7-4801-BB65-3A972A07A679}"/>
            </c:ext>
          </c:extLst>
        </c:ser>
        <c:dLbls>
          <c:showLegendKey val="0"/>
          <c:showVal val="0"/>
          <c:showCatName val="0"/>
          <c:showSerName val="0"/>
          <c:showPercent val="0"/>
          <c:showBubbleSize val="0"/>
        </c:dLbls>
        <c:smooth val="0"/>
        <c:axId val="133926272"/>
        <c:axId val="133940352"/>
      </c:lineChart>
      <c:catAx>
        <c:axId val="133926272"/>
        <c:scaling>
          <c:orientation val="minMax"/>
        </c:scaling>
        <c:delete val="0"/>
        <c:axPos val="b"/>
        <c:minorGridlines/>
        <c:numFmt formatCode="General" sourceLinked="0"/>
        <c:majorTickMark val="out"/>
        <c:minorTickMark val="none"/>
        <c:tickLblPos val="nextTo"/>
        <c:crossAx val="133940352"/>
        <c:crosses val="autoZero"/>
        <c:auto val="1"/>
        <c:lblAlgn val="ctr"/>
        <c:lblOffset val="100"/>
        <c:noMultiLvlLbl val="0"/>
      </c:catAx>
      <c:valAx>
        <c:axId val="133940352"/>
        <c:scaling>
          <c:orientation val="minMax"/>
        </c:scaling>
        <c:delete val="0"/>
        <c:axPos val="l"/>
        <c:majorGridlines/>
        <c:minorGridlines/>
        <c:numFmt formatCode="General" sourceLinked="1"/>
        <c:majorTickMark val="out"/>
        <c:minorTickMark val="none"/>
        <c:tickLblPos val="nextTo"/>
        <c:crossAx val="133926272"/>
        <c:crosses val="autoZero"/>
        <c:crossBetween val="midCat"/>
      </c:valAx>
    </c:plotArea>
    <c:legend>
      <c:legendPos val="r"/>
      <c:overlay val="0"/>
    </c:legend>
    <c:plotVisOnly val="1"/>
    <c:dispBlanksAs val="gap"/>
    <c:showDLblsOverMax val="0"/>
  </c:chart>
  <c:printSettings>
    <c:headerFooter/>
    <c:pageMargins b="0.7500000000000101" l="0.70000000000000062" r="0.70000000000000062" t="0.750000000000010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'7-26-10'!$D$3</c:f>
              <c:strCache>
                <c:ptCount val="1"/>
                <c:pt idx="0">
                  <c:v>DO</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'7-26-10'!$D$8:$D$18</c:f>
              <c:numCache>
                <c:formatCode>General</c:formatCode>
                <c:ptCount val="11"/>
                <c:pt idx="0">
                  <c:v>7.76</c:v>
                </c:pt>
                <c:pt idx="1">
                  <c:v>7.52</c:v>
                </c:pt>
                <c:pt idx="2">
                  <c:v>7.36</c:v>
                </c:pt>
                <c:pt idx="3">
                  <c:v>7.31</c:v>
                </c:pt>
                <c:pt idx="4">
                  <c:v>7.18</c:v>
                </c:pt>
                <c:pt idx="5">
                  <c:v>7.14</c:v>
                </c:pt>
                <c:pt idx="6">
                  <c:v>7.11</c:v>
                </c:pt>
                <c:pt idx="7">
                  <c:v>6.81</c:v>
                </c:pt>
                <c:pt idx="8">
                  <c:v>6.55</c:v>
                </c:pt>
                <c:pt idx="9">
                  <c:v>5.87</c:v>
                </c:pt>
                <c:pt idx="10">
                  <c:v>6</c:v>
                </c:pt>
              </c:numCache>
            </c:numRef>
          </c:val>
          <c:smooth val="0"/>
          <c:extLst>
            <c:ext xmlns:c16="http://schemas.microsoft.com/office/drawing/2014/chart" uri="{C3380CC4-5D6E-409C-BE32-E72D297353CC}">
              <c16:uniqueId val="{00000000-8200-4C1F-B7C5-423C4CA55086}"/>
            </c:ext>
          </c:extLst>
        </c:ser>
        <c:ser>
          <c:idx val="1"/>
          <c:order val="1"/>
          <c:tx>
            <c:strRef>
              <c:f>'7-26-10'!$E$3</c:f>
              <c:strCache>
                <c:ptCount val="1"/>
                <c:pt idx="0">
                  <c:v>Temp</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'7-26-10'!$E$8:$E$18</c:f>
              <c:numCache>
                <c:formatCode>General</c:formatCode>
                <c:ptCount val="11"/>
                <c:pt idx="0">
                  <c:v>22.52</c:v>
                </c:pt>
                <c:pt idx="1">
                  <c:v>22.44</c:v>
                </c:pt>
                <c:pt idx="2">
                  <c:v>22.31</c:v>
                </c:pt>
                <c:pt idx="3">
                  <c:v>22.28</c:v>
                </c:pt>
                <c:pt idx="4">
                  <c:v>22.25</c:v>
                </c:pt>
                <c:pt idx="5">
                  <c:v>22.23</c:v>
                </c:pt>
                <c:pt idx="6">
                  <c:v>22.22</c:v>
                </c:pt>
                <c:pt idx="7">
                  <c:v>22.15</c:v>
                </c:pt>
                <c:pt idx="8">
                  <c:v>22.04</c:v>
                </c:pt>
                <c:pt idx="9">
                  <c:v>21.66</c:v>
                </c:pt>
                <c:pt idx="10">
                  <c:v>21.48</c:v>
                </c:pt>
              </c:numCache>
            </c:numRef>
          </c:val>
          <c:smooth val="0"/>
          <c:extLst>
            <c:ext xmlns:c16="http://schemas.microsoft.com/office/drawing/2014/chart" uri="{C3380CC4-5D6E-409C-BE32-E72D297353CC}">
              <c16:uniqueId val="{00000001-8200-4C1F-B7C5-423C4CA55086}"/>
            </c:ext>
          </c:extLst>
        </c:ser>
        <c:dLbls>
          <c:showLegendKey val="0"/>
          <c:showVal val="0"/>
          <c:showCatName val="0"/>
          <c:showSerName val="0"/>
          <c:showPercent val="0"/>
          <c:showBubbleSize val="0"/>
        </c:dLbls>
        <c:smooth val="0"/>
        <c:axId val="133973120"/>
        <c:axId val="133974656"/>
      </c:lineChart>
      <c:catAx>
        <c:axId val="133973120"/>
        <c:scaling>
          <c:orientation val="minMax"/>
        </c:scaling>
        <c:delete val="0"/>
        <c:axPos val="b"/>
        <c:minorGridlines/>
        <c:numFmt formatCode="General" sourceLinked="0"/>
        <c:majorTickMark val="out"/>
        <c:minorTickMark val="none"/>
        <c:tickLblPos val="nextTo"/>
        <c:crossAx val="133974656"/>
        <c:crosses val="autoZero"/>
        <c:auto val="1"/>
        <c:lblAlgn val="ctr"/>
        <c:lblOffset val="100"/>
        <c:noMultiLvlLbl val="0"/>
      </c:catAx>
      <c:valAx>
        <c:axId val="133974656"/>
        <c:scaling>
          <c:orientation val="minMax"/>
        </c:scaling>
        <c:delete val="0"/>
        <c:axPos val="l"/>
        <c:majorGridlines/>
        <c:minorGridlines/>
        <c:numFmt formatCode="General" sourceLinked="1"/>
        <c:majorTickMark val="out"/>
        <c:minorTickMark val="none"/>
        <c:tickLblPos val="nextTo"/>
        <c:crossAx val="133973120"/>
        <c:crosses val="autoZero"/>
        <c:crossBetween val="midCat"/>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'8-9-10'!$D$3</c:f>
              <c:strCache>
                <c:ptCount val="1"/>
                <c:pt idx="0">
                  <c:v>DO</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'8-9-10'!$D$8:$D$18</c:f>
              <c:numCache>
                <c:formatCode>General</c:formatCode>
                <c:ptCount val="11"/>
                <c:pt idx="0">
                  <c:v>6.79</c:v>
                </c:pt>
                <c:pt idx="1">
                  <c:v>4.37</c:v>
                </c:pt>
                <c:pt idx="2">
                  <c:v>4.3099999999999996</c:v>
                </c:pt>
                <c:pt idx="3">
                  <c:v>3.64</c:v>
                </c:pt>
                <c:pt idx="4">
                  <c:v>3.3</c:v>
                </c:pt>
                <c:pt idx="5">
                  <c:v>3.21</c:v>
                </c:pt>
                <c:pt idx="6">
                  <c:v>3.11</c:v>
                </c:pt>
                <c:pt idx="7">
                  <c:v>3.07</c:v>
                </c:pt>
                <c:pt idx="8">
                  <c:v>2.91</c:v>
                </c:pt>
                <c:pt idx="9">
                  <c:v>2.88</c:v>
                </c:pt>
                <c:pt idx="10">
                  <c:v>1.8</c:v>
                </c:pt>
              </c:numCache>
            </c:numRef>
          </c:val>
          <c:smooth val="0"/>
          <c:extLst>
            <c:ext xmlns:c16="http://schemas.microsoft.com/office/drawing/2014/chart" uri="{C3380CC4-5D6E-409C-BE32-E72D297353CC}">
              <c16:uniqueId val="{00000000-2677-4FD4-BD52-28A95E3AA00B}"/>
            </c:ext>
          </c:extLst>
        </c:ser>
        <c:ser>
          <c:idx val="1"/>
          <c:order val="1"/>
          <c:tx>
            <c:strRef>
              <c:f>'8-9-10'!$E$3</c:f>
              <c:strCache>
                <c:ptCount val="1"/>
                <c:pt idx="0">
                  <c:v>Temp</c:v>
                </c:pt>
              </c:strCache>
            </c:strRef>
          </c:tx>
          <c:marker>
            <c:symbol val="none"/>
          </c:marker>
          <c:cat>
            <c:strRef>
              <c:f>'7-26-10'!$A$8:$A$18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'7-26-10'!$E$8:$E$18</c:f>
              <c:numCache>
                <c:formatCode>General</c:formatCode>
                <c:ptCount val="11"/>
                <c:pt idx="0">
                  <c:v>22.52</c:v>
                </c:pt>
                <c:pt idx="1">
                  <c:v>22.44</c:v>
                </c:pt>
                <c:pt idx="2">
                  <c:v>22.31</c:v>
                </c:pt>
                <c:pt idx="3">
                  <c:v>22.28</c:v>
                </c:pt>
                <c:pt idx="4">
                  <c:v>22.25</c:v>
                </c:pt>
                <c:pt idx="5">
                  <c:v>22.23</c:v>
                </c:pt>
                <c:pt idx="6">
                  <c:v>22.22</c:v>
                </c:pt>
                <c:pt idx="7">
                  <c:v>22.15</c:v>
                </c:pt>
                <c:pt idx="8">
                  <c:v>22.04</c:v>
                </c:pt>
                <c:pt idx="9">
                  <c:v>21.66</c:v>
                </c:pt>
                <c:pt idx="10">
                  <c:v>21.48</c:v>
                </c:pt>
              </c:numCache>
            </c:numRef>
          </c:val>
          <c:smooth val="0"/>
          <c:extLst>
            <c:ext xmlns:c16="http://schemas.microsoft.com/office/drawing/2014/chart" uri="{C3380CC4-5D6E-409C-BE32-E72D297353CC}">
              <c16:uniqueId val="{00000001-2677-4FD4-BD52-28A95E3AA00B}"/>
            </c:ext>
          </c:extLst>
        </c:ser>
        <c:dLbls>
          <c:showLegendKey val="0"/>
          <c:showVal val="0"/>
          <c:showCatName val="0"/>
          <c:showSerName val="0"/>
          <c:showPercent val="0"/>
          <c:showBubbleSize val="0"/>
        </c:dLbls>
        <c:smooth val="0"/>
        <c:axId val="133991424"/>
        <c:axId val="133997312"/>
      </c:lineChart>
      <c:catAx>
        <c:axId val="133991424"/>
        <c:scaling>
          <c:orientation val="minMax"/>
        </c:scaling>
        <c:delete val="0"/>
        <c:axPos val="b"/>
        <c:minorGridlines/>
        <c:numFmt formatCode="General" sourceLinked="0"/>
        <c:majorTickMark val="out"/>
        <c:minorTickMark val="none"/>
        <c:tickLblPos val="nextTo"/>
        <c:crossAx val="133997312"/>
        <c:crosses val="autoZero"/>
        <c:auto val="1"/>
        <c:lblAlgn val="ctr"/>
        <c:lblOffset val="100"/>
        <c:noMultiLvlLbl val="0"/>
      </c:catAx>
      <c:valAx>
        <c:axId val="133997312"/>
        <c:scaling>
          <c:orientation val="minMax"/>
        </c:scaling>
        <c:delete val="0"/>
        <c:axPos val="l"/>
        <c:majorGridlines/>
        <c:minorGridlines/>
        <c:numFmt formatCode="General" sourceLinked="1"/>
        <c:majorTickMark val="out"/>
        <c:minorTickMark val="none"/>
        <c:tickLblPos val="nextTo"/>
        <c:crossAx val="133991424"/>
        <c:crosses val="autoZero"/>
        <c:crossBetween val="midCat"/>
      </c:valAx>
    </c:plotArea>
    <c:legend>
      <c:legendPos val="r"/>
      <c:overlay val="0"/>
    </c:legend>
    <c:plotVisOnly val="1"/>
    <c:dispBlanksAs val="gap"/>
    <c:showDLblsOverMax val="0"/>
  </c:chart>
  <c:printSettings>
    <c:headerFooter/>
    <c:pageMargins b="0.75000000000001044" l="0.70000000000000062" r="0.70000000000000062" t="0.75000000000001044"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88407699037621E-2"/>
          <c:y val="0.22732648002333133"/>
          <c:w val="0.72080314960629921"/>
          <c:h val="0.6222991396908798"/>
        </c:manualLayout>
      </c:layout>
      <c:lineChart>
        <c:grouping val="standard"/>
        <c:varyColors val="0"/>
        <c:ser>
          <c:idx val="0"/>
          <c:order val="0"/>
          <c:tx>
            <c:strRef>
              <c:f>'8-23-10'!$D$3</c:f>
              <c:strCache>
                <c:ptCount val="1"/>
                <c:pt idx="0">
                  <c:v>DO</c:v>
                </c:pt>
              </c:strCache>
            </c:strRef>
          </c:tx>
          <c:marker>
            <c:symbol val="none"/>
          </c:marker>
          <c:cat>
            <c:strRef>
              <c:f>'8-23-10'!$A$8:$A$18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'8-23-10'!$D$8:$D$18</c:f>
              <c:numCache>
                <c:formatCode>General</c:formatCode>
                <c:ptCount val="11"/>
                <c:pt idx="0">
                  <c:v>7.63</c:v>
                </c:pt>
                <c:pt idx="1">
                  <c:v>7.74</c:v>
                </c:pt>
                <c:pt idx="2">
                  <c:v>7.37</c:v>
                </c:pt>
                <c:pt idx="3">
                  <c:v>7.11</c:v>
                </c:pt>
                <c:pt idx="4">
                  <c:v>7</c:v>
                </c:pt>
                <c:pt idx="5">
                  <c:v>7.04</c:v>
                </c:pt>
                <c:pt idx="6">
                  <c:v>6.72</c:v>
                </c:pt>
                <c:pt idx="7">
                  <c:v>6.56</c:v>
                </c:pt>
                <c:pt idx="8">
                  <c:v>6.12</c:v>
                </c:pt>
                <c:pt idx="9">
                  <c:v>5.43</c:v>
                </c:pt>
                <c:pt idx="10">
                  <c:v>3.57</c:v>
                </c:pt>
              </c:numCache>
            </c:numRef>
          </c:val>
          <c:smooth val="0"/>
          <c:extLst>
            <c:ext xmlns:c16="http://schemas.microsoft.com/office/drawing/2014/chart" uri="{C3380CC4-5D6E-409C-BE32-E72D297353CC}">
              <c16:uniqueId val="{00000000-0FC9-4275-9236-151AE249BD60}"/>
            </c:ext>
          </c:extLst>
        </c:ser>
        <c:ser>
          <c:idx val="1"/>
          <c:order val="1"/>
          <c:tx>
            <c:strRef>
              <c:f>'8-23-10'!$E$3</c:f>
              <c:strCache>
                <c:ptCount val="1"/>
                <c:pt idx="0">
                  <c:v>Temp</c:v>
                </c:pt>
              </c:strCache>
            </c:strRef>
          </c:tx>
          <c:marker>
            <c:symbol val="none"/>
          </c:marker>
          <c:cat>
            <c:strRef>
              <c:f>'8-23-10'!$A$8:$A$18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'8-23-10'!$E$8:$E$18</c:f>
              <c:numCache>
                <c:formatCode>General</c:formatCode>
                <c:ptCount val="11"/>
                <c:pt idx="0">
                  <c:v>21.4</c:v>
                </c:pt>
                <c:pt idx="1">
                  <c:v>21.4</c:v>
                </c:pt>
                <c:pt idx="2">
                  <c:v>21.3</c:v>
                </c:pt>
                <c:pt idx="3">
                  <c:v>21.3</c:v>
                </c:pt>
                <c:pt idx="4">
                  <c:v>21.3</c:v>
                </c:pt>
                <c:pt idx="5">
                  <c:v>21.3</c:v>
                </c:pt>
                <c:pt idx="6">
                  <c:v>21.2</c:v>
                </c:pt>
                <c:pt idx="7">
                  <c:v>21.1</c:v>
                </c:pt>
                <c:pt idx="8">
                  <c:v>21</c:v>
                </c:pt>
                <c:pt idx="9">
                  <c:v>20.7</c:v>
                </c:pt>
                <c:pt idx="10">
                  <c:v>20.6</c:v>
                </c:pt>
              </c:numCache>
            </c:numRef>
          </c:val>
          <c:smooth val="0"/>
          <c:extLst>
            <c:ext xmlns:c16="http://schemas.microsoft.com/office/drawing/2014/chart" uri="{C3380CC4-5D6E-409C-BE32-E72D297353CC}">
              <c16:uniqueId val="{00000001-0FC9-4275-9236-151AE249BD60}"/>
            </c:ext>
          </c:extLst>
        </c:ser>
        <c:dLbls>
          <c:showLegendKey val="0"/>
          <c:showVal val="0"/>
          <c:showCatName val="0"/>
          <c:showSerName val="0"/>
          <c:showPercent val="0"/>
          <c:showBubbleSize val="0"/>
        </c:dLbls>
        <c:smooth val="0"/>
        <c:axId val="134096384"/>
        <c:axId val="134097920"/>
      </c:lineChart>
      <c:catAx>
        <c:axId val="134096384"/>
        <c:scaling>
          <c:orientation val="minMax"/>
        </c:scaling>
        <c:delete val="0"/>
        <c:axPos val="b"/>
        <c:numFmt formatCode="General" sourceLinked="0"/>
        <c:majorTickMark val="out"/>
        <c:minorTickMark val="none"/>
        <c:tickLblPos val="nextTo"/>
        <c:crossAx val="134097920"/>
        <c:crosses val="autoZero"/>
        <c:auto val="1"/>
        <c:lblAlgn val="ctr"/>
        <c:lblOffset val="100"/>
        <c:noMultiLvlLbl val="0"/>
      </c:catAx>
      <c:valAx>
        <c:axId val="134097920"/>
        <c:scaling>
          <c:orientation val="minMax"/>
        </c:scaling>
        <c:delete val="0"/>
        <c:axPos val="l"/>
        <c:majorGridlines/>
        <c:minorGridlines/>
        <c:numFmt formatCode="General" sourceLinked="1"/>
        <c:majorTickMark val="out"/>
        <c:minorTickMark val="none"/>
        <c:tickLblPos val="nextTo"/>
        <c:crossAx val="134096384"/>
        <c:crosses val="autoZero"/>
        <c:crossBetween val="between"/>
      </c:valAx>
    </c:plotArea>
    <c:legend>
      <c:legendPos val="r"/>
      <c:overlay val="0"/>
    </c:legend>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Profile Temp / DO 9/7/2010</a:t>
            </a:r>
          </a:p>
        </c:rich>
      </c:tx>
      <c:overlay val="0"/>
    </c:title>
    <c:autoTitleDeleted val="0"/>
    <c:plotArea>
      <c:layout/>
      <c:lineChart>
        <c:grouping val="standard"/>
        <c:varyColors val="0"/>
        <c:ser>
          <c:idx val="0"/>
          <c:order val="0"/>
          <c:tx>
            <c:strRef>
              <c:f>'9-07-10'!$D$3</c:f>
              <c:strCache>
                <c:ptCount val="1"/>
                <c:pt idx="0">
                  <c:v>DO</c:v>
                </c:pt>
              </c:strCache>
            </c:strRef>
          </c:tx>
          <c:marker>
            <c:symbol val="none"/>
          </c:marker>
          <c:cat>
            <c:strRef>
              <c:f>'9-07-10'!$A$8:$A$18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'9-07-10'!$D$8:$D$18</c:f>
              <c:numCache>
                <c:formatCode>General</c:formatCode>
                <c:ptCount val="11"/>
                <c:pt idx="0">
                  <c:v>8.64</c:v>
                </c:pt>
                <c:pt idx="1">
                  <c:v>8.82</c:v>
                </c:pt>
                <c:pt idx="2">
                  <c:v>8.48</c:v>
                </c:pt>
                <c:pt idx="3">
                  <c:v>8.0399999999999991</c:v>
                </c:pt>
                <c:pt idx="4">
                  <c:v>8</c:v>
                </c:pt>
                <c:pt idx="5">
                  <c:v>7.78</c:v>
                </c:pt>
                <c:pt idx="6">
                  <c:v>7.7</c:v>
                </c:pt>
                <c:pt idx="7">
                  <c:v>8</c:v>
                </c:pt>
                <c:pt idx="8">
                  <c:v>7.84</c:v>
                </c:pt>
                <c:pt idx="9">
                  <c:v>7.71</c:v>
                </c:pt>
                <c:pt idx="10">
                  <c:v>5.4</c:v>
                </c:pt>
              </c:numCache>
            </c:numRef>
          </c:val>
          <c:smooth val="0"/>
          <c:extLst>
            <c:ext xmlns:c16="http://schemas.microsoft.com/office/drawing/2014/chart" uri="{C3380CC4-5D6E-409C-BE32-E72D297353CC}">
              <c16:uniqueId val="{00000000-DD7F-49D3-AE2E-638B5535F83C}"/>
            </c:ext>
          </c:extLst>
        </c:ser>
        <c:ser>
          <c:idx val="1"/>
          <c:order val="1"/>
          <c:tx>
            <c:strRef>
              <c:f>'9-07-10'!$E$3</c:f>
              <c:strCache>
                <c:ptCount val="1"/>
                <c:pt idx="0">
                  <c:v>Temp</c:v>
                </c:pt>
              </c:strCache>
            </c:strRef>
          </c:tx>
          <c:marker>
            <c:symbol val="none"/>
          </c:marker>
          <c:cat>
            <c:strRef>
              <c:f>'9-07-10'!$A$8:$A$18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'9-07-10'!$E$8:$E$18</c:f>
              <c:numCache>
                <c:formatCode>General</c:formatCode>
                <c:ptCount val="11"/>
                <c:pt idx="0">
                  <c:v>20</c:v>
                </c:pt>
                <c:pt idx="1">
                  <c:v>20</c:v>
                </c:pt>
                <c:pt idx="2">
                  <c:v>19.899999999999999</c:v>
                </c:pt>
                <c:pt idx="3">
                  <c:v>19.8</c:v>
                </c:pt>
                <c:pt idx="4">
                  <c:v>19.8</c:v>
                </c:pt>
                <c:pt idx="5">
                  <c:v>19.8</c:v>
                </c:pt>
                <c:pt idx="6">
                  <c:v>19.8</c:v>
                </c:pt>
                <c:pt idx="7">
                  <c:v>19.7</c:v>
                </c:pt>
                <c:pt idx="8">
                  <c:v>19.600000000000001</c:v>
                </c:pt>
                <c:pt idx="9">
                  <c:v>18.8</c:v>
                </c:pt>
                <c:pt idx="10">
                  <c:v>18.7</c:v>
                </c:pt>
              </c:numCache>
            </c:numRef>
          </c:val>
          <c:smooth val="0"/>
          <c:extLst>
            <c:ext xmlns:c16="http://schemas.microsoft.com/office/drawing/2014/chart" uri="{C3380CC4-5D6E-409C-BE32-E72D297353CC}">
              <c16:uniqueId val="{00000001-DD7F-49D3-AE2E-638B5535F83C}"/>
            </c:ext>
          </c:extLst>
        </c:ser>
        <c:dLbls>
          <c:showLegendKey val="0"/>
          <c:showVal val="0"/>
          <c:showCatName val="0"/>
          <c:showSerName val="0"/>
          <c:showPercent val="0"/>
          <c:showBubbleSize val="0"/>
        </c:dLbls>
        <c:smooth val="0"/>
        <c:axId val="134110592"/>
        <c:axId val="134231168"/>
      </c:lineChart>
      <c:catAx>
        <c:axId val="134110592"/>
        <c:scaling>
          <c:orientation val="minMax"/>
        </c:scaling>
        <c:delete val="0"/>
        <c:axPos val="b"/>
        <c:majorGridlines/>
        <c:numFmt formatCode="General" sourceLinked="0"/>
        <c:majorTickMark val="out"/>
        <c:minorTickMark val="none"/>
        <c:tickLblPos val="nextTo"/>
        <c:crossAx val="134231168"/>
        <c:crosses val="autoZero"/>
        <c:auto val="1"/>
        <c:lblAlgn val="ctr"/>
        <c:lblOffset val="100"/>
        <c:noMultiLvlLbl val="0"/>
      </c:catAx>
      <c:valAx>
        <c:axId val="134231168"/>
        <c:scaling>
          <c:orientation val="minMax"/>
        </c:scaling>
        <c:delete val="0"/>
        <c:axPos val="l"/>
        <c:majorGridlines/>
        <c:minorGridlines/>
        <c:numFmt formatCode="General" sourceLinked="1"/>
        <c:majorTickMark val="out"/>
        <c:minorTickMark val="none"/>
        <c:tickLblPos val="nextTo"/>
        <c:crossAx val="134110592"/>
        <c:crosses val="autoZero"/>
        <c:crossBetween val="between"/>
      </c:valAx>
    </c:plotArea>
    <c:legend>
      <c:legendPos val="r"/>
      <c:overlay val="0"/>
    </c:legend>
    <c:plotVisOnly val="1"/>
    <c:dispBlanksAs val="gap"/>
    <c:showDLblsOverMax val="0"/>
  </c:chart>
  <c:printSettings>
    <c:headerFooter/>
    <c:pageMargins b="0.75000000000000888" l="0.70000000000000062" r="0.70000000000000062" t="0.7500000000000088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'9-27-10'!$D$3</c:f>
              <c:strCache>
                <c:ptCount val="1"/>
                <c:pt idx="0">
                  <c:v>DO</c:v>
                </c:pt>
              </c:strCache>
            </c:strRef>
          </c:tx>
          <c:marker>
            <c:symbol val="none"/>
          </c:marker>
          <c:val>
            <c:numRef>
              <c:f>'9-27-10'!$D$8:$D$17</c:f>
              <c:numCache>
                <c:formatCode>General</c:formatCode>
                <c:ptCount val="10"/>
                <c:pt idx="0">
                  <c:v>7.16</c:v>
                </c:pt>
                <c:pt idx="1">
                  <c:v>6.46</c:v>
                </c:pt>
                <c:pt idx="2">
                  <c:v>6.65</c:v>
                </c:pt>
                <c:pt idx="3">
                  <c:v>6.75</c:v>
                </c:pt>
                <c:pt idx="4">
                  <c:v>6.54</c:v>
                </c:pt>
                <c:pt idx="5">
                  <c:v>6.45</c:v>
                </c:pt>
                <c:pt idx="6">
                  <c:v>6.59</c:v>
                </c:pt>
                <c:pt idx="7">
                  <c:v>6.55</c:v>
                </c:pt>
                <c:pt idx="8">
                  <c:v>6.08</c:v>
                </c:pt>
                <c:pt idx="9">
                  <c:v>5.86</c:v>
                </c:pt>
              </c:numCache>
            </c:numRef>
          </c:val>
          <c:smooth val="0"/>
          <c:extLst>
            <c:ext xmlns:c16="http://schemas.microsoft.com/office/drawing/2014/chart" uri="{C3380CC4-5D6E-409C-BE32-E72D297353CC}">
              <c16:uniqueId val="{00000000-2208-450D-B9B5-6FDB279BA017}"/>
            </c:ext>
          </c:extLst>
        </c:ser>
        <c:ser>
          <c:idx val="1"/>
          <c:order val="1"/>
          <c:tx>
            <c:strRef>
              <c:f>'9-27-10'!$E$3</c:f>
              <c:strCache>
                <c:ptCount val="1"/>
                <c:pt idx="0">
                  <c:v>Temp</c:v>
                </c:pt>
              </c:strCache>
            </c:strRef>
          </c:tx>
          <c:marker>
            <c:symbol val="none"/>
          </c:marker>
          <c:val>
            <c:numRef>
              <c:f>'9-27-10'!$E$8:$E$17</c:f>
              <c:numCache>
                <c:formatCode>General</c:formatCode>
                <c:ptCount val="10"/>
                <c:pt idx="0">
                  <c:v>18.100000000000001</c:v>
                </c:pt>
                <c:pt idx="1">
                  <c:v>17.8</c:v>
                </c:pt>
                <c:pt idx="2">
                  <c:v>17.8</c:v>
                </c:pt>
                <c:pt idx="3">
                  <c:v>17.7</c:v>
                </c:pt>
                <c:pt idx="4">
                  <c:v>17.7</c:v>
                </c:pt>
                <c:pt idx="5">
                  <c:v>17.7</c:v>
                </c:pt>
                <c:pt idx="6">
                  <c:v>17.600000000000001</c:v>
                </c:pt>
                <c:pt idx="7">
                  <c:v>17.600000000000001</c:v>
                </c:pt>
                <c:pt idx="8">
                  <c:v>17.600000000000001</c:v>
                </c:pt>
                <c:pt idx="9">
                  <c:v>17.7</c:v>
                </c:pt>
              </c:numCache>
            </c:numRef>
          </c:val>
          <c:smooth val="0"/>
          <c:extLst>
            <c:ext xmlns:c16="http://schemas.microsoft.com/office/drawing/2014/chart" uri="{C3380CC4-5D6E-409C-BE32-E72D297353CC}">
              <c16:uniqueId val="{00000001-2208-450D-B9B5-6FDB279BA017}"/>
            </c:ext>
          </c:extLst>
        </c:ser>
        <c:dLbls>
          <c:showLegendKey val="0"/>
          <c:showVal val="0"/>
          <c:showCatName val="0"/>
          <c:showSerName val="0"/>
          <c:showPercent val="0"/>
          <c:showBubbleSize val="0"/>
        </c:dLbls>
        <c:smooth val="0"/>
        <c:axId val="134301568"/>
        <c:axId val="134303104"/>
      </c:lineChart>
      <c:catAx>
        <c:axId val="134301568"/>
        <c:scaling>
          <c:orientation val="minMax"/>
        </c:scaling>
        <c:delete val="0"/>
        <c:axPos val="b"/>
        <c:majorTickMark val="out"/>
        <c:minorTickMark val="none"/>
        <c:tickLblPos val="nextTo"/>
        <c:crossAx val="134303104"/>
        <c:crosses val="autoZero"/>
        <c:auto val="1"/>
        <c:lblAlgn val="ctr"/>
        <c:lblOffset val="100"/>
        <c:noMultiLvlLbl val="0"/>
      </c:catAx>
      <c:valAx>
        <c:axId val="134303104"/>
        <c:scaling>
          <c:orientation val="minMax"/>
        </c:scaling>
        <c:delete val="0"/>
        <c:axPos val="l"/>
        <c:majorGridlines/>
        <c:numFmt formatCode="General" sourceLinked="1"/>
        <c:majorTickMark val="out"/>
        <c:minorTickMark val="none"/>
        <c:tickLblPos val="nextTo"/>
        <c:crossAx val="134301568"/>
        <c:crosses val="autoZero"/>
        <c:crossBetween val="between"/>
      </c:valAx>
    </c:plotArea>
    <c:legend>
      <c:legendPos val="r"/>
      <c:overlay val="0"/>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Secchi Depth [meter] Trend</a:t>
            </a:r>
          </a:p>
        </c:rich>
      </c:tx>
      <c:layout>
        <c:manualLayout>
          <c:xMode val="edge"/>
          <c:yMode val="edge"/>
          <c:x val="0.35785126859142607"/>
          <c:y val="1.782777963108248E-2"/>
        </c:manualLayout>
      </c:layout>
      <c:overlay val="0"/>
      <c:spPr>
        <a:noFill/>
        <a:ln w="25400">
          <a:noFill/>
        </a:ln>
      </c:spPr>
    </c:title>
    <c:autoTitleDeleted val="0"/>
    <c:plotArea>
      <c:layout>
        <c:manualLayout>
          <c:layoutTarget val="inner"/>
          <c:xMode val="edge"/>
          <c:yMode val="edge"/>
          <c:x val="7.968135240420389E-2"/>
          <c:y val="0.26157560376571282"/>
          <c:w val="0.89243114692708359"/>
          <c:h val="0.69369769401447934"/>
        </c:manualLayout>
      </c:layout>
      <c:barChart>
        <c:barDir val="col"/>
        <c:grouping val="clustered"/>
        <c:varyColors val="0"/>
        <c:ser>
          <c:idx val="0"/>
          <c:order val="0"/>
          <c:tx>
            <c:strRef>
              <c:f>'Annual Reservoir Trends'!$A$19</c:f>
              <c:strCache>
                <c:ptCount val="1"/>
                <c:pt idx="0">
                  <c:v>Secchi Depth (m)</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'Annual Reservoir Trends'!$C$3:$V$3</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'Annual Reservoir Trends'!$C$19:$V$19</c:f>
              <c:numCache>
                <c:formatCode>General</c:formatCode>
                <c:ptCount val="20"/>
                <c:pt idx="0">
                  <c:v>2.17</c:v>
                </c:pt>
                <c:pt idx="1">
                  <c:v>2.1</c:v>
                </c:pt>
                <c:pt idx="2">
                  <c:v>2.84</c:v>
                </c:pt>
                <c:pt idx="3">
                  <c:v>1.79</c:v>
                </c:pt>
                <c:pt idx="4">
                  <c:v>2.14</c:v>
                </c:pt>
                <c:pt idx="5">
                  <c:v>2.5099999999999998</c:v>
                </c:pt>
                <c:pt idx="6">
                  <c:v>1.7</c:v>
                </c:pt>
                <c:pt idx="7">
                  <c:v>1.8</c:v>
                </c:pt>
                <c:pt idx="8">
                  <c:v>1.8</c:v>
                </c:pt>
                <c:pt idx="9">
                  <c:v>2.4</c:v>
                </c:pt>
                <c:pt idx="10">
                  <c:v>2.2999999999999998</c:v>
                </c:pt>
                <c:pt idx="11">
                  <c:v>3</c:v>
                </c:pt>
                <c:pt idx="12">
                  <c:v>1.7</c:v>
                </c:pt>
                <c:pt idx="13">
                  <c:v>2.6</c:v>
                </c:pt>
                <c:pt idx="14" formatCode="0.0">
                  <c:v>2.0656249999999998</c:v>
                </c:pt>
                <c:pt idx="15" formatCode="0.0">
                  <c:v>2.4</c:v>
                </c:pt>
                <c:pt idx="16" formatCode="0.0">
                  <c:v>1.7</c:v>
                </c:pt>
                <c:pt idx="17" formatCode="0.0">
                  <c:v>2.4</c:v>
                </c:pt>
                <c:pt idx="18" formatCode="0.0">
                  <c:v>2.7</c:v>
                </c:pt>
                <c:pt idx="19" formatCode="0.0">
                  <c:v>1.7</c:v>
                </c:pt>
              </c:numCache>
            </c:numRef>
          </c:val>
          <c:extLst>
            <c:ext xmlns:c16="http://schemas.microsoft.com/office/drawing/2014/chart" uri="{C3380CC4-5D6E-409C-BE32-E72D297353CC}">
              <c16:uniqueId val="{00000001-D8AF-4969-82DB-3AAA6DFF4438}"/>
            </c:ext>
          </c:extLst>
        </c:ser>
        <c:dLbls>
          <c:showLegendKey val="0"/>
          <c:showVal val="0"/>
          <c:showCatName val="0"/>
          <c:showSerName val="0"/>
          <c:showPercent val="0"/>
          <c:showBubbleSize val="0"/>
        </c:dLbls>
        <c:gapWidth val="150"/>
        <c:axId val="51789824"/>
        <c:axId val="51791360"/>
      </c:barChart>
      <c:catAx>
        <c:axId val="5178982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91360"/>
        <c:crosses val="autoZero"/>
        <c:auto val="1"/>
        <c:lblAlgn val="ctr"/>
        <c:lblOffset val="100"/>
        <c:tickLblSkip val="1"/>
        <c:tickMarkSkip val="1"/>
        <c:noMultiLvlLbl val="0"/>
      </c:catAx>
      <c:valAx>
        <c:axId val="51791360"/>
        <c:scaling>
          <c:orientation val="maxMin"/>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5178982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'10-25-10'!$D$3</c:f>
              <c:strCache>
                <c:ptCount val="1"/>
                <c:pt idx="0">
                  <c:v>DO</c:v>
                </c:pt>
              </c:strCache>
            </c:strRef>
          </c:tx>
          <c:val>
            <c:numRef>
              <c:f>'10-25-10'!$D$8:$D$18</c:f>
              <c:numCache>
                <c:formatCode>General</c:formatCode>
                <c:ptCount val="11"/>
                <c:pt idx="0">
                  <c:v>8.6199999999999992</c:v>
                </c:pt>
                <c:pt idx="1">
                  <c:v>8.52</c:v>
                </c:pt>
                <c:pt idx="2">
                  <c:v>8.42</c:v>
                </c:pt>
                <c:pt idx="3">
                  <c:v>8.34</c:v>
                </c:pt>
                <c:pt idx="4">
                  <c:v>8.3000000000000007</c:v>
                </c:pt>
                <c:pt idx="5">
                  <c:v>8.2799999999999994</c:v>
                </c:pt>
                <c:pt idx="6">
                  <c:v>8.19</c:v>
                </c:pt>
                <c:pt idx="7">
                  <c:v>8.24</c:v>
                </c:pt>
                <c:pt idx="8">
                  <c:v>8.32</c:v>
                </c:pt>
                <c:pt idx="9">
                  <c:v>8.11</c:v>
                </c:pt>
              </c:numCache>
            </c:numRef>
          </c:val>
          <c:smooth val="0"/>
          <c:extLst>
            <c:ext xmlns:c16="http://schemas.microsoft.com/office/drawing/2014/chart" uri="{C3380CC4-5D6E-409C-BE32-E72D297353CC}">
              <c16:uniqueId val="{00000000-8892-4DE9-8AEB-B9F8FC15C573}"/>
            </c:ext>
          </c:extLst>
        </c:ser>
        <c:ser>
          <c:idx val="1"/>
          <c:order val="1"/>
          <c:tx>
            <c:strRef>
              <c:f>'10-25-10'!$E$3</c:f>
              <c:strCache>
                <c:ptCount val="1"/>
                <c:pt idx="0">
                  <c:v>Temp</c:v>
                </c:pt>
              </c:strCache>
            </c:strRef>
          </c:tx>
          <c:val>
            <c:numRef>
              <c:f>'10-25-10'!$E$8:$E$18</c:f>
              <c:numCache>
                <c:formatCode>General</c:formatCode>
                <c:ptCount val="11"/>
                <c:pt idx="0">
                  <c:v>10</c:v>
                </c:pt>
                <c:pt idx="1">
                  <c:v>9.9</c:v>
                </c:pt>
                <c:pt idx="2">
                  <c:v>9.9</c:v>
                </c:pt>
                <c:pt idx="3">
                  <c:v>9.9</c:v>
                </c:pt>
                <c:pt idx="4">
                  <c:v>9.9</c:v>
                </c:pt>
                <c:pt idx="5">
                  <c:v>9.9</c:v>
                </c:pt>
                <c:pt idx="6">
                  <c:v>9.9</c:v>
                </c:pt>
                <c:pt idx="7">
                  <c:v>9.9</c:v>
                </c:pt>
                <c:pt idx="8">
                  <c:v>9.9</c:v>
                </c:pt>
                <c:pt idx="9">
                  <c:v>9.9</c:v>
                </c:pt>
              </c:numCache>
            </c:numRef>
          </c:val>
          <c:smooth val="0"/>
          <c:extLst>
            <c:ext xmlns:c16="http://schemas.microsoft.com/office/drawing/2014/chart" uri="{C3380CC4-5D6E-409C-BE32-E72D297353CC}">
              <c16:uniqueId val="{00000001-8892-4DE9-8AEB-B9F8FC15C573}"/>
            </c:ext>
          </c:extLst>
        </c:ser>
        <c:dLbls>
          <c:showLegendKey val="0"/>
          <c:showVal val="0"/>
          <c:showCatName val="0"/>
          <c:showSerName val="0"/>
          <c:showPercent val="0"/>
          <c:showBubbleSize val="0"/>
        </c:dLbls>
        <c:marker val="1"/>
        <c:smooth val="0"/>
        <c:axId val="134344704"/>
        <c:axId val="134346240"/>
      </c:lineChart>
      <c:catAx>
        <c:axId val="134344704"/>
        <c:scaling>
          <c:orientation val="minMax"/>
        </c:scaling>
        <c:delete val="0"/>
        <c:axPos val="b"/>
        <c:majorTickMark val="out"/>
        <c:minorTickMark val="none"/>
        <c:tickLblPos val="nextTo"/>
        <c:crossAx val="134346240"/>
        <c:crosses val="autoZero"/>
        <c:auto val="1"/>
        <c:lblAlgn val="ctr"/>
        <c:lblOffset val="100"/>
        <c:noMultiLvlLbl val="0"/>
      </c:catAx>
      <c:valAx>
        <c:axId val="134346240"/>
        <c:scaling>
          <c:orientation val="minMax"/>
          <c:max val="10.5"/>
          <c:min val="7"/>
        </c:scaling>
        <c:delete val="0"/>
        <c:axPos val="l"/>
        <c:majorGridlines/>
        <c:numFmt formatCode="General" sourceLinked="1"/>
        <c:majorTickMark val="out"/>
        <c:minorTickMark val="none"/>
        <c:tickLblPos val="nextTo"/>
        <c:crossAx val="134344704"/>
        <c:crosses val="autoZero"/>
        <c:crossBetween val="between"/>
      </c:valAx>
    </c:plotArea>
    <c:legend>
      <c:legendPos val="r"/>
      <c:overlay val="0"/>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'11-15-10'!$D$3</c:f>
              <c:strCache>
                <c:ptCount val="1"/>
                <c:pt idx="0">
                  <c:v>DO</c:v>
                </c:pt>
              </c:strCache>
            </c:strRef>
          </c:tx>
          <c:cat>
            <c:strRef>
              <c:f>'11-15-10'!$A$8:$A$18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'11-15-10'!$D$8:$D$18</c:f>
              <c:numCache>
                <c:formatCode>0.00</c:formatCode>
                <c:ptCount val="11"/>
                <c:pt idx="0">
                  <c:v>7.92</c:v>
                </c:pt>
                <c:pt idx="1">
                  <c:v>7.44</c:v>
                </c:pt>
                <c:pt idx="2">
                  <c:v>7.44</c:v>
                </c:pt>
                <c:pt idx="3">
                  <c:v>7.2</c:v>
                </c:pt>
                <c:pt idx="4">
                  <c:v>7.36</c:v>
                </c:pt>
                <c:pt idx="5">
                  <c:v>7.31</c:v>
                </c:pt>
                <c:pt idx="6">
                  <c:v>7.34</c:v>
                </c:pt>
                <c:pt idx="7">
                  <c:v>7.07</c:v>
                </c:pt>
                <c:pt idx="8">
                  <c:v>7.07</c:v>
                </c:pt>
                <c:pt idx="9">
                  <c:v>7.22</c:v>
                </c:pt>
                <c:pt idx="10">
                  <c:v>7.14</c:v>
                </c:pt>
              </c:numCache>
            </c:numRef>
          </c:val>
          <c:smooth val="0"/>
          <c:extLst>
            <c:ext xmlns:c16="http://schemas.microsoft.com/office/drawing/2014/chart" uri="{C3380CC4-5D6E-409C-BE32-E72D297353CC}">
              <c16:uniqueId val="{00000000-17AD-4EFE-9602-01EC85CE38CD}"/>
            </c:ext>
          </c:extLst>
        </c:ser>
        <c:ser>
          <c:idx val="1"/>
          <c:order val="1"/>
          <c:tx>
            <c:strRef>
              <c:f>'11-15-10'!$E$3</c:f>
              <c:strCache>
                <c:ptCount val="1"/>
                <c:pt idx="0">
                  <c:v>Temp</c:v>
                </c:pt>
              </c:strCache>
            </c:strRef>
          </c:tx>
          <c:cat>
            <c:strRef>
              <c:f>'11-15-10'!$A$8:$A$18</c:f>
              <c:strCache>
                <c:ptCount val="11"/>
                <c:pt idx="0">
                  <c:v>1m</c:v>
                </c:pt>
                <c:pt idx="1">
                  <c:v>2m</c:v>
                </c:pt>
                <c:pt idx="2">
                  <c:v>3m</c:v>
                </c:pt>
                <c:pt idx="3">
                  <c:v>4m</c:v>
                </c:pt>
                <c:pt idx="4">
                  <c:v>5m</c:v>
                </c:pt>
                <c:pt idx="5">
                  <c:v>6m</c:v>
                </c:pt>
                <c:pt idx="6">
                  <c:v>7m</c:v>
                </c:pt>
                <c:pt idx="7">
                  <c:v>8m</c:v>
                </c:pt>
                <c:pt idx="8">
                  <c:v>9m</c:v>
                </c:pt>
                <c:pt idx="9">
                  <c:v>10m</c:v>
                </c:pt>
                <c:pt idx="10">
                  <c:v>11m</c:v>
                </c:pt>
              </c:strCache>
            </c:strRef>
          </c:cat>
          <c:val>
            <c:numRef>
              <c:f>'11-15-10'!$E$8:$E$18</c:f>
              <c:numCache>
                <c:formatCode>0.00</c:formatCode>
                <c:ptCount val="11"/>
                <c:pt idx="0">
                  <c:v>7.3</c:v>
                </c:pt>
                <c:pt idx="1">
                  <c:v>7.1</c:v>
                </c:pt>
                <c:pt idx="2">
                  <c:v>7.1</c:v>
                </c:pt>
                <c:pt idx="3">
                  <c:v>7.1</c:v>
                </c:pt>
                <c:pt idx="4">
                  <c:v>7.1</c:v>
                </c:pt>
                <c:pt idx="5">
                  <c:v>7</c:v>
                </c:pt>
                <c:pt idx="6">
                  <c:v>7</c:v>
                </c:pt>
                <c:pt idx="7">
                  <c:v>6.9</c:v>
                </c:pt>
                <c:pt idx="8">
                  <c:v>6.6</c:v>
                </c:pt>
                <c:pt idx="9">
                  <c:v>6.6</c:v>
                </c:pt>
                <c:pt idx="10">
                  <c:v>6.6</c:v>
                </c:pt>
              </c:numCache>
            </c:numRef>
          </c:val>
          <c:smooth val="0"/>
          <c:extLst>
            <c:ext xmlns:c16="http://schemas.microsoft.com/office/drawing/2014/chart" uri="{C3380CC4-5D6E-409C-BE32-E72D297353CC}">
              <c16:uniqueId val="{00000001-17AD-4EFE-9602-01EC85CE38CD}"/>
            </c:ext>
          </c:extLst>
        </c:ser>
        <c:dLbls>
          <c:showLegendKey val="0"/>
          <c:showVal val="0"/>
          <c:showCatName val="0"/>
          <c:showSerName val="0"/>
          <c:showPercent val="0"/>
          <c:showBubbleSize val="0"/>
        </c:dLbls>
        <c:marker val="1"/>
        <c:smooth val="0"/>
        <c:axId val="136124288"/>
        <c:axId val="136125824"/>
      </c:lineChart>
      <c:catAx>
        <c:axId val="136124288"/>
        <c:scaling>
          <c:orientation val="minMax"/>
        </c:scaling>
        <c:delete val="0"/>
        <c:axPos val="b"/>
        <c:numFmt formatCode="General" sourceLinked="0"/>
        <c:majorTickMark val="out"/>
        <c:minorTickMark val="none"/>
        <c:tickLblPos val="nextTo"/>
        <c:crossAx val="136125824"/>
        <c:crosses val="autoZero"/>
        <c:auto val="1"/>
        <c:lblAlgn val="ctr"/>
        <c:lblOffset val="100"/>
        <c:noMultiLvlLbl val="0"/>
      </c:catAx>
      <c:valAx>
        <c:axId val="136125824"/>
        <c:scaling>
          <c:orientation val="minMax"/>
          <c:min val="5"/>
        </c:scaling>
        <c:delete val="0"/>
        <c:axPos val="l"/>
        <c:majorGridlines/>
        <c:numFmt formatCode="0.00" sourceLinked="1"/>
        <c:majorTickMark val="out"/>
        <c:minorTickMark val="none"/>
        <c:tickLblPos val="nextTo"/>
        <c:crossAx val="136124288"/>
        <c:crosses val="autoZero"/>
        <c:crossBetween val="between"/>
      </c:valAx>
    </c:plotArea>
    <c:legend>
      <c:legendPos val="r"/>
      <c:overlay val="0"/>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'12-2-10'!$D$3</c:f>
              <c:strCache>
                <c:ptCount val="1"/>
                <c:pt idx="0">
                  <c:v>DO</c:v>
                </c:pt>
              </c:strCache>
            </c:strRef>
          </c:tx>
          <c:val>
            <c:numRef>
              <c:f>'12-2-10'!$D$8:$D$14</c:f>
              <c:numCache>
                <c:formatCode>General</c:formatCode>
                <c:ptCount val="7"/>
                <c:pt idx="0">
                  <c:v>10.62</c:v>
                </c:pt>
                <c:pt idx="1">
                  <c:v>10.55</c:v>
                </c:pt>
                <c:pt idx="2">
                  <c:v>10.5</c:v>
                </c:pt>
                <c:pt idx="3">
                  <c:v>10.4</c:v>
                </c:pt>
                <c:pt idx="4">
                  <c:v>10.210000000000001</c:v>
                </c:pt>
                <c:pt idx="5">
                  <c:v>10.11</c:v>
                </c:pt>
                <c:pt idx="6">
                  <c:v>10.119999999999999</c:v>
                </c:pt>
              </c:numCache>
            </c:numRef>
          </c:val>
          <c:smooth val="0"/>
          <c:extLst>
            <c:ext xmlns:c16="http://schemas.microsoft.com/office/drawing/2014/chart" uri="{C3380CC4-5D6E-409C-BE32-E72D297353CC}">
              <c16:uniqueId val="{00000000-B1DC-4706-9590-B318B31069EB}"/>
            </c:ext>
          </c:extLst>
        </c:ser>
        <c:ser>
          <c:idx val="1"/>
          <c:order val="1"/>
          <c:tx>
            <c:strRef>
              <c:f>'12-2-10'!$E$3</c:f>
              <c:strCache>
                <c:ptCount val="1"/>
                <c:pt idx="0">
                  <c:v>Temp</c:v>
                </c:pt>
              </c:strCache>
            </c:strRef>
          </c:tx>
          <c:val>
            <c:numRef>
              <c:f>'12-2-10'!$E$8:$E$13</c:f>
              <c:numCache>
                <c:formatCode>General</c:formatCode>
                <c:ptCount val="6"/>
                <c:pt idx="0">
                  <c:v>3.1</c:v>
                </c:pt>
                <c:pt idx="1">
                  <c:v>3.2</c:v>
                </c:pt>
                <c:pt idx="2">
                  <c:v>3.2</c:v>
                </c:pt>
                <c:pt idx="3">
                  <c:v>3.2</c:v>
                </c:pt>
                <c:pt idx="4">
                  <c:v>3.2</c:v>
                </c:pt>
                <c:pt idx="5">
                  <c:v>3.3</c:v>
                </c:pt>
              </c:numCache>
            </c:numRef>
          </c:val>
          <c:smooth val="0"/>
          <c:extLst>
            <c:ext xmlns:c16="http://schemas.microsoft.com/office/drawing/2014/chart" uri="{C3380CC4-5D6E-409C-BE32-E72D297353CC}">
              <c16:uniqueId val="{00000001-B1DC-4706-9590-B318B31069EB}"/>
            </c:ext>
          </c:extLst>
        </c:ser>
        <c:dLbls>
          <c:showLegendKey val="0"/>
          <c:showVal val="0"/>
          <c:showCatName val="0"/>
          <c:showSerName val="0"/>
          <c:showPercent val="0"/>
          <c:showBubbleSize val="0"/>
        </c:dLbls>
        <c:marker val="1"/>
        <c:smooth val="0"/>
        <c:axId val="136163328"/>
        <c:axId val="136164864"/>
      </c:lineChart>
      <c:catAx>
        <c:axId val="136163328"/>
        <c:scaling>
          <c:orientation val="minMax"/>
        </c:scaling>
        <c:delete val="0"/>
        <c:axPos val="b"/>
        <c:majorTickMark val="out"/>
        <c:minorTickMark val="none"/>
        <c:tickLblPos val="nextTo"/>
        <c:crossAx val="136164864"/>
        <c:crosses val="autoZero"/>
        <c:auto val="1"/>
        <c:lblAlgn val="ctr"/>
        <c:lblOffset val="100"/>
        <c:noMultiLvlLbl val="0"/>
      </c:catAx>
      <c:valAx>
        <c:axId val="136164864"/>
        <c:scaling>
          <c:orientation val="minMax"/>
        </c:scaling>
        <c:delete val="0"/>
        <c:axPos val="l"/>
        <c:majorGridlines/>
        <c:numFmt formatCode="General" sourceLinked="1"/>
        <c:majorTickMark val="out"/>
        <c:minorTickMark val="none"/>
        <c:tickLblPos val="nextTo"/>
        <c:crossAx val="136163328"/>
        <c:crosses val="autoZero"/>
        <c:crossBetween val="between"/>
      </c:valAx>
    </c:plotArea>
    <c:legend>
      <c:legendPos val="r"/>
      <c:overlay val="0"/>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Phosphorus</a:t>
            </a:r>
          </a:p>
        </c:rich>
      </c:tx>
      <c:layout>
        <c:manualLayout>
          <c:xMode val="edge"/>
          <c:yMode val="edge"/>
          <c:x val="0.30914964176775311"/>
          <c:y val="1.7423795476892823E-2"/>
        </c:manualLayout>
      </c:layout>
      <c:overlay val="1"/>
    </c:title>
    <c:autoTitleDeleted val="0"/>
    <c:plotArea>
      <c:layout>
        <c:manualLayout>
          <c:layoutTarget val="inner"/>
          <c:xMode val="edge"/>
          <c:yMode val="edge"/>
          <c:x val="9.8571741032371027E-2"/>
          <c:y val="5.1400554097404488E-2"/>
          <c:w val="0.84895100612424423"/>
          <c:h val="0.70651574803149608"/>
        </c:manualLayout>
      </c:layout>
      <c:lineChart>
        <c:grouping val="standard"/>
        <c:varyColors val="0"/>
        <c:ser>
          <c:idx val="0"/>
          <c:order val="0"/>
          <c:tx>
            <c:strRef>
              <c:f>'Monthly Chemistry'!$B$14</c:f>
              <c:strCache>
                <c:ptCount val="1"/>
                <c:pt idx="0">
                  <c:v>Phosphorus, total</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Chemistry'!$C$14:$Q$14</c:f>
              <c:numCache>
                <c:formatCode>General</c:formatCode>
                <c:ptCount val="15"/>
                <c:pt idx="0">
                  <c:v>15</c:v>
                </c:pt>
                <c:pt idx="1">
                  <c:v>26</c:v>
                </c:pt>
                <c:pt idx="2">
                  <c:v>16</c:v>
                </c:pt>
                <c:pt idx="3">
                  <c:v>39</c:v>
                </c:pt>
                <c:pt idx="4">
                  <c:v>22</c:v>
                </c:pt>
                <c:pt idx="5">
                  <c:v>29</c:v>
                </c:pt>
                <c:pt idx="6">
                  <c:v>12</c:v>
                </c:pt>
                <c:pt idx="7">
                  <c:v>28</c:v>
                </c:pt>
                <c:pt idx="8" formatCode="0">
                  <c:v>41</c:v>
                </c:pt>
                <c:pt idx="9">
                  <c:v>33</c:v>
                </c:pt>
                <c:pt idx="10">
                  <c:v>46</c:v>
                </c:pt>
                <c:pt idx="11">
                  <c:v>22</c:v>
                </c:pt>
                <c:pt idx="12">
                  <c:v>41</c:v>
                </c:pt>
                <c:pt idx="13">
                  <c:v>35</c:v>
                </c:pt>
                <c:pt idx="14" formatCode="0">
                  <c:v>19</c:v>
                </c:pt>
              </c:numCache>
            </c:numRef>
          </c:val>
          <c:smooth val="0"/>
          <c:extLst>
            <c:ext xmlns:c16="http://schemas.microsoft.com/office/drawing/2014/chart" uri="{C3380CC4-5D6E-409C-BE32-E72D297353CC}">
              <c16:uniqueId val="{00000000-E1F7-4810-AA6F-FD6AB4AC85A8}"/>
            </c:ext>
          </c:extLst>
        </c:ser>
        <c:ser>
          <c:idx val="1"/>
          <c:order val="1"/>
          <c:tx>
            <c:strRef>
              <c:f>'Monthly Chemistry'!$B$15</c:f>
              <c:strCache>
                <c:ptCount val="1"/>
                <c:pt idx="0">
                  <c:v>Total Dissolved Phosphorus</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Chemistry'!$C$15:$Q$15</c:f>
              <c:numCache>
                <c:formatCode>General</c:formatCode>
                <c:ptCount val="15"/>
                <c:pt idx="0">
                  <c:v>16</c:v>
                </c:pt>
                <c:pt idx="1">
                  <c:v>12</c:v>
                </c:pt>
                <c:pt idx="2">
                  <c:v>8</c:v>
                </c:pt>
                <c:pt idx="3">
                  <c:v>15</c:v>
                </c:pt>
                <c:pt idx="4">
                  <c:v>5</c:v>
                </c:pt>
                <c:pt idx="5">
                  <c:v>15</c:v>
                </c:pt>
                <c:pt idx="6">
                  <c:v>13</c:v>
                </c:pt>
                <c:pt idx="7">
                  <c:v>11</c:v>
                </c:pt>
                <c:pt idx="8" formatCode="0">
                  <c:v>9</c:v>
                </c:pt>
                <c:pt idx="9">
                  <c:v>11</c:v>
                </c:pt>
                <c:pt idx="10">
                  <c:v>7</c:v>
                </c:pt>
                <c:pt idx="11">
                  <c:v>13</c:v>
                </c:pt>
                <c:pt idx="12">
                  <c:v>16</c:v>
                </c:pt>
                <c:pt idx="13">
                  <c:v>11</c:v>
                </c:pt>
                <c:pt idx="14" formatCode="0">
                  <c:v>5</c:v>
                </c:pt>
              </c:numCache>
            </c:numRef>
          </c:val>
          <c:smooth val="0"/>
          <c:extLst>
            <c:ext xmlns:c16="http://schemas.microsoft.com/office/drawing/2014/chart" uri="{C3380CC4-5D6E-409C-BE32-E72D297353CC}">
              <c16:uniqueId val="{00000001-E1F7-4810-AA6F-FD6AB4AC85A8}"/>
            </c:ext>
          </c:extLst>
        </c:ser>
        <c:dLbls>
          <c:showLegendKey val="0"/>
          <c:showVal val="0"/>
          <c:showCatName val="0"/>
          <c:showSerName val="0"/>
          <c:showPercent val="0"/>
          <c:showBubbleSize val="0"/>
        </c:dLbls>
        <c:marker val="1"/>
        <c:smooth val="0"/>
        <c:axId val="136342144"/>
        <c:axId val="136356224"/>
      </c:lineChart>
      <c:dateAx>
        <c:axId val="136342144"/>
        <c:scaling>
          <c:orientation val="minMax"/>
        </c:scaling>
        <c:delete val="0"/>
        <c:axPos val="b"/>
        <c:numFmt formatCode="[$-409]mmm\-yy;@" sourceLinked="0"/>
        <c:majorTickMark val="out"/>
        <c:minorTickMark val="none"/>
        <c:tickLblPos val="nextTo"/>
        <c:crossAx val="136356224"/>
        <c:crosses val="autoZero"/>
        <c:auto val="1"/>
        <c:lblOffset val="100"/>
        <c:baseTimeUnit val="days"/>
        <c:majorUnit val="1"/>
        <c:majorTimeUnit val="months"/>
        <c:minorUnit val="1"/>
        <c:minorTimeUnit val="months"/>
      </c:dateAx>
      <c:valAx>
        <c:axId val="136356224"/>
        <c:scaling>
          <c:orientation val="minMax"/>
        </c:scaling>
        <c:delete val="0"/>
        <c:axPos val="l"/>
        <c:majorGridlines/>
        <c:minorGridlines/>
        <c:numFmt formatCode="General" sourceLinked="1"/>
        <c:majorTickMark val="out"/>
        <c:minorTickMark val="none"/>
        <c:tickLblPos val="nextTo"/>
        <c:crossAx val="136342144"/>
        <c:crossesAt val="40203"/>
        <c:crossBetween val="midCat"/>
      </c:valAx>
    </c:plotArea>
    <c:legend>
      <c:legendPos val="r"/>
      <c:layout>
        <c:manualLayout>
          <c:xMode val="edge"/>
          <c:yMode val="edge"/>
          <c:x val="0.34897673263815032"/>
          <c:y val="0.8505014749262535"/>
          <c:w val="0.31651823082925667"/>
          <c:h val="0.11498199893154949"/>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800"/>
          </a:pPr>
          <a:endParaRPr lang="en-US"/>
        </a:p>
      </c:txPr>
    </c:legend>
    <c:plotVisOnly val="1"/>
    <c:dispBlanksAs val="gap"/>
    <c:showDLblsOverMax val="0"/>
  </c:chart>
  <c:printSettings>
    <c:headerFooter/>
    <c:pageMargins b="0.75000000000000888" l="0.70000000000000062" r="0.70000000000000062" t="0.75000000000000888"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Nitrate/Nitrite  </a:t>
            </a:r>
          </a:p>
        </c:rich>
      </c:tx>
      <c:overlay val="0"/>
    </c:title>
    <c:autoTitleDeleted val="0"/>
    <c:plotArea>
      <c:layout>
        <c:manualLayout>
          <c:layoutTarget val="inner"/>
          <c:xMode val="edge"/>
          <c:yMode val="edge"/>
          <c:x val="0.15747462817148089"/>
          <c:y val="0.19480351414406533"/>
          <c:w val="0.78925131698963169"/>
          <c:h val="0.57160776902888077"/>
        </c:manualLayout>
      </c:layout>
      <c:lineChart>
        <c:grouping val="standard"/>
        <c:varyColors val="0"/>
        <c:ser>
          <c:idx val="0"/>
          <c:order val="0"/>
          <c:tx>
            <c:strRef>
              <c:f>'Monthly Chemistry'!$A$11:$A$16</c:f>
              <c:strCache>
                <c:ptCount val="1"/>
                <c:pt idx="0">
                  <c:v>Bear Creek Reservoir Top, Site 40a</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Chemistry'!$C$12:$Q$12</c:f>
              <c:numCache>
                <c:formatCode>General</c:formatCode>
                <c:ptCount val="15"/>
                <c:pt idx="0">
                  <c:v>791</c:v>
                </c:pt>
                <c:pt idx="1">
                  <c:v>1019</c:v>
                </c:pt>
                <c:pt idx="2">
                  <c:v>593</c:v>
                </c:pt>
                <c:pt idx="3">
                  <c:v>456</c:v>
                </c:pt>
                <c:pt idx="4">
                  <c:v>459</c:v>
                </c:pt>
                <c:pt idx="5">
                  <c:v>205</c:v>
                </c:pt>
                <c:pt idx="6">
                  <c:v>224</c:v>
                </c:pt>
                <c:pt idx="7">
                  <c:v>175</c:v>
                </c:pt>
                <c:pt idx="8" formatCode="0">
                  <c:v>133</c:v>
                </c:pt>
                <c:pt idx="9">
                  <c:v>79</c:v>
                </c:pt>
                <c:pt idx="10">
                  <c:v>2</c:v>
                </c:pt>
                <c:pt idx="11">
                  <c:v>57</c:v>
                </c:pt>
                <c:pt idx="12">
                  <c:v>37</c:v>
                </c:pt>
                <c:pt idx="13">
                  <c:v>74</c:v>
                </c:pt>
                <c:pt idx="14" formatCode="0">
                  <c:v>2</c:v>
                </c:pt>
              </c:numCache>
            </c:numRef>
          </c:val>
          <c:smooth val="0"/>
          <c:extLst>
            <c:ext xmlns:c16="http://schemas.microsoft.com/office/drawing/2014/chart" uri="{C3380CC4-5D6E-409C-BE32-E72D297353CC}">
              <c16:uniqueId val="{00000000-F514-4D80-897D-531AC4C6E0BF}"/>
            </c:ext>
          </c:extLst>
        </c:ser>
        <c:ser>
          <c:idx val="1"/>
          <c:order val="1"/>
          <c:tx>
            <c:strRef>
              <c:f>'Monthly Chemistry'!$A$17:$A$21</c:f>
              <c:strCache>
                <c:ptCount val="1"/>
                <c:pt idx="0">
                  <c:v>Bear Creek Reservoir Bottom, Site 40c</c:v>
                </c:pt>
              </c:strCache>
            </c:strRef>
          </c:tx>
          <c:cat>
            <c:numRef>
              <c:f>'Monthly Chemistry'!$C$2:$N$2</c:f>
              <c:numCache>
                <c:formatCode>[$-409]d\-mmm;@</c:formatCode>
                <c:ptCount val="12"/>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numCache>
            </c:numRef>
          </c:cat>
          <c:val>
            <c:numRef>
              <c:f>'Monthly Chemistry'!$C$17:$Q$17</c:f>
              <c:numCache>
                <c:formatCode>General</c:formatCode>
                <c:ptCount val="15"/>
                <c:pt idx="0">
                  <c:v>393</c:v>
                </c:pt>
                <c:pt idx="1">
                  <c:v>547</c:v>
                </c:pt>
                <c:pt idx="2">
                  <c:v>348</c:v>
                </c:pt>
                <c:pt idx="3">
                  <c:v>487</c:v>
                </c:pt>
                <c:pt idx="4">
                  <c:v>490</c:v>
                </c:pt>
                <c:pt idx="5">
                  <c:v>200</c:v>
                </c:pt>
                <c:pt idx="6">
                  <c:v>192</c:v>
                </c:pt>
                <c:pt idx="7">
                  <c:v>172</c:v>
                </c:pt>
                <c:pt idx="8" formatCode="0">
                  <c:v>127</c:v>
                </c:pt>
                <c:pt idx="9">
                  <c:v>92</c:v>
                </c:pt>
                <c:pt idx="10">
                  <c:v>9</c:v>
                </c:pt>
                <c:pt idx="11">
                  <c:v>80</c:v>
                </c:pt>
                <c:pt idx="12">
                  <c:v>39</c:v>
                </c:pt>
                <c:pt idx="13">
                  <c:v>111</c:v>
                </c:pt>
                <c:pt idx="14" formatCode="0.0">
                  <c:v>40</c:v>
                </c:pt>
              </c:numCache>
            </c:numRef>
          </c:val>
          <c:smooth val="0"/>
          <c:extLst>
            <c:ext xmlns:c16="http://schemas.microsoft.com/office/drawing/2014/chart" uri="{C3380CC4-5D6E-409C-BE32-E72D297353CC}">
              <c16:uniqueId val="{00000001-F514-4D80-897D-531AC4C6E0BF}"/>
            </c:ext>
          </c:extLst>
        </c:ser>
        <c:dLbls>
          <c:showLegendKey val="0"/>
          <c:showVal val="0"/>
          <c:showCatName val="0"/>
          <c:showSerName val="0"/>
          <c:showPercent val="0"/>
          <c:showBubbleSize val="0"/>
        </c:dLbls>
        <c:hiLowLines/>
        <c:marker val="1"/>
        <c:smooth val="0"/>
        <c:axId val="136651904"/>
        <c:axId val="136653440"/>
      </c:lineChart>
      <c:dateAx>
        <c:axId val="136651904"/>
        <c:scaling>
          <c:orientation val="minMax"/>
        </c:scaling>
        <c:delete val="0"/>
        <c:axPos val="b"/>
        <c:numFmt formatCode="[$-409]d\-mmm;@" sourceLinked="0"/>
        <c:majorTickMark val="in"/>
        <c:minorTickMark val="out"/>
        <c:tickLblPos val="low"/>
        <c:crossAx val="136653440"/>
        <c:crosses val="autoZero"/>
        <c:auto val="0"/>
        <c:lblOffset val="100"/>
        <c:baseTimeUnit val="days"/>
      </c:dateAx>
      <c:valAx>
        <c:axId val="136653440"/>
        <c:scaling>
          <c:orientation val="minMax"/>
        </c:scaling>
        <c:delete val="0"/>
        <c:axPos val="l"/>
        <c:majorGridlines/>
        <c:minorGridlines/>
        <c:title>
          <c:tx>
            <c:rich>
              <a:bodyPr/>
              <a:lstStyle/>
              <a:p>
                <a:pPr>
                  <a:defRPr/>
                </a:pPr>
                <a:r>
                  <a:rPr lang="en-US"/>
                  <a:t>ug/l</a:t>
                </a:r>
              </a:p>
            </c:rich>
          </c:tx>
          <c:overlay val="0"/>
        </c:title>
        <c:numFmt formatCode="General" sourceLinked="1"/>
        <c:majorTickMark val="out"/>
        <c:minorTickMark val="none"/>
        <c:tickLblPos val="nextTo"/>
        <c:crossAx val="136651904"/>
        <c:crossesAt val="40203"/>
        <c:crossBetween val="midCat"/>
      </c:valAx>
    </c:plotArea>
    <c:legend>
      <c:legendPos val="r"/>
      <c:layout>
        <c:manualLayout>
          <c:xMode val="edge"/>
          <c:yMode val="edge"/>
          <c:x val="0.52567040822024902"/>
          <c:y val="0.16352617381160692"/>
          <c:w val="0.44450363917276298"/>
          <c:h val="0.19632060227347017"/>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800"/>
          </a:pPr>
          <a:endParaRPr lang="en-US"/>
        </a:p>
      </c:txPr>
    </c:legend>
    <c:plotVisOnly val="1"/>
    <c:dispBlanksAs val="gap"/>
    <c:showDLblsOverMax val="0"/>
  </c:chart>
  <c:printSettings>
    <c:headerFooter/>
    <c:pageMargins b="0.75000000000000888" l="0.70000000000000062" r="0.70000000000000062" t="0.75000000000000888" header="0.30000000000000032" footer="0.30000000000000032"/>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'Monthly Chemistry'!$B$11</c:f>
              <c:strCache>
                <c:ptCount val="1"/>
                <c:pt idx="0">
                  <c:v>Chlorophyll a</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Chemistry'!$C$11:$Q$11</c:f>
              <c:numCache>
                <c:formatCode>General</c:formatCode>
                <c:ptCount val="15"/>
                <c:pt idx="0">
                  <c:v>2.1</c:v>
                </c:pt>
                <c:pt idx="1">
                  <c:v>14</c:v>
                </c:pt>
                <c:pt idx="2">
                  <c:v>1.8</c:v>
                </c:pt>
                <c:pt idx="3">
                  <c:v>0.9</c:v>
                </c:pt>
                <c:pt idx="4">
                  <c:v>2.5</c:v>
                </c:pt>
                <c:pt idx="5">
                  <c:v>1.2</c:v>
                </c:pt>
                <c:pt idx="6">
                  <c:v>8.3000000000000007</c:v>
                </c:pt>
                <c:pt idx="7">
                  <c:v>16.2</c:v>
                </c:pt>
                <c:pt idx="8" formatCode="0.0">
                  <c:v>11.2</c:v>
                </c:pt>
                <c:pt idx="9">
                  <c:v>20.2</c:v>
                </c:pt>
                <c:pt idx="10">
                  <c:v>22.8</c:v>
                </c:pt>
                <c:pt idx="11">
                  <c:v>12.6</c:v>
                </c:pt>
                <c:pt idx="12">
                  <c:v>10.3</c:v>
                </c:pt>
                <c:pt idx="13">
                  <c:v>10.5</c:v>
                </c:pt>
                <c:pt idx="14" formatCode="0.0">
                  <c:v>24.1</c:v>
                </c:pt>
              </c:numCache>
            </c:numRef>
          </c:val>
          <c:smooth val="0"/>
          <c:extLst>
            <c:ext xmlns:c16="http://schemas.microsoft.com/office/drawing/2014/chart" uri="{C3380CC4-5D6E-409C-BE32-E72D297353CC}">
              <c16:uniqueId val="{00000000-A948-435B-8453-BEF318792C19}"/>
            </c:ext>
          </c:extLst>
        </c:ser>
        <c:dLbls>
          <c:showLegendKey val="0"/>
          <c:showVal val="0"/>
          <c:showCatName val="0"/>
          <c:showSerName val="0"/>
          <c:showPercent val="0"/>
          <c:showBubbleSize val="0"/>
        </c:dLbls>
        <c:marker val="1"/>
        <c:smooth val="0"/>
        <c:axId val="136685056"/>
        <c:axId val="136686592"/>
      </c:lineChart>
      <c:dateAx>
        <c:axId val="136685056"/>
        <c:scaling>
          <c:orientation val="minMax"/>
        </c:scaling>
        <c:delete val="0"/>
        <c:axPos val="b"/>
        <c:numFmt formatCode="[$-409]d\-mmm;@" sourceLinked="0"/>
        <c:majorTickMark val="out"/>
        <c:minorTickMark val="none"/>
        <c:tickLblPos val="nextTo"/>
        <c:crossAx val="136686592"/>
        <c:crosses val="autoZero"/>
        <c:auto val="1"/>
        <c:lblOffset val="100"/>
        <c:baseTimeUnit val="days"/>
        <c:minorUnit val="15"/>
        <c:minorTimeUnit val="months"/>
      </c:dateAx>
      <c:valAx>
        <c:axId val="136686592"/>
        <c:scaling>
          <c:orientation val="minMax"/>
        </c:scaling>
        <c:delete val="0"/>
        <c:axPos val="l"/>
        <c:majorGridlines/>
        <c:numFmt formatCode="General" sourceLinked="1"/>
        <c:majorTickMark val="out"/>
        <c:minorTickMark val="none"/>
        <c:tickLblPos val="nextTo"/>
        <c:crossAx val="136685056"/>
        <c:crossesAt val="40179"/>
        <c:crossBetween val="midCat"/>
      </c:valAx>
    </c:plotArea>
    <c:plotVisOnly val="1"/>
    <c:dispBlanksAs val="gap"/>
    <c:showDLblsOverMax val="0"/>
  </c:chart>
  <c:printSettings>
    <c:headerFooter/>
    <c:pageMargins b="0.75000000000000888" l="0.70000000000000062" r="0.70000000000000062" t="0.75000000000000888"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TSS</a:t>
            </a:r>
          </a:p>
        </c:rich>
      </c:tx>
      <c:layout>
        <c:manualLayout>
          <c:xMode val="edge"/>
          <c:yMode val="edge"/>
          <c:x val="0.14017370733686219"/>
          <c:y val="3.7037037037037056E-2"/>
        </c:manualLayout>
      </c:layout>
      <c:overlay val="1"/>
    </c:title>
    <c:autoTitleDeleted val="0"/>
    <c:plotArea>
      <c:layout>
        <c:manualLayout>
          <c:layoutTarget val="inner"/>
          <c:xMode val="edge"/>
          <c:yMode val="edge"/>
          <c:x val="0.17153656516582091"/>
          <c:y val="0.27385727100568447"/>
          <c:w val="0.78867443552410299"/>
          <c:h val="0.57998770723279869"/>
        </c:manualLayout>
      </c:layout>
      <c:lineChart>
        <c:grouping val="standard"/>
        <c:varyColors val="0"/>
        <c:ser>
          <c:idx val="0"/>
          <c:order val="0"/>
          <c:tx>
            <c:strRef>
              <c:f>'Monthly Chemistry'!$A$3:$A$6</c:f>
              <c:strCache>
                <c:ptCount val="1"/>
                <c:pt idx="0">
                  <c:v>Bear Creek Inflow, Site 15a</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Chemistry'!$C$6:$Q$6</c:f>
              <c:numCache>
                <c:formatCode>General</c:formatCode>
                <c:ptCount val="15"/>
                <c:pt idx="0">
                  <c:v>5.2</c:v>
                </c:pt>
                <c:pt idx="2">
                  <c:v>9.8000000000000007</c:v>
                </c:pt>
                <c:pt idx="3">
                  <c:v>58.4</c:v>
                </c:pt>
                <c:pt idx="4">
                  <c:v>39</c:v>
                </c:pt>
                <c:pt idx="5">
                  <c:v>11.2</c:v>
                </c:pt>
                <c:pt idx="6">
                  <c:v>9.8000000000000007</c:v>
                </c:pt>
                <c:pt idx="7">
                  <c:v>14.2</c:v>
                </c:pt>
                <c:pt idx="8" formatCode="0.0">
                  <c:v>8.1999999999999993</c:v>
                </c:pt>
                <c:pt idx="9">
                  <c:v>7.6</c:v>
                </c:pt>
                <c:pt idx="10">
                  <c:v>23</c:v>
                </c:pt>
                <c:pt idx="11">
                  <c:v>12.6</c:v>
                </c:pt>
                <c:pt idx="12">
                  <c:v>39.299999999999997</c:v>
                </c:pt>
                <c:pt idx="13">
                  <c:v>4.5999999999999996</c:v>
                </c:pt>
                <c:pt idx="14" formatCode="0">
                  <c:v>4.2</c:v>
                </c:pt>
              </c:numCache>
            </c:numRef>
          </c:val>
          <c:smooth val="0"/>
          <c:extLst>
            <c:ext xmlns:c16="http://schemas.microsoft.com/office/drawing/2014/chart" uri="{C3380CC4-5D6E-409C-BE32-E72D297353CC}">
              <c16:uniqueId val="{00000000-0EBF-4829-8E82-C4392A8E4A72}"/>
            </c:ext>
          </c:extLst>
        </c:ser>
        <c:ser>
          <c:idx val="1"/>
          <c:order val="1"/>
          <c:tx>
            <c:strRef>
              <c:f>'Monthly Chemistry'!$A$7:$A$10</c:f>
              <c:strCache>
                <c:ptCount val="1"/>
                <c:pt idx="0">
                  <c:v>Turkey Creek Inflow, Site 16a</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Chemistry'!$C$10:$Q$10</c:f>
              <c:numCache>
                <c:formatCode>General</c:formatCode>
                <c:ptCount val="15"/>
                <c:pt idx="0">
                  <c:v>5.6</c:v>
                </c:pt>
                <c:pt idx="1">
                  <c:v>17.2</c:v>
                </c:pt>
                <c:pt idx="2">
                  <c:v>29.8</c:v>
                </c:pt>
                <c:pt idx="3">
                  <c:v>58.6</c:v>
                </c:pt>
                <c:pt idx="4">
                  <c:v>14.8</c:v>
                </c:pt>
                <c:pt idx="5">
                  <c:v>10.9</c:v>
                </c:pt>
                <c:pt idx="6">
                  <c:v>10</c:v>
                </c:pt>
                <c:pt idx="7">
                  <c:v>9.4</c:v>
                </c:pt>
                <c:pt idx="8" formatCode="0.0">
                  <c:v>4.2</c:v>
                </c:pt>
                <c:pt idx="9">
                  <c:v>10.8</c:v>
                </c:pt>
                <c:pt idx="10">
                  <c:v>4.8</c:v>
                </c:pt>
                <c:pt idx="11">
                  <c:v>18.399999999999999</c:v>
                </c:pt>
                <c:pt idx="12">
                  <c:v>4.0999999999999996</c:v>
                </c:pt>
                <c:pt idx="13">
                  <c:v>0</c:v>
                </c:pt>
                <c:pt idx="14" formatCode="0.0">
                  <c:v>4</c:v>
                </c:pt>
              </c:numCache>
            </c:numRef>
          </c:val>
          <c:smooth val="0"/>
          <c:extLst>
            <c:ext xmlns:c16="http://schemas.microsoft.com/office/drawing/2014/chart" uri="{C3380CC4-5D6E-409C-BE32-E72D297353CC}">
              <c16:uniqueId val="{00000001-0EBF-4829-8E82-C4392A8E4A72}"/>
            </c:ext>
          </c:extLst>
        </c:ser>
        <c:ser>
          <c:idx val="2"/>
          <c:order val="2"/>
          <c:tx>
            <c:strRef>
              <c:f>'Monthly Chemistry'!$A$11:$A$16</c:f>
              <c:strCache>
                <c:ptCount val="1"/>
                <c:pt idx="0">
                  <c:v>Bear Creek Reservoir Top, Site 40a</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Chemistry'!$C$16:$Q$16</c:f>
              <c:numCache>
                <c:formatCode>0.0</c:formatCode>
                <c:ptCount val="15"/>
                <c:pt idx="1">
                  <c:v>0</c:v>
                </c:pt>
                <c:pt idx="2">
                  <c:v>5.4</c:v>
                </c:pt>
                <c:pt idx="3">
                  <c:v>14.2</c:v>
                </c:pt>
                <c:pt idx="4">
                  <c:v>10.8</c:v>
                </c:pt>
                <c:pt idx="5">
                  <c:v>0</c:v>
                </c:pt>
                <c:pt idx="6">
                  <c:v>5.0999999999999996</c:v>
                </c:pt>
                <c:pt idx="7">
                  <c:v>4.4000000000000004</c:v>
                </c:pt>
                <c:pt idx="8">
                  <c:v>4.5999999999999996</c:v>
                </c:pt>
                <c:pt idx="9">
                  <c:v>8.1999999999999993</c:v>
                </c:pt>
                <c:pt idx="10">
                  <c:v>12.4</c:v>
                </c:pt>
                <c:pt idx="11">
                  <c:v>19</c:v>
                </c:pt>
                <c:pt idx="12" formatCode="General">
                  <c:v>7.8</c:v>
                </c:pt>
                <c:pt idx="13">
                  <c:v>4</c:v>
                </c:pt>
                <c:pt idx="14">
                  <c:v>5.6</c:v>
                </c:pt>
              </c:numCache>
            </c:numRef>
          </c:val>
          <c:smooth val="0"/>
          <c:extLst>
            <c:ext xmlns:c16="http://schemas.microsoft.com/office/drawing/2014/chart" uri="{C3380CC4-5D6E-409C-BE32-E72D297353CC}">
              <c16:uniqueId val="{00000002-0EBF-4829-8E82-C4392A8E4A72}"/>
            </c:ext>
          </c:extLst>
        </c:ser>
        <c:ser>
          <c:idx val="3"/>
          <c:order val="3"/>
          <c:tx>
            <c:strRef>
              <c:f>'Monthly Chemistry'!$A$22:$A$26</c:f>
              <c:strCache>
                <c:ptCount val="1"/>
                <c:pt idx="0">
                  <c:v>Lower Bear Creek Outflow, Site 45</c:v>
                </c:pt>
              </c:strCache>
            </c:strRef>
          </c:tx>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Chemistry'!$C$26:$Q$26</c:f>
              <c:numCache>
                <c:formatCode>General</c:formatCode>
                <c:ptCount val="15"/>
                <c:pt idx="3">
                  <c:v>17.2</c:v>
                </c:pt>
                <c:pt idx="4">
                  <c:v>16</c:v>
                </c:pt>
                <c:pt idx="5">
                  <c:v>0</c:v>
                </c:pt>
                <c:pt idx="6">
                  <c:v>4</c:v>
                </c:pt>
                <c:pt idx="7" formatCode="0.0">
                  <c:v>6</c:v>
                </c:pt>
                <c:pt idx="8" formatCode="0.0">
                  <c:v>5</c:v>
                </c:pt>
                <c:pt idx="9">
                  <c:v>8</c:v>
                </c:pt>
                <c:pt idx="10">
                  <c:v>13.2</c:v>
                </c:pt>
                <c:pt idx="11">
                  <c:v>19.399999999999999</c:v>
                </c:pt>
                <c:pt idx="12">
                  <c:v>17.600000000000001</c:v>
                </c:pt>
                <c:pt idx="13">
                  <c:v>5</c:v>
                </c:pt>
                <c:pt idx="14" formatCode="0.0">
                  <c:v>7.6</c:v>
                </c:pt>
              </c:numCache>
            </c:numRef>
          </c:val>
          <c:smooth val="0"/>
          <c:extLst>
            <c:ext xmlns:c16="http://schemas.microsoft.com/office/drawing/2014/chart" uri="{C3380CC4-5D6E-409C-BE32-E72D297353CC}">
              <c16:uniqueId val="{00000003-0EBF-4829-8E82-C4392A8E4A72}"/>
            </c:ext>
          </c:extLst>
        </c:ser>
        <c:dLbls>
          <c:showLegendKey val="0"/>
          <c:showVal val="0"/>
          <c:showCatName val="0"/>
          <c:showSerName val="0"/>
          <c:showPercent val="0"/>
          <c:showBubbleSize val="0"/>
        </c:dLbls>
        <c:marker val="1"/>
        <c:smooth val="0"/>
        <c:axId val="136737536"/>
        <c:axId val="136739072"/>
      </c:lineChart>
      <c:dateAx>
        <c:axId val="136737536"/>
        <c:scaling>
          <c:orientation val="minMax"/>
        </c:scaling>
        <c:delete val="0"/>
        <c:axPos val="b"/>
        <c:numFmt formatCode="[$-409]mmm\-yy;@" sourceLinked="0"/>
        <c:majorTickMark val="out"/>
        <c:minorTickMark val="none"/>
        <c:tickLblPos val="nextTo"/>
        <c:crossAx val="136739072"/>
        <c:crosses val="autoZero"/>
        <c:auto val="1"/>
        <c:lblOffset val="100"/>
        <c:baseTimeUnit val="days"/>
      </c:dateAx>
      <c:valAx>
        <c:axId val="136739072"/>
        <c:scaling>
          <c:orientation val="minMax"/>
        </c:scaling>
        <c:delete val="0"/>
        <c:axPos val="l"/>
        <c:majorGridlines/>
        <c:title>
          <c:tx>
            <c:rich>
              <a:bodyPr rot="-5400000" vert="horz"/>
              <a:lstStyle/>
              <a:p>
                <a:pPr>
                  <a:defRPr/>
                </a:pPr>
                <a:r>
                  <a:rPr lang="en-US"/>
                  <a:t>Total Suspended Solids mg/l</a:t>
                </a:r>
              </a:p>
            </c:rich>
          </c:tx>
          <c:overlay val="0"/>
        </c:title>
        <c:numFmt formatCode="General" sourceLinked="1"/>
        <c:majorTickMark val="out"/>
        <c:minorTickMark val="none"/>
        <c:tickLblPos val="nextTo"/>
        <c:crossAx val="136737536"/>
        <c:crosses val="autoZero"/>
        <c:crossBetween val="between"/>
      </c:valAx>
    </c:plotArea>
    <c:legend>
      <c:legendPos val="r"/>
      <c:layout>
        <c:manualLayout>
          <c:xMode val="edge"/>
          <c:yMode val="edge"/>
          <c:x val="0.30842086050578266"/>
          <c:y val="1.2646599554802483E-2"/>
          <c:w val="0.55973141669205251"/>
          <c:h val="0.26455696202531648"/>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Reservoir 2010</a:t>
            </a:r>
          </a:p>
        </c:rich>
      </c:tx>
      <c:layout>
        <c:manualLayout>
          <c:xMode val="edge"/>
          <c:yMode val="edge"/>
          <c:x val="0.32243051349350582"/>
          <c:y val="4.6413502109704664E-2"/>
        </c:manualLayout>
      </c:layout>
      <c:overlay val="1"/>
    </c:title>
    <c:autoTitleDeleted val="0"/>
    <c:plotArea>
      <c:layout>
        <c:manualLayout>
          <c:layoutTarget val="inner"/>
          <c:xMode val="edge"/>
          <c:yMode val="edge"/>
          <c:x val="8.3890765843411708E-2"/>
          <c:y val="0.2088079615048119"/>
          <c:w val="0.84541017479197456"/>
          <c:h val="0.63899241761448078"/>
        </c:manualLayout>
      </c:layout>
      <c:lineChart>
        <c:grouping val="standard"/>
        <c:varyColors val="0"/>
        <c:ser>
          <c:idx val="0"/>
          <c:order val="0"/>
          <c:tx>
            <c:strRef>
              <c:f>'Monthly Chemistry'!$B$11</c:f>
              <c:strCache>
                <c:ptCount val="1"/>
                <c:pt idx="0">
                  <c:v>Chlorophyll a</c:v>
                </c:pt>
              </c:strCache>
            </c:strRef>
          </c:tx>
          <c:marker>
            <c:symbol val="none"/>
          </c:marker>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Chemistry'!$C$11:$Q$11</c:f>
              <c:numCache>
                <c:formatCode>General</c:formatCode>
                <c:ptCount val="15"/>
                <c:pt idx="0">
                  <c:v>2.1</c:v>
                </c:pt>
                <c:pt idx="1">
                  <c:v>14</c:v>
                </c:pt>
                <c:pt idx="2">
                  <c:v>1.8</c:v>
                </c:pt>
                <c:pt idx="3">
                  <c:v>0.9</c:v>
                </c:pt>
                <c:pt idx="4">
                  <c:v>2.5</c:v>
                </c:pt>
                <c:pt idx="5">
                  <c:v>1.2</c:v>
                </c:pt>
                <c:pt idx="6">
                  <c:v>8.3000000000000007</c:v>
                </c:pt>
                <c:pt idx="7">
                  <c:v>16.2</c:v>
                </c:pt>
                <c:pt idx="8" formatCode="0.0">
                  <c:v>11.2</c:v>
                </c:pt>
                <c:pt idx="9">
                  <c:v>20.2</c:v>
                </c:pt>
                <c:pt idx="10">
                  <c:v>22.8</c:v>
                </c:pt>
                <c:pt idx="11">
                  <c:v>12.6</c:v>
                </c:pt>
                <c:pt idx="12">
                  <c:v>10.3</c:v>
                </c:pt>
                <c:pt idx="13">
                  <c:v>10.5</c:v>
                </c:pt>
                <c:pt idx="14" formatCode="0.0">
                  <c:v>24.1</c:v>
                </c:pt>
              </c:numCache>
            </c:numRef>
          </c:val>
          <c:smooth val="0"/>
          <c:extLst>
            <c:ext xmlns:c16="http://schemas.microsoft.com/office/drawing/2014/chart" uri="{C3380CC4-5D6E-409C-BE32-E72D297353CC}">
              <c16:uniqueId val="{00000000-BD90-4F87-B35E-1BE4B08959FD}"/>
            </c:ext>
          </c:extLst>
        </c:ser>
        <c:ser>
          <c:idx val="1"/>
          <c:order val="1"/>
          <c:tx>
            <c:strRef>
              <c:f>'Monthly Chemistry'!$B$14</c:f>
              <c:strCache>
                <c:ptCount val="1"/>
                <c:pt idx="0">
                  <c:v>Phosphorus, total</c:v>
                </c:pt>
              </c:strCache>
            </c:strRef>
          </c:tx>
          <c:marker>
            <c:symbol val="none"/>
          </c:marker>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Chemistry'!$C$14:$Q$14</c:f>
              <c:numCache>
                <c:formatCode>General</c:formatCode>
                <c:ptCount val="15"/>
                <c:pt idx="0">
                  <c:v>15</c:v>
                </c:pt>
                <c:pt idx="1">
                  <c:v>26</c:v>
                </c:pt>
                <c:pt idx="2">
                  <c:v>16</c:v>
                </c:pt>
                <c:pt idx="3">
                  <c:v>39</c:v>
                </c:pt>
                <c:pt idx="4">
                  <c:v>22</c:v>
                </c:pt>
                <c:pt idx="5">
                  <c:v>29</c:v>
                </c:pt>
                <c:pt idx="6">
                  <c:v>12</c:v>
                </c:pt>
                <c:pt idx="7">
                  <c:v>28</c:v>
                </c:pt>
                <c:pt idx="8" formatCode="0">
                  <c:v>41</c:v>
                </c:pt>
                <c:pt idx="9">
                  <c:v>33</c:v>
                </c:pt>
                <c:pt idx="10">
                  <c:v>46</c:v>
                </c:pt>
                <c:pt idx="11">
                  <c:v>22</c:v>
                </c:pt>
                <c:pt idx="12">
                  <c:v>41</c:v>
                </c:pt>
                <c:pt idx="13">
                  <c:v>35</c:v>
                </c:pt>
                <c:pt idx="14" formatCode="0">
                  <c:v>19</c:v>
                </c:pt>
              </c:numCache>
            </c:numRef>
          </c:val>
          <c:smooth val="0"/>
          <c:extLst>
            <c:ext xmlns:c16="http://schemas.microsoft.com/office/drawing/2014/chart" uri="{C3380CC4-5D6E-409C-BE32-E72D297353CC}">
              <c16:uniqueId val="{00000001-BD90-4F87-B35E-1BE4B08959FD}"/>
            </c:ext>
          </c:extLst>
        </c:ser>
        <c:ser>
          <c:idx val="2"/>
          <c:order val="2"/>
          <c:tx>
            <c:strRef>
              <c:f>'Monthly Chemistry'!$B$15</c:f>
              <c:strCache>
                <c:ptCount val="1"/>
                <c:pt idx="0">
                  <c:v>Total Dissolved Phosphorus</c:v>
                </c:pt>
              </c:strCache>
            </c:strRef>
          </c:tx>
          <c:marker>
            <c:symbol val="none"/>
          </c:marker>
          <c:cat>
            <c:numRef>
              <c:f>'Monthly Chemistry'!$C$2:$Q$2</c:f>
              <c:numCache>
                <c:formatCode>[$-409]d\-mmm;@</c:formatCode>
                <c:ptCount val="15"/>
                <c:pt idx="0">
                  <c:v>40203</c:v>
                </c:pt>
                <c:pt idx="1">
                  <c:v>40231</c:v>
                </c:pt>
                <c:pt idx="2">
                  <c:v>40266</c:v>
                </c:pt>
                <c:pt idx="3">
                  <c:v>40294</c:v>
                </c:pt>
                <c:pt idx="4">
                  <c:v>40322</c:v>
                </c:pt>
                <c:pt idx="5">
                  <c:v>40358</c:v>
                </c:pt>
                <c:pt idx="6">
                  <c:v>40372</c:v>
                </c:pt>
                <c:pt idx="7">
                  <c:v>40385</c:v>
                </c:pt>
                <c:pt idx="8">
                  <c:v>40399</c:v>
                </c:pt>
                <c:pt idx="9">
                  <c:v>40413</c:v>
                </c:pt>
                <c:pt idx="10">
                  <c:v>40428</c:v>
                </c:pt>
                <c:pt idx="11">
                  <c:v>40448</c:v>
                </c:pt>
                <c:pt idx="12">
                  <c:v>40477</c:v>
                </c:pt>
                <c:pt idx="13">
                  <c:v>40497</c:v>
                </c:pt>
                <c:pt idx="14">
                  <c:v>40514</c:v>
                </c:pt>
              </c:numCache>
            </c:numRef>
          </c:cat>
          <c:val>
            <c:numRef>
              <c:f>'Monthly Chemistry'!$C$15:$Q$15</c:f>
              <c:numCache>
                <c:formatCode>General</c:formatCode>
                <c:ptCount val="15"/>
                <c:pt idx="0">
                  <c:v>16</c:v>
                </c:pt>
                <c:pt idx="1">
                  <c:v>12</c:v>
                </c:pt>
                <c:pt idx="2">
                  <c:v>8</c:v>
                </c:pt>
                <c:pt idx="3">
                  <c:v>15</c:v>
                </c:pt>
                <c:pt idx="4">
                  <c:v>5</c:v>
                </c:pt>
                <c:pt idx="5">
                  <c:v>15</c:v>
                </c:pt>
                <c:pt idx="6">
                  <c:v>13</c:v>
                </c:pt>
                <c:pt idx="7">
                  <c:v>11</c:v>
                </c:pt>
                <c:pt idx="8" formatCode="0">
                  <c:v>9</c:v>
                </c:pt>
                <c:pt idx="9">
                  <c:v>11</c:v>
                </c:pt>
                <c:pt idx="10">
                  <c:v>7</c:v>
                </c:pt>
                <c:pt idx="11">
                  <c:v>13</c:v>
                </c:pt>
                <c:pt idx="12">
                  <c:v>16</c:v>
                </c:pt>
                <c:pt idx="13">
                  <c:v>11</c:v>
                </c:pt>
                <c:pt idx="14" formatCode="0">
                  <c:v>5</c:v>
                </c:pt>
              </c:numCache>
            </c:numRef>
          </c:val>
          <c:smooth val="0"/>
          <c:extLst>
            <c:ext xmlns:c16="http://schemas.microsoft.com/office/drawing/2014/chart" uri="{C3380CC4-5D6E-409C-BE32-E72D297353CC}">
              <c16:uniqueId val="{00000002-BD90-4F87-B35E-1BE4B08959FD}"/>
            </c:ext>
          </c:extLst>
        </c:ser>
        <c:dLbls>
          <c:showLegendKey val="0"/>
          <c:showVal val="0"/>
          <c:showCatName val="0"/>
          <c:showSerName val="0"/>
          <c:showPercent val="0"/>
          <c:showBubbleSize val="0"/>
        </c:dLbls>
        <c:smooth val="0"/>
        <c:axId val="136769536"/>
        <c:axId val="136771072"/>
      </c:lineChart>
      <c:dateAx>
        <c:axId val="136769536"/>
        <c:scaling>
          <c:orientation val="minMax"/>
        </c:scaling>
        <c:delete val="0"/>
        <c:axPos val="b"/>
        <c:numFmt formatCode="[$-409]d\-mmm;@" sourceLinked="0"/>
        <c:majorTickMark val="out"/>
        <c:minorTickMark val="none"/>
        <c:tickLblPos val="nextTo"/>
        <c:crossAx val="136771072"/>
        <c:crosses val="autoZero"/>
        <c:auto val="1"/>
        <c:lblOffset val="100"/>
        <c:baseTimeUnit val="days"/>
        <c:majorUnit val="1"/>
        <c:majorTimeUnit val="months"/>
        <c:minorUnit val="1"/>
        <c:minorTimeUnit val="months"/>
      </c:dateAx>
      <c:valAx>
        <c:axId val="136771072"/>
        <c:scaling>
          <c:orientation val="minMax"/>
        </c:scaling>
        <c:delete val="0"/>
        <c:axPos val="l"/>
        <c:majorGridlines/>
        <c:minorGridlines/>
        <c:numFmt formatCode="General" sourceLinked="1"/>
        <c:majorTickMark val="out"/>
        <c:minorTickMark val="none"/>
        <c:tickLblPos val="nextTo"/>
        <c:crossAx val="136769536"/>
        <c:crosses val="autoZero"/>
        <c:crossBetween val="between"/>
      </c:valAx>
    </c:plotArea>
    <c:legend>
      <c:legendPos val="r"/>
      <c:layout>
        <c:manualLayout>
          <c:xMode val="edge"/>
          <c:yMode val="edge"/>
          <c:x val="9.1122173651235733E-2"/>
          <c:y val="0.14757217847769041"/>
          <c:w val="0.33504737439735588"/>
          <c:h val="0.1878603940330255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0744" l="0.70000000000000062" r="0.70000000000000062" t="0.75000000000000744"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BCR 2010 Temperature C (1-3m)</a:t>
            </a:r>
          </a:p>
        </c:rich>
      </c:tx>
      <c:overlay val="1"/>
    </c:title>
    <c:autoTitleDeleted val="0"/>
    <c:plotArea>
      <c:layout>
        <c:manualLayout>
          <c:layoutTarget val="inner"/>
          <c:xMode val="edge"/>
          <c:yMode val="edge"/>
          <c:x val="0.11966885389326334"/>
          <c:y val="0.21343759113444596"/>
          <c:w val="0.85917825896762912"/>
          <c:h val="0.60998432487605658"/>
        </c:manualLayout>
      </c:layout>
      <c:lineChart>
        <c:grouping val="standard"/>
        <c:varyColors val="0"/>
        <c:ser>
          <c:idx val="0"/>
          <c:order val="0"/>
          <c:tx>
            <c:strRef>
              <c:f>'Temp DO Comp'!$A$4</c:f>
              <c:strCache>
                <c:ptCount val="1"/>
                <c:pt idx="0">
                  <c:v>site 40</c:v>
                </c:pt>
              </c:strCache>
            </c:strRef>
          </c:tx>
          <c:marker>
            <c:symbol val="none"/>
          </c:marker>
          <c:cat>
            <c:strRef>
              <c:f>'Temp DO Comp'!$B$2:$P$2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Comp'!$B$4:$P$4</c:f>
              <c:numCache>
                <c:formatCode>0.00</c:formatCode>
                <c:ptCount val="15"/>
                <c:pt idx="0">
                  <c:v>3.15</c:v>
                </c:pt>
                <c:pt idx="1">
                  <c:v>2.73</c:v>
                </c:pt>
                <c:pt idx="2">
                  <c:v>5.37</c:v>
                </c:pt>
                <c:pt idx="3" formatCode="General">
                  <c:v>7.4</c:v>
                </c:pt>
                <c:pt idx="4" formatCode="General">
                  <c:v>12.23</c:v>
                </c:pt>
                <c:pt idx="5" formatCode="General">
                  <c:v>18.7</c:v>
                </c:pt>
                <c:pt idx="6">
                  <c:v>20.71</c:v>
                </c:pt>
                <c:pt idx="7">
                  <c:v>22.42</c:v>
                </c:pt>
                <c:pt idx="8">
                  <c:v>21.47</c:v>
                </c:pt>
                <c:pt idx="9">
                  <c:v>21.4</c:v>
                </c:pt>
                <c:pt idx="10">
                  <c:v>19.93</c:v>
                </c:pt>
                <c:pt idx="11" formatCode="General">
                  <c:v>17.899999999999999</c:v>
                </c:pt>
                <c:pt idx="12" formatCode="General">
                  <c:v>9.9</c:v>
                </c:pt>
                <c:pt idx="13" formatCode="General">
                  <c:v>7.2</c:v>
                </c:pt>
                <c:pt idx="14" formatCode="General">
                  <c:v>3.2</c:v>
                </c:pt>
              </c:numCache>
            </c:numRef>
          </c:val>
          <c:smooth val="0"/>
          <c:extLst>
            <c:ext xmlns:c16="http://schemas.microsoft.com/office/drawing/2014/chart" uri="{C3380CC4-5D6E-409C-BE32-E72D297353CC}">
              <c16:uniqueId val="{00000000-A13B-4D59-BF4A-382C045053BA}"/>
            </c:ext>
          </c:extLst>
        </c:ser>
        <c:ser>
          <c:idx val="1"/>
          <c:order val="1"/>
          <c:tx>
            <c:strRef>
              <c:f>'Temp DO Comp'!$A$5</c:f>
              <c:strCache>
                <c:ptCount val="1"/>
                <c:pt idx="0">
                  <c:v>Site 41</c:v>
                </c:pt>
              </c:strCache>
            </c:strRef>
          </c:tx>
          <c:marker>
            <c:symbol val="none"/>
          </c:marker>
          <c:cat>
            <c:strRef>
              <c:f>'Temp DO Comp'!$B$2:$P$2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Comp'!$B$5:$P$5</c:f>
              <c:numCache>
                <c:formatCode>0.00</c:formatCode>
                <c:ptCount val="15"/>
                <c:pt idx="0">
                  <c:v>3.09</c:v>
                </c:pt>
                <c:pt idx="1">
                  <c:v>2.7</c:v>
                </c:pt>
                <c:pt idx="2">
                  <c:v>5.43</c:v>
                </c:pt>
                <c:pt idx="3" formatCode="General">
                  <c:v>7.5</c:v>
                </c:pt>
                <c:pt idx="5" formatCode="General">
                  <c:v>18.93</c:v>
                </c:pt>
                <c:pt idx="6">
                  <c:v>20.7</c:v>
                </c:pt>
                <c:pt idx="7">
                  <c:v>22.39</c:v>
                </c:pt>
                <c:pt idx="8">
                  <c:v>21.8</c:v>
                </c:pt>
                <c:pt idx="9">
                  <c:v>21.5</c:v>
                </c:pt>
                <c:pt idx="10">
                  <c:v>19.93</c:v>
                </c:pt>
                <c:pt idx="11" formatCode="General">
                  <c:v>17.899999999999999</c:v>
                </c:pt>
                <c:pt idx="12" formatCode="General">
                  <c:v>10</c:v>
                </c:pt>
                <c:pt idx="13" formatCode="General">
                  <c:v>7.4</c:v>
                </c:pt>
                <c:pt idx="14" formatCode="General">
                  <c:v>3</c:v>
                </c:pt>
              </c:numCache>
            </c:numRef>
          </c:val>
          <c:smooth val="0"/>
          <c:extLst>
            <c:ext xmlns:c16="http://schemas.microsoft.com/office/drawing/2014/chart" uri="{C3380CC4-5D6E-409C-BE32-E72D297353CC}">
              <c16:uniqueId val="{00000001-A13B-4D59-BF4A-382C045053BA}"/>
            </c:ext>
          </c:extLst>
        </c:ser>
        <c:ser>
          <c:idx val="2"/>
          <c:order val="2"/>
          <c:tx>
            <c:strRef>
              <c:f>'Temp DO Comp'!$A$6</c:f>
              <c:strCache>
                <c:ptCount val="1"/>
                <c:pt idx="0">
                  <c:v>Site 42</c:v>
                </c:pt>
              </c:strCache>
            </c:strRef>
          </c:tx>
          <c:marker>
            <c:symbol val="none"/>
          </c:marker>
          <c:cat>
            <c:strRef>
              <c:f>'Temp DO Comp'!$B$2:$P$2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Comp'!$B$6:$P$6</c:f>
              <c:numCache>
                <c:formatCode>0.00</c:formatCode>
                <c:ptCount val="15"/>
                <c:pt idx="0">
                  <c:v>3.23</c:v>
                </c:pt>
                <c:pt idx="1">
                  <c:v>2.87</c:v>
                </c:pt>
                <c:pt idx="2">
                  <c:v>5.03</c:v>
                </c:pt>
                <c:pt idx="3" formatCode="General">
                  <c:v>7.3</c:v>
                </c:pt>
                <c:pt idx="5" formatCode="General">
                  <c:v>18.8</c:v>
                </c:pt>
                <c:pt idx="6">
                  <c:v>20.3</c:v>
                </c:pt>
                <c:pt idx="7">
                  <c:v>22.44</c:v>
                </c:pt>
                <c:pt idx="8">
                  <c:v>21.8</c:v>
                </c:pt>
                <c:pt idx="9">
                  <c:v>21.4</c:v>
                </c:pt>
                <c:pt idx="10">
                  <c:v>19.93</c:v>
                </c:pt>
                <c:pt idx="11" formatCode="General">
                  <c:v>18</c:v>
                </c:pt>
                <c:pt idx="12" formatCode="General">
                  <c:v>9.9</c:v>
                </c:pt>
                <c:pt idx="13" formatCode="General">
                  <c:v>7.2</c:v>
                </c:pt>
                <c:pt idx="14" formatCode="General">
                  <c:v>3</c:v>
                </c:pt>
              </c:numCache>
            </c:numRef>
          </c:val>
          <c:smooth val="0"/>
          <c:extLst>
            <c:ext xmlns:c16="http://schemas.microsoft.com/office/drawing/2014/chart" uri="{C3380CC4-5D6E-409C-BE32-E72D297353CC}">
              <c16:uniqueId val="{00000002-A13B-4D59-BF4A-382C045053BA}"/>
            </c:ext>
          </c:extLst>
        </c:ser>
        <c:ser>
          <c:idx val="3"/>
          <c:order val="3"/>
          <c:tx>
            <c:strRef>
              <c:f>'Temp DO Comp'!$A$7</c:f>
              <c:strCache>
                <c:ptCount val="1"/>
                <c:pt idx="0">
                  <c:v>Site 43</c:v>
                </c:pt>
              </c:strCache>
            </c:strRef>
          </c:tx>
          <c:marker>
            <c:symbol val="none"/>
          </c:marker>
          <c:cat>
            <c:strRef>
              <c:f>'Temp DO Comp'!$B$2:$P$2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Comp'!$B$7:$P$7</c:f>
              <c:numCache>
                <c:formatCode>0.00</c:formatCode>
                <c:ptCount val="15"/>
                <c:pt idx="2">
                  <c:v>5.73</c:v>
                </c:pt>
                <c:pt idx="3" formatCode="General">
                  <c:v>7</c:v>
                </c:pt>
                <c:pt idx="5" formatCode="General">
                  <c:v>19.100000000000001</c:v>
                </c:pt>
                <c:pt idx="6">
                  <c:v>20.7</c:v>
                </c:pt>
                <c:pt idx="7">
                  <c:v>22.49</c:v>
                </c:pt>
                <c:pt idx="8">
                  <c:v>22</c:v>
                </c:pt>
                <c:pt idx="9">
                  <c:v>21.8</c:v>
                </c:pt>
                <c:pt idx="10">
                  <c:v>20.37</c:v>
                </c:pt>
                <c:pt idx="11" formatCode="General">
                  <c:v>18.3</c:v>
                </c:pt>
                <c:pt idx="12" formatCode="General">
                  <c:v>9.6999999999999993</c:v>
                </c:pt>
                <c:pt idx="13" formatCode="General">
                  <c:v>7.3</c:v>
                </c:pt>
                <c:pt idx="14" formatCode="General">
                  <c:v>3.3</c:v>
                </c:pt>
              </c:numCache>
            </c:numRef>
          </c:val>
          <c:smooth val="0"/>
          <c:extLst>
            <c:ext xmlns:c16="http://schemas.microsoft.com/office/drawing/2014/chart" uri="{C3380CC4-5D6E-409C-BE32-E72D297353CC}">
              <c16:uniqueId val="{00000003-A13B-4D59-BF4A-382C045053BA}"/>
            </c:ext>
          </c:extLst>
        </c:ser>
        <c:ser>
          <c:idx val="4"/>
          <c:order val="4"/>
          <c:tx>
            <c:strRef>
              <c:f>'Temp DO Comp'!$A$8</c:f>
              <c:strCache>
                <c:ptCount val="1"/>
                <c:pt idx="0">
                  <c:v>Site 44</c:v>
                </c:pt>
              </c:strCache>
            </c:strRef>
          </c:tx>
          <c:marker>
            <c:symbol val="none"/>
          </c:marker>
          <c:cat>
            <c:strRef>
              <c:f>'Temp DO Comp'!$B$2:$P$2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Comp'!$B$8:$P$8</c:f>
              <c:numCache>
                <c:formatCode>0.00</c:formatCode>
                <c:ptCount val="15"/>
                <c:pt idx="2">
                  <c:v>5.27</c:v>
                </c:pt>
                <c:pt idx="3" formatCode="General">
                  <c:v>7.9</c:v>
                </c:pt>
                <c:pt idx="5" formatCode="General">
                  <c:v>19.13</c:v>
                </c:pt>
                <c:pt idx="6">
                  <c:v>21.22</c:v>
                </c:pt>
                <c:pt idx="7">
                  <c:v>22.47</c:v>
                </c:pt>
                <c:pt idx="8">
                  <c:v>22</c:v>
                </c:pt>
                <c:pt idx="9">
                  <c:v>21.8</c:v>
                </c:pt>
                <c:pt idx="10">
                  <c:v>20.399999999999999</c:v>
                </c:pt>
                <c:pt idx="11" formatCode="General">
                  <c:v>18.2</c:v>
                </c:pt>
                <c:pt idx="12" formatCode="General">
                  <c:v>10</c:v>
                </c:pt>
                <c:pt idx="13" formatCode="General">
                  <c:v>7.3</c:v>
                </c:pt>
                <c:pt idx="14" formatCode="General">
                  <c:v>3.3</c:v>
                </c:pt>
              </c:numCache>
            </c:numRef>
          </c:val>
          <c:smooth val="0"/>
          <c:extLst>
            <c:ext xmlns:c16="http://schemas.microsoft.com/office/drawing/2014/chart" uri="{C3380CC4-5D6E-409C-BE32-E72D297353CC}">
              <c16:uniqueId val="{00000004-A13B-4D59-BF4A-382C045053BA}"/>
            </c:ext>
          </c:extLst>
        </c:ser>
        <c:ser>
          <c:idx val="5"/>
          <c:order val="5"/>
          <c:tx>
            <c:strRef>
              <c:f>'Temp DO Comp'!$A$9</c:f>
              <c:strCache>
                <c:ptCount val="1"/>
                <c:pt idx="0">
                  <c:v>S(Jan-Mar)</c:v>
                </c:pt>
              </c:strCache>
            </c:strRef>
          </c:tx>
          <c:spPr>
            <a:ln w="25400" cmpd="sng">
              <a:prstDash val="sysDash"/>
            </a:ln>
          </c:spPr>
          <c:marker>
            <c:symbol val="none"/>
          </c:marker>
          <c:val>
            <c:numRef>
              <c:f>'Temp DO Comp'!$B$9:$D$9</c:f>
              <c:numCache>
                <c:formatCode>0.00</c:formatCode>
                <c:ptCount val="3"/>
                <c:pt idx="0" formatCode="General">
                  <c:v>9</c:v>
                </c:pt>
                <c:pt idx="1">
                  <c:v>9</c:v>
                </c:pt>
                <c:pt idx="2">
                  <c:v>9</c:v>
                </c:pt>
              </c:numCache>
            </c:numRef>
          </c:val>
          <c:smooth val="0"/>
          <c:extLst>
            <c:ext xmlns:c16="http://schemas.microsoft.com/office/drawing/2014/chart" uri="{C3380CC4-5D6E-409C-BE32-E72D297353CC}">
              <c16:uniqueId val="{00000005-A13B-4D59-BF4A-382C045053BA}"/>
            </c:ext>
          </c:extLst>
        </c:ser>
        <c:ser>
          <c:idx val="6"/>
          <c:order val="6"/>
          <c:tx>
            <c:strRef>
              <c:f>'Temp DO Comp'!$A$10</c:f>
              <c:strCache>
                <c:ptCount val="1"/>
                <c:pt idx="0">
                  <c:v>S(Apr-Dec)</c:v>
                </c:pt>
              </c:strCache>
            </c:strRef>
          </c:tx>
          <c:spPr>
            <a:ln>
              <a:prstDash val="sysDash"/>
            </a:ln>
          </c:spPr>
          <c:marker>
            <c:symbol val="none"/>
          </c:marker>
          <c:val>
            <c:numRef>
              <c:f>'Temp DO Comp'!$B$10:$P$10</c:f>
              <c:numCache>
                <c:formatCode>0.00</c:formatCode>
                <c:ptCount val="15"/>
                <c:pt idx="3" formatCode="General">
                  <c:v>23.3</c:v>
                </c:pt>
                <c:pt idx="4" formatCode="General">
                  <c:v>23.3</c:v>
                </c:pt>
                <c:pt idx="5" formatCode="General">
                  <c:v>23.3</c:v>
                </c:pt>
                <c:pt idx="6" formatCode="General">
                  <c:v>23.3</c:v>
                </c:pt>
                <c:pt idx="7" formatCode="General">
                  <c:v>23.3</c:v>
                </c:pt>
                <c:pt idx="8" formatCode="General">
                  <c:v>23.3</c:v>
                </c:pt>
                <c:pt idx="9" formatCode="General">
                  <c:v>23.3</c:v>
                </c:pt>
                <c:pt idx="10" formatCode="General">
                  <c:v>23.3</c:v>
                </c:pt>
                <c:pt idx="11" formatCode="General">
                  <c:v>23.3</c:v>
                </c:pt>
                <c:pt idx="12" formatCode="General">
                  <c:v>23.3</c:v>
                </c:pt>
                <c:pt idx="13" formatCode="General">
                  <c:v>23.3</c:v>
                </c:pt>
                <c:pt idx="14" formatCode="General">
                  <c:v>23.3</c:v>
                </c:pt>
              </c:numCache>
            </c:numRef>
          </c:val>
          <c:smooth val="0"/>
          <c:extLst>
            <c:ext xmlns:c16="http://schemas.microsoft.com/office/drawing/2014/chart" uri="{C3380CC4-5D6E-409C-BE32-E72D297353CC}">
              <c16:uniqueId val="{00000006-A13B-4D59-BF4A-382C045053BA}"/>
            </c:ext>
          </c:extLst>
        </c:ser>
        <c:dLbls>
          <c:showLegendKey val="0"/>
          <c:showVal val="0"/>
          <c:showCatName val="0"/>
          <c:showSerName val="0"/>
          <c:showPercent val="0"/>
          <c:showBubbleSize val="0"/>
        </c:dLbls>
        <c:smooth val="0"/>
        <c:axId val="146627968"/>
        <c:axId val="146633856"/>
      </c:lineChart>
      <c:catAx>
        <c:axId val="146627968"/>
        <c:scaling>
          <c:orientation val="minMax"/>
        </c:scaling>
        <c:delete val="0"/>
        <c:axPos val="b"/>
        <c:numFmt formatCode="General" sourceLinked="0"/>
        <c:majorTickMark val="out"/>
        <c:minorTickMark val="none"/>
        <c:tickLblPos val="nextTo"/>
        <c:crossAx val="146633856"/>
        <c:crosses val="autoZero"/>
        <c:auto val="1"/>
        <c:lblAlgn val="ctr"/>
        <c:lblOffset val="100"/>
        <c:noMultiLvlLbl val="0"/>
      </c:catAx>
      <c:valAx>
        <c:axId val="146633856"/>
        <c:scaling>
          <c:orientation val="minMax"/>
        </c:scaling>
        <c:delete val="0"/>
        <c:axPos val="l"/>
        <c:majorGridlines/>
        <c:minorGridlines/>
        <c:numFmt formatCode="0.00" sourceLinked="1"/>
        <c:majorTickMark val="out"/>
        <c:minorTickMark val="none"/>
        <c:tickLblPos val="nextTo"/>
        <c:crossAx val="146627968"/>
        <c:crosses val="autoZero"/>
        <c:crossBetween val="between"/>
      </c:valAx>
    </c:plotArea>
    <c:legend>
      <c:legendPos val="t"/>
      <c:layout>
        <c:manualLayout>
          <c:xMode val="edge"/>
          <c:yMode val="edge"/>
          <c:x val="4.2728888246767321E-2"/>
          <c:y val="0.13425925925925927"/>
          <c:w val="0.89999984954113432"/>
          <c:h val="6.6316710411198923E-2"/>
        </c:manualLayout>
      </c:layout>
      <c:overlay val="0"/>
      <c:spPr>
        <a:ln w="63500" cmpd="dbl"/>
      </c:spPr>
      <c:txPr>
        <a:bodyPr/>
        <a:lstStyle/>
        <a:p>
          <a:pPr>
            <a:defRPr sz="800"/>
          </a:pPr>
          <a:endParaRPr lang="en-US"/>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noFill/>
    </a:ln>
  </c:spPr>
  <c:printSettings>
    <c:headerFooter/>
    <c:pageMargins b="0.7500000000000101" l="0.70000000000000062" r="0.70000000000000062" t="0.7500000000000101"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t>2010 DO Compliance Bear Creek Reservoir </a:t>
            </a:r>
            <a:endParaRPr lang="en-US"/>
          </a:p>
        </c:rich>
      </c:tx>
      <c:layout>
        <c:manualLayout>
          <c:xMode val="edge"/>
          <c:yMode val="edge"/>
          <c:x val="0.15320608465173599"/>
          <c:y val="5.4794504787112584E-2"/>
        </c:manualLayout>
      </c:layout>
      <c:overlay val="1"/>
    </c:title>
    <c:autoTitleDeleted val="0"/>
    <c:plotArea>
      <c:layout>
        <c:manualLayout>
          <c:layoutTarget val="inner"/>
          <c:xMode val="edge"/>
          <c:yMode val="edge"/>
          <c:x val="8.0960311270995233E-2"/>
          <c:y val="5.1400554097404488E-2"/>
          <c:w val="0.64381072174284926"/>
          <c:h val="0.79822506561679785"/>
        </c:manualLayout>
      </c:layout>
      <c:lineChart>
        <c:grouping val="standard"/>
        <c:varyColors val="0"/>
        <c:ser>
          <c:idx val="1"/>
          <c:order val="0"/>
          <c:tx>
            <c:strRef>
              <c:f>'Temp DO Comp'!$R$5</c:f>
              <c:strCache>
                <c:ptCount val="1"/>
                <c:pt idx="0">
                  <c:v>Estimate Epilimnion Thickness (m)</c:v>
                </c:pt>
              </c:strCache>
            </c:strRef>
          </c:tx>
          <c:cat>
            <c:strRef>
              <c:f>'Temp DO Comp'!$S$2:$AH$2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Comp'!$S$5:$AH$5</c:f>
              <c:numCache>
                <c:formatCode>0.0</c:formatCode>
                <c:ptCount val="15"/>
                <c:pt idx="0">
                  <c:v>5</c:v>
                </c:pt>
                <c:pt idx="1">
                  <c:v>4</c:v>
                </c:pt>
                <c:pt idx="2">
                  <c:v>4</c:v>
                </c:pt>
                <c:pt idx="3">
                  <c:v>5</c:v>
                </c:pt>
                <c:pt idx="4" formatCode="General">
                  <c:v>5</c:v>
                </c:pt>
                <c:pt idx="5">
                  <c:v>4</c:v>
                </c:pt>
                <c:pt idx="6" formatCode="General">
                  <c:v>4</c:v>
                </c:pt>
                <c:pt idx="7">
                  <c:v>5</c:v>
                </c:pt>
                <c:pt idx="8">
                  <c:v>3</c:v>
                </c:pt>
                <c:pt idx="9">
                  <c:v>5</c:v>
                </c:pt>
                <c:pt idx="10">
                  <c:v>6</c:v>
                </c:pt>
                <c:pt idx="11">
                  <c:v>6</c:v>
                </c:pt>
                <c:pt idx="12">
                  <c:v>6</c:v>
                </c:pt>
                <c:pt idx="13">
                  <c:v>6.5</c:v>
                </c:pt>
                <c:pt idx="14">
                  <c:v>7</c:v>
                </c:pt>
              </c:numCache>
            </c:numRef>
          </c:val>
          <c:smooth val="0"/>
          <c:extLst>
            <c:ext xmlns:c16="http://schemas.microsoft.com/office/drawing/2014/chart" uri="{C3380CC4-5D6E-409C-BE32-E72D297353CC}">
              <c16:uniqueId val="{00000000-88CE-43D5-948D-B09677F2C0EA}"/>
            </c:ext>
          </c:extLst>
        </c:ser>
        <c:ser>
          <c:idx val="2"/>
          <c:order val="1"/>
          <c:tx>
            <c:strRef>
              <c:f>'Temp DO Comp'!$R$6</c:f>
              <c:strCache>
                <c:ptCount val="1"/>
                <c:pt idx="0">
                  <c:v>Profile Average (mg/l)</c:v>
                </c:pt>
              </c:strCache>
            </c:strRef>
          </c:tx>
          <c:cat>
            <c:strRef>
              <c:f>'Temp DO Comp'!$S$2:$AH$2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Comp'!$S$6:$AH$6</c:f>
              <c:numCache>
                <c:formatCode>0.0</c:formatCode>
                <c:ptCount val="15"/>
                <c:pt idx="0">
                  <c:v>8.77</c:v>
                </c:pt>
                <c:pt idx="1">
                  <c:v>7.43</c:v>
                </c:pt>
                <c:pt idx="2">
                  <c:v>7.69</c:v>
                </c:pt>
                <c:pt idx="3">
                  <c:v>8.69</c:v>
                </c:pt>
                <c:pt idx="4" formatCode="General">
                  <c:v>8.5399999999999991</c:v>
                </c:pt>
                <c:pt idx="5" formatCode="0.00">
                  <c:v>6</c:v>
                </c:pt>
                <c:pt idx="6" formatCode="General">
                  <c:v>5.1100000000000003</c:v>
                </c:pt>
                <c:pt idx="7">
                  <c:v>6.96</c:v>
                </c:pt>
                <c:pt idx="8">
                  <c:v>3.58</c:v>
                </c:pt>
                <c:pt idx="9">
                  <c:v>6.57</c:v>
                </c:pt>
                <c:pt idx="10">
                  <c:v>7.86</c:v>
                </c:pt>
                <c:pt idx="11">
                  <c:v>6.51</c:v>
                </c:pt>
                <c:pt idx="12">
                  <c:v>8.33</c:v>
                </c:pt>
                <c:pt idx="13">
                  <c:v>7.32</c:v>
                </c:pt>
                <c:pt idx="14">
                  <c:v>10.56</c:v>
                </c:pt>
              </c:numCache>
            </c:numRef>
          </c:val>
          <c:smooth val="0"/>
          <c:extLst>
            <c:ext xmlns:c16="http://schemas.microsoft.com/office/drawing/2014/chart" uri="{C3380CC4-5D6E-409C-BE32-E72D297353CC}">
              <c16:uniqueId val="{00000001-88CE-43D5-948D-B09677F2C0EA}"/>
            </c:ext>
          </c:extLst>
        </c:ser>
        <c:ser>
          <c:idx val="3"/>
          <c:order val="2"/>
          <c:tx>
            <c:strRef>
              <c:f>'Temp DO Comp'!$R$7</c:f>
              <c:strCache>
                <c:ptCount val="1"/>
                <c:pt idx="0">
                  <c:v>Average1-3m (mg/l)</c:v>
                </c:pt>
              </c:strCache>
            </c:strRef>
          </c:tx>
          <c:cat>
            <c:strRef>
              <c:f>'Temp DO Comp'!$S$2:$AF$2</c:f>
              <c:strCache>
                <c:ptCount val="13"/>
                <c:pt idx="0">
                  <c:v>Jan</c:v>
                </c:pt>
                <c:pt idx="1">
                  <c:v>Feb</c:v>
                </c:pt>
                <c:pt idx="2">
                  <c:v>Mar</c:v>
                </c:pt>
                <c:pt idx="3">
                  <c:v>Apr</c:v>
                </c:pt>
                <c:pt idx="4">
                  <c:v>May</c:v>
                </c:pt>
                <c:pt idx="5">
                  <c:v>Jun</c:v>
                </c:pt>
                <c:pt idx="6">
                  <c:v>Jul</c:v>
                </c:pt>
                <c:pt idx="7">
                  <c:v>Jul</c:v>
                </c:pt>
                <c:pt idx="8">
                  <c:v>Aug</c:v>
                </c:pt>
                <c:pt idx="9">
                  <c:v>Aug</c:v>
                </c:pt>
                <c:pt idx="10">
                  <c:v>Sep</c:v>
                </c:pt>
                <c:pt idx="11">
                  <c:v>Sep</c:v>
                </c:pt>
                <c:pt idx="12">
                  <c:v>Oct</c:v>
                </c:pt>
              </c:strCache>
            </c:strRef>
          </c:cat>
          <c:val>
            <c:numRef>
              <c:f>'Temp DO Comp'!$S$7:$AH$7</c:f>
              <c:numCache>
                <c:formatCode>0.0</c:formatCode>
                <c:ptCount val="15"/>
                <c:pt idx="0">
                  <c:v>10.53</c:v>
                </c:pt>
                <c:pt idx="1">
                  <c:v>10.53</c:v>
                </c:pt>
                <c:pt idx="2">
                  <c:v>9.8699999999999992</c:v>
                </c:pt>
                <c:pt idx="3">
                  <c:v>8.6999999999999993</c:v>
                </c:pt>
                <c:pt idx="4" formatCode="General">
                  <c:v>8.57</c:v>
                </c:pt>
                <c:pt idx="5" formatCode="0.00">
                  <c:v>6.53</c:v>
                </c:pt>
                <c:pt idx="6" formatCode="General">
                  <c:v>7.59</c:v>
                </c:pt>
                <c:pt idx="7">
                  <c:v>7.55</c:v>
                </c:pt>
                <c:pt idx="8">
                  <c:v>5.16</c:v>
                </c:pt>
                <c:pt idx="9">
                  <c:v>7.58</c:v>
                </c:pt>
                <c:pt idx="10">
                  <c:v>8.65</c:v>
                </c:pt>
                <c:pt idx="11">
                  <c:v>6.76</c:v>
                </c:pt>
                <c:pt idx="12">
                  <c:v>8.52</c:v>
                </c:pt>
                <c:pt idx="13">
                  <c:v>7.6</c:v>
                </c:pt>
                <c:pt idx="14">
                  <c:v>10.08</c:v>
                </c:pt>
              </c:numCache>
            </c:numRef>
          </c:val>
          <c:smooth val="0"/>
          <c:extLst>
            <c:ext xmlns:c16="http://schemas.microsoft.com/office/drawing/2014/chart" uri="{C3380CC4-5D6E-409C-BE32-E72D297353CC}">
              <c16:uniqueId val="{00000002-88CE-43D5-948D-B09677F2C0EA}"/>
            </c:ext>
          </c:extLst>
        </c:ser>
        <c:ser>
          <c:idx val="4"/>
          <c:order val="3"/>
          <c:tx>
            <c:strRef>
              <c:f>'Temp DO Comp'!$R$8</c:f>
              <c:strCache>
                <c:ptCount val="1"/>
                <c:pt idx="0">
                  <c:v>Average Estimate Epilimnion (mg/l)</c:v>
                </c:pt>
              </c:strCache>
            </c:strRef>
          </c:tx>
          <c:cat>
            <c:strRef>
              <c:f>'Temp DO Comp'!$S$2:$AH$2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Comp'!$S$8:$AH$8</c:f>
              <c:numCache>
                <c:formatCode>0.0</c:formatCode>
                <c:ptCount val="15"/>
                <c:pt idx="0">
                  <c:v>9.85</c:v>
                </c:pt>
                <c:pt idx="1">
                  <c:v>9.9</c:v>
                </c:pt>
                <c:pt idx="2">
                  <c:v>9.7899999999999991</c:v>
                </c:pt>
                <c:pt idx="3">
                  <c:v>8.6999999999999993</c:v>
                </c:pt>
                <c:pt idx="4" formatCode="General">
                  <c:v>8.58</c:v>
                </c:pt>
                <c:pt idx="5" formatCode="0.00">
                  <c:v>6.5</c:v>
                </c:pt>
                <c:pt idx="6" formatCode="General">
                  <c:v>7.12</c:v>
                </c:pt>
                <c:pt idx="7">
                  <c:v>7.38</c:v>
                </c:pt>
                <c:pt idx="8">
                  <c:v>4.4800000000000004</c:v>
                </c:pt>
                <c:pt idx="9">
                  <c:v>7.31</c:v>
                </c:pt>
                <c:pt idx="10">
                  <c:v>8.2100000000000009</c:v>
                </c:pt>
                <c:pt idx="11">
                  <c:v>6.67</c:v>
                </c:pt>
                <c:pt idx="12">
                  <c:v>8.48</c:v>
                </c:pt>
                <c:pt idx="13">
                  <c:v>7.43</c:v>
                </c:pt>
                <c:pt idx="14">
                  <c:v>10.46</c:v>
                </c:pt>
              </c:numCache>
            </c:numRef>
          </c:val>
          <c:smooth val="0"/>
          <c:extLst>
            <c:ext xmlns:c16="http://schemas.microsoft.com/office/drawing/2014/chart" uri="{C3380CC4-5D6E-409C-BE32-E72D297353CC}">
              <c16:uniqueId val="{00000003-88CE-43D5-948D-B09677F2C0EA}"/>
            </c:ext>
          </c:extLst>
        </c:ser>
        <c:ser>
          <c:idx val="0"/>
          <c:order val="4"/>
          <c:tx>
            <c:strRef>
              <c:f>'Temp DO Comp'!$S$1</c:f>
              <c:strCache>
                <c:ptCount val="1"/>
                <c:pt idx="0">
                  <c:v>2010 DO Compliance Bear Creek Reservoir</c:v>
                </c:pt>
              </c:strCache>
            </c:strRef>
          </c:tx>
          <c:cat>
            <c:strRef>
              <c:f>'Temp DO Comp'!$S$2:$AH$2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'Temp DO Comp'!$T$1:$AH$1</c:f>
              <c:numCache>
                <c:formatCode>General</c:formatCode>
                <c:ptCount val="14"/>
              </c:numCache>
            </c:numRef>
          </c:val>
          <c:smooth val="0"/>
          <c:extLst>
            <c:ext xmlns:c16="http://schemas.microsoft.com/office/drawing/2014/chart" uri="{C3380CC4-5D6E-409C-BE32-E72D297353CC}">
              <c16:uniqueId val="{00000004-88CE-43D5-948D-B09677F2C0EA}"/>
            </c:ext>
          </c:extLst>
        </c:ser>
        <c:dLbls>
          <c:showLegendKey val="0"/>
          <c:showVal val="0"/>
          <c:showCatName val="0"/>
          <c:showSerName val="0"/>
          <c:showPercent val="0"/>
          <c:showBubbleSize val="0"/>
        </c:dLbls>
        <c:marker val="1"/>
        <c:smooth val="0"/>
        <c:axId val="147017728"/>
        <c:axId val="147019264"/>
      </c:lineChart>
      <c:catAx>
        <c:axId val="147017728"/>
        <c:scaling>
          <c:orientation val="minMax"/>
        </c:scaling>
        <c:delete val="0"/>
        <c:axPos val="b"/>
        <c:numFmt formatCode="General" sourceLinked="0"/>
        <c:majorTickMark val="out"/>
        <c:minorTickMark val="none"/>
        <c:tickLblPos val="nextTo"/>
        <c:crossAx val="147019264"/>
        <c:crosses val="autoZero"/>
        <c:auto val="1"/>
        <c:lblAlgn val="ctr"/>
        <c:lblOffset val="100"/>
        <c:noMultiLvlLbl val="0"/>
      </c:catAx>
      <c:valAx>
        <c:axId val="147019264"/>
        <c:scaling>
          <c:orientation val="minMax"/>
        </c:scaling>
        <c:delete val="0"/>
        <c:axPos val="l"/>
        <c:majorGridlines/>
        <c:minorGridlines/>
        <c:numFmt formatCode="0.0" sourceLinked="1"/>
        <c:majorTickMark val="out"/>
        <c:minorTickMark val="none"/>
        <c:tickLblPos val="nextTo"/>
        <c:spPr>
          <a:noFill/>
        </c:spPr>
        <c:crossAx val="147017728"/>
        <c:crosses val="autoZero"/>
        <c:crossBetween val="between"/>
      </c:valAx>
      <c:spPr>
        <a:gradFill>
          <a:gsLst>
            <a:gs pos="0">
              <a:srgbClr val="5E9EFF">
                <a:alpha val="47000"/>
              </a:srgbClr>
            </a:gs>
            <a:gs pos="39999">
              <a:srgbClr val="85C2FF"/>
            </a:gs>
            <a:gs pos="70000">
              <a:srgbClr val="C4D6EB"/>
            </a:gs>
            <a:gs pos="100000">
              <a:srgbClr val="FFEBFA"/>
            </a:gs>
          </a:gsLst>
          <a:lin ang="16200000" scaled="1"/>
        </a:gradFill>
      </c:spPr>
    </c:plotArea>
    <c:legend>
      <c:legendPos val="r"/>
      <c:layout>
        <c:manualLayout>
          <c:xMode val="edge"/>
          <c:yMode val="edge"/>
          <c:x val="0.73251046656852459"/>
          <c:y val="0.20117732775041916"/>
          <c:w val="0.2674895334314778"/>
          <c:h val="0.30822124669147616"/>
        </c:manualLayout>
      </c:layout>
      <c:overlay val="0"/>
      <c:spPr>
        <a:gradFill flip="none" rotWithShape="1">
          <a:gsLst>
            <a:gs pos="0">
              <a:srgbClr val="5E9EFF">
                <a:alpha val="47000"/>
              </a:srgbClr>
            </a:gs>
            <a:gs pos="39999">
              <a:srgbClr val="85C2FF"/>
            </a:gs>
            <a:gs pos="70000">
              <a:srgbClr val="C4D6EB"/>
            </a:gs>
            <a:gs pos="100000">
              <a:srgbClr val="FFEBFA"/>
            </a:gs>
          </a:gsLst>
          <a:lin ang="16200000" scaled="1"/>
          <a:tileRect/>
        </a:gradFill>
      </c:spPr>
      <c:txPr>
        <a:bodyPr/>
        <a:lstStyle/>
        <a:p>
          <a:pPr>
            <a:defRPr sz="90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0888" l="0.70000000000000062" r="0.70000000000000062" t="0.750000000000008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Bear Creek Reservoir - Nitrate Trend</a:t>
            </a:r>
          </a:p>
        </c:rich>
      </c:tx>
      <c:layout>
        <c:manualLayout>
          <c:xMode val="edge"/>
          <c:yMode val="edge"/>
          <c:x val="0.28640000000000032"/>
          <c:y val="3.313253012048193E-2"/>
        </c:manualLayout>
      </c:layout>
      <c:overlay val="0"/>
      <c:spPr>
        <a:noFill/>
        <a:ln w="25400">
          <a:noFill/>
        </a:ln>
      </c:spPr>
    </c:title>
    <c:autoTitleDeleted val="0"/>
    <c:plotArea>
      <c:layout>
        <c:manualLayout>
          <c:layoutTarget val="inner"/>
          <c:xMode val="edge"/>
          <c:yMode val="edge"/>
          <c:x val="0.11752547235943372"/>
          <c:y val="0.11286681715575585"/>
          <c:w val="0.85395559250746789"/>
          <c:h val="0.68540893688598525"/>
        </c:manualLayout>
      </c:layout>
      <c:barChart>
        <c:barDir val="col"/>
        <c:grouping val="clustered"/>
        <c:varyColors val="0"/>
        <c:ser>
          <c:idx val="0"/>
          <c:order val="0"/>
          <c:tx>
            <c:strRef>
              <c:f>'Nitrate Trends'!$A$68</c:f>
              <c:strCache>
                <c:ptCount val="1"/>
                <c:pt idx="0">
                  <c:v>Reservoir Average</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'Nitrate Trends'!$B$69:$B$88</c:f>
              <c:numCache>
                <c:formatCode>General</c:formatCod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'Nitrate Trends'!$C$69:$C$88</c:f>
              <c:numCache>
                <c:formatCode>0</c:formatCode>
                <c:ptCount val="20"/>
                <c:pt idx="0">
                  <c:v>388</c:v>
                </c:pt>
                <c:pt idx="1">
                  <c:v>266</c:v>
                </c:pt>
                <c:pt idx="2">
                  <c:v>429</c:v>
                </c:pt>
                <c:pt idx="3">
                  <c:v>348.66666666666669</c:v>
                </c:pt>
                <c:pt idx="4">
                  <c:v>493</c:v>
                </c:pt>
                <c:pt idx="5">
                  <c:v>575.97916666666663</c:v>
                </c:pt>
                <c:pt idx="6">
                  <c:v>366.34357142857152</c:v>
                </c:pt>
                <c:pt idx="7">
                  <c:v>367.33333333333331</c:v>
                </c:pt>
                <c:pt idx="8">
                  <c:v>225</c:v>
                </c:pt>
                <c:pt idx="9">
                  <c:v>452.33333333333331</c:v>
                </c:pt>
                <c:pt idx="10">
                  <c:v>395.33333333333331</c:v>
                </c:pt>
                <c:pt idx="11">
                  <c:v>281.66666666666669</c:v>
                </c:pt>
                <c:pt idx="12" formatCode="General">
                  <c:v>268</c:v>
                </c:pt>
                <c:pt idx="13" formatCode="General">
                  <c:v>247</c:v>
                </c:pt>
                <c:pt idx="14" formatCode="General">
                  <c:v>207</c:v>
                </c:pt>
                <c:pt idx="15" formatCode="General">
                  <c:v>153</c:v>
                </c:pt>
                <c:pt idx="16" formatCode="General">
                  <c:v>229</c:v>
                </c:pt>
                <c:pt idx="17" formatCode="General">
                  <c:v>232</c:v>
                </c:pt>
                <c:pt idx="18" formatCode="General">
                  <c:v>267</c:v>
                </c:pt>
                <c:pt idx="19" formatCode="General">
                  <c:v>254</c:v>
                </c:pt>
              </c:numCache>
            </c:numRef>
          </c:val>
          <c:extLst>
            <c:ext xmlns:c16="http://schemas.microsoft.com/office/drawing/2014/chart" uri="{C3380CC4-5D6E-409C-BE32-E72D297353CC}">
              <c16:uniqueId val="{00000001-D0D2-4193-84C1-A72EA3AE097B}"/>
            </c:ext>
          </c:extLst>
        </c:ser>
        <c:dLbls>
          <c:showLegendKey val="0"/>
          <c:showVal val="0"/>
          <c:showCatName val="0"/>
          <c:showSerName val="0"/>
          <c:showPercent val="0"/>
          <c:showBubbleSize val="0"/>
        </c:dLbls>
        <c:gapWidth val="74"/>
        <c:axId val="51988352"/>
        <c:axId val="51989888"/>
      </c:barChart>
      <c:catAx>
        <c:axId val="5198835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800"/>
            </a:pPr>
            <a:endParaRPr lang="en-US"/>
          </a:p>
        </c:txPr>
        <c:crossAx val="51989888"/>
        <c:crosses val="autoZero"/>
        <c:auto val="1"/>
        <c:lblAlgn val="ctr"/>
        <c:lblOffset val="100"/>
        <c:tickLblSkip val="1"/>
        <c:tickMarkSkip val="1"/>
        <c:noMultiLvlLbl val="0"/>
      </c:catAx>
      <c:valAx>
        <c:axId val="51989888"/>
        <c:scaling>
          <c:orientation val="minMax"/>
        </c:scaling>
        <c:delete val="0"/>
        <c:axPos val="l"/>
        <c:majorGridlines>
          <c:spPr>
            <a:ln w="3175">
              <a:solidFill>
                <a:srgbClr val="000000"/>
              </a:solidFill>
              <a:prstDash val="solid"/>
            </a:ln>
          </c:spPr>
        </c:majorGridlines>
        <c:minorGridlines/>
        <c:title>
          <c:tx>
            <c:rich>
              <a:bodyPr/>
              <a:lstStyle/>
              <a:p>
                <a:pPr>
                  <a:defRPr/>
                </a:pPr>
                <a:r>
                  <a:rPr lang="en-US"/>
                  <a:t>Nitrate (ug/l)</a:t>
                </a:r>
              </a:p>
            </c:rich>
          </c:tx>
          <c:layout>
            <c:manualLayout>
              <c:xMode val="edge"/>
              <c:yMode val="edge"/>
              <c:x val="1.5633263233400172E-2"/>
              <c:y val="0.37204561498778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1988352"/>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8616993527983094"/>
          <c:y val="0.10802824569529429"/>
          <c:w val="0.63992978477690288"/>
          <c:h val="5.8690826297315292E-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2010 Aeration Test 40 HP Aerators On</a:t>
            </a:r>
          </a:p>
        </c:rich>
      </c:tx>
      <c:overlay val="0"/>
    </c:title>
    <c:autoTitleDeleted val="0"/>
    <c:plotArea>
      <c:layout/>
      <c:lineChart>
        <c:grouping val="stacked"/>
        <c:varyColors val="0"/>
        <c:ser>
          <c:idx val="0"/>
          <c:order val="0"/>
          <c:tx>
            <c:strRef>
              <c:f>'Aeartion Log'!$B$11</c:f>
              <c:strCache>
                <c:ptCount val="1"/>
                <c:pt idx="0">
                  <c:v>Aerators On  (40hp=0)</c:v>
                </c:pt>
              </c:strCache>
            </c:strRef>
          </c:tx>
          <c:spPr>
            <a:ln w="38100"/>
          </c:spPr>
          <c:marker>
            <c:symbol val="none"/>
          </c:marker>
          <c:cat>
            <c:numRef>
              <c:f>'Aeartion Log'!$A$12:$A$158</c:f>
              <c:numCache>
                <c:formatCode>d\-mmm\-yy</c:formatCode>
                <c:ptCount val="147"/>
                <c:pt idx="0">
                  <c:v>40330</c:v>
                </c:pt>
                <c:pt idx="1">
                  <c:v>40331</c:v>
                </c:pt>
                <c:pt idx="2">
                  <c:v>40332</c:v>
                </c:pt>
                <c:pt idx="3">
                  <c:v>40333</c:v>
                </c:pt>
                <c:pt idx="4">
                  <c:v>40334</c:v>
                </c:pt>
                <c:pt idx="5">
                  <c:v>40335</c:v>
                </c:pt>
                <c:pt idx="6">
                  <c:v>40336</c:v>
                </c:pt>
                <c:pt idx="7">
                  <c:v>40337</c:v>
                </c:pt>
                <c:pt idx="8">
                  <c:v>40338</c:v>
                </c:pt>
                <c:pt idx="9">
                  <c:v>40339</c:v>
                </c:pt>
                <c:pt idx="10">
                  <c:v>40340</c:v>
                </c:pt>
                <c:pt idx="11">
                  <c:v>40341</c:v>
                </c:pt>
                <c:pt idx="12">
                  <c:v>40342</c:v>
                </c:pt>
                <c:pt idx="13">
                  <c:v>40343</c:v>
                </c:pt>
                <c:pt idx="14">
                  <c:v>40344</c:v>
                </c:pt>
                <c:pt idx="15">
                  <c:v>40345</c:v>
                </c:pt>
                <c:pt idx="16">
                  <c:v>40346</c:v>
                </c:pt>
                <c:pt idx="17">
                  <c:v>40347</c:v>
                </c:pt>
                <c:pt idx="18">
                  <c:v>40348</c:v>
                </c:pt>
                <c:pt idx="19">
                  <c:v>40349</c:v>
                </c:pt>
                <c:pt idx="20">
                  <c:v>40350</c:v>
                </c:pt>
                <c:pt idx="21">
                  <c:v>40351</c:v>
                </c:pt>
                <c:pt idx="22">
                  <c:v>40352</c:v>
                </c:pt>
                <c:pt idx="23">
                  <c:v>40353</c:v>
                </c:pt>
                <c:pt idx="24">
                  <c:v>40354</c:v>
                </c:pt>
                <c:pt idx="25">
                  <c:v>40355</c:v>
                </c:pt>
                <c:pt idx="26">
                  <c:v>40356</c:v>
                </c:pt>
                <c:pt idx="27">
                  <c:v>40357</c:v>
                </c:pt>
                <c:pt idx="28">
                  <c:v>40358</c:v>
                </c:pt>
                <c:pt idx="29">
                  <c:v>40359</c:v>
                </c:pt>
                <c:pt idx="30">
                  <c:v>40360</c:v>
                </c:pt>
                <c:pt idx="31">
                  <c:v>40361</c:v>
                </c:pt>
                <c:pt idx="32">
                  <c:v>40362</c:v>
                </c:pt>
                <c:pt idx="33">
                  <c:v>40363</c:v>
                </c:pt>
                <c:pt idx="34">
                  <c:v>40364</c:v>
                </c:pt>
                <c:pt idx="35">
                  <c:v>40365</c:v>
                </c:pt>
                <c:pt idx="36">
                  <c:v>40366</c:v>
                </c:pt>
                <c:pt idx="37">
                  <c:v>40367</c:v>
                </c:pt>
                <c:pt idx="38">
                  <c:v>40368</c:v>
                </c:pt>
                <c:pt idx="39">
                  <c:v>40369</c:v>
                </c:pt>
                <c:pt idx="40">
                  <c:v>40370</c:v>
                </c:pt>
                <c:pt idx="41">
                  <c:v>40371</c:v>
                </c:pt>
                <c:pt idx="42">
                  <c:v>40372</c:v>
                </c:pt>
                <c:pt idx="43">
                  <c:v>40373</c:v>
                </c:pt>
                <c:pt idx="44">
                  <c:v>40374</c:v>
                </c:pt>
                <c:pt idx="45">
                  <c:v>40375</c:v>
                </c:pt>
                <c:pt idx="46">
                  <c:v>40376</c:v>
                </c:pt>
                <c:pt idx="47">
                  <c:v>40377</c:v>
                </c:pt>
                <c:pt idx="48">
                  <c:v>40378</c:v>
                </c:pt>
                <c:pt idx="49">
                  <c:v>40379</c:v>
                </c:pt>
                <c:pt idx="50">
                  <c:v>40380</c:v>
                </c:pt>
                <c:pt idx="51">
                  <c:v>40381</c:v>
                </c:pt>
                <c:pt idx="52">
                  <c:v>40382</c:v>
                </c:pt>
                <c:pt idx="53">
                  <c:v>40383</c:v>
                </c:pt>
                <c:pt idx="54">
                  <c:v>40384</c:v>
                </c:pt>
                <c:pt idx="55">
                  <c:v>40385</c:v>
                </c:pt>
                <c:pt idx="56">
                  <c:v>40386</c:v>
                </c:pt>
                <c:pt idx="57">
                  <c:v>40387</c:v>
                </c:pt>
                <c:pt idx="58">
                  <c:v>40388</c:v>
                </c:pt>
                <c:pt idx="59">
                  <c:v>40389</c:v>
                </c:pt>
                <c:pt idx="60">
                  <c:v>40390</c:v>
                </c:pt>
                <c:pt idx="61">
                  <c:v>40391</c:v>
                </c:pt>
                <c:pt idx="62">
                  <c:v>40392</c:v>
                </c:pt>
                <c:pt idx="63">
                  <c:v>40393</c:v>
                </c:pt>
                <c:pt idx="64">
                  <c:v>40394</c:v>
                </c:pt>
                <c:pt idx="65">
                  <c:v>40395</c:v>
                </c:pt>
                <c:pt idx="66">
                  <c:v>40396</c:v>
                </c:pt>
                <c:pt idx="67">
                  <c:v>40397</c:v>
                </c:pt>
                <c:pt idx="68">
                  <c:v>40398</c:v>
                </c:pt>
                <c:pt idx="69">
                  <c:v>40399</c:v>
                </c:pt>
                <c:pt idx="70">
                  <c:v>40400</c:v>
                </c:pt>
                <c:pt idx="71">
                  <c:v>40401</c:v>
                </c:pt>
                <c:pt idx="72">
                  <c:v>40402</c:v>
                </c:pt>
                <c:pt idx="73">
                  <c:v>40403</c:v>
                </c:pt>
                <c:pt idx="74">
                  <c:v>40404</c:v>
                </c:pt>
                <c:pt idx="75">
                  <c:v>40405</c:v>
                </c:pt>
                <c:pt idx="76">
                  <c:v>40406</c:v>
                </c:pt>
                <c:pt idx="77">
                  <c:v>40407</c:v>
                </c:pt>
                <c:pt idx="78">
                  <c:v>40408</c:v>
                </c:pt>
                <c:pt idx="79">
                  <c:v>40409</c:v>
                </c:pt>
                <c:pt idx="80">
                  <c:v>40410</c:v>
                </c:pt>
                <c:pt idx="81">
                  <c:v>40411</c:v>
                </c:pt>
                <c:pt idx="82">
                  <c:v>40412</c:v>
                </c:pt>
                <c:pt idx="83">
                  <c:v>40413</c:v>
                </c:pt>
                <c:pt idx="84">
                  <c:v>40414</c:v>
                </c:pt>
                <c:pt idx="85">
                  <c:v>40415</c:v>
                </c:pt>
                <c:pt idx="86">
                  <c:v>40416</c:v>
                </c:pt>
                <c:pt idx="87">
                  <c:v>40417</c:v>
                </c:pt>
                <c:pt idx="88">
                  <c:v>40418</c:v>
                </c:pt>
                <c:pt idx="89">
                  <c:v>40419</c:v>
                </c:pt>
                <c:pt idx="90">
                  <c:v>40420</c:v>
                </c:pt>
                <c:pt idx="91">
                  <c:v>40421</c:v>
                </c:pt>
                <c:pt idx="92">
                  <c:v>40422</c:v>
                </c:pt>
                <c:pt idx="93">
                  <c:v>40423</c:v>
                </c:pt>
                <c:pt idx="94">
                  <c:v>40424</c:v>
                </c:pt>
                <c:pt idx="95">
                  <c:v>40425</c:v>
                </c:pt>
                <c:pt idx="96">
                  <c:v>40426</c:v>
                </c:pt>
                <c:pt idx="97">
                  <c:v>40427</c:v>
                </c:pt>
                <c:pt idx="98">
                  <c:v>40428</c:v>
                </c:pt>
                <c:pt idx="99">
                  <c:v>40429</c:v>
                </c:pt>
                <c:pt idx="100">
                  <c:v>40430</c:v>
                </c:pt>
                <c:pt idx="101">
                  <c:v>40431</c:v>
                </c:pt>
                <c:pt idx="102">
                  <c:v>40432</c:v>
                </c:pt>
                <c:pt idx="103">
                  <c:v>40433</c:v>
                </c:pt>
                <c:pt idx="104">
                  <c:v>40434</c:v>
                </c:pt>
                <c:pt idx="105">
                  <c:v>40435</c:v>
                </c:pt>
                <c:pt idx="106">
                  <c:v>40436</c:v>
                </c:pt>
                <c:pt idx="107">
                  <c:v>40437</c:v>
                </c:pt>
                <c:pt idx="108">
                  <c:v>40438</c:v>
                </c:pt>
                <c:pt idx="109">
                  <c:v>40439</c:v>
                </c:pt>
                <c:pt idx="110">
                  <c:v>40440</c:v>
                </c:pt>
                <c:pt idx="111">
                  <c:v>40441</c:v>
                </c:pt>
                <c:pt idx="112">
                  <c:v>40442</c:v>
                </c:pt>
                <c:pt idx="113">
                  <c:v>40443</c:v>
                </c:pt>
                <c:pt idx="114">
                  <c:v>40444</c:v>
                </c:pt>
                <c:pt idx="115">
                  <c:v>40445</c:v>
                </c:pt>
                <c:pt idx="116">
                  <c:v>40446</c:v>
                </c:pt>
                <c:pt idx="117">
                  <c:v>40447</c:v>
                </c:pt>
                <c:pt idx="118">
                  <c:v>40448</c:v>
                </c:pt>
                <c:pt idx="119">
                  <c:v>40449</c:v>
                </c:pt>
                <c:pt idx="120">
                  <c:v>40450</c:v>
                </c:pt>
                <c:pt idx="121">
                  <c:v>40451</c:v>
                </c:pt>
                <c:pt idx="122">
                  <c:v>40452</c:v>
                </c:pt>
                <c:pt idx="123">
                  <c:v>40453</c:v>
                </c:pt>
                <c:pt idx="124">
                  <c:v>40454</c:v>
                </c:pt>
                <c:pt idx="125">
                  <c:v>40455</c:v>
                </c:pt>
                <c:pt idx="126">
                  <c:v>40456</c:v>
                </c:pt>
                <c:pt idx="127">
                  <c:v>40457</c:v>
                </c:pt>
                <c:pt idx="128">
                  <c:v>40458</c:v>
                </c:pt>
                <c:pt idx="129">
                  <c:v>40459</c:v>
                </c:pt>
                <c:pt idx="130">
                  <c:v>40460</c:v>
                </c:pt>
                <c:pt idx="131">
                  <c:v>40461</c:v>
                </c:pt>
                <c:pt idx="132">
                  <c:v>40462</c:v>
                </c:pt>
                <c:pt idx="133">
                  <c:v>40463</c:v>
                </c:pt>
                <c:pt idx="134">
                  <c:v>40464</c:v>
                </c:pt>
                <c:pt idx="135">
                  <c:v>40465</c:v>
                </c:pt>
                <c:pt idx="136">
                  <c:v>40466</c:v>
                </c:pt>
                <c:pt idx="137">
                  <c:v>40467</c:v>
                </c:pt>
                <c:pt idx="138">
                  <c:v>40468</c:v>
                </c:pt>
                <c:pt idx="139">
                  <c:v>40469</c:v>
                </c:pt>
                <c:pt idx="140">
                  <c:v>40470</c:v>
                </c:pt>
                <c:pt idx="141">
                  <c:v>40471</c:v>
                </c:pt>
                <c:pt idx="142">
                  <c:v>40472</c:v>
                </c:pt>
                <c:pt idx="143">
                  <c:v>40473</c:v>
                </c:pt>
                <c:pt idx="144">
                  <c:v>40474</c:v>
                </c:pt>
                <c:pt idx="145">
                  <c:v>40475</c:v>
                </c:pt>
                <c:pt idx="146">
                  <c:v>40476</c:v>
                </c:pt>
              </c:numCache>
            </c:numRef>
          </c:cat>
          <c:val>
            <c:numRef>
              <c:f>'Aeartion Log'!$B$12:$B$158</c:f>
              <c:numCache>
                <c:formatCode>0</c:formatCode>
                <c:ptCount val="1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formatCode="General">
                  <c:v>1</c:v>
                </c:pt>
                <c:pt idx="16" formatCode="General">
                  <c:v>1</c:v>
                </c:pt>
                <c:pt idx="17" formatCode="General">
                  <c:v>1</c:v>
                </c:pt>
                <c:pt idx="18" formatCode="General">
                  <c:v>1</c:v>
                </c:pt>
                <c:pt idx="19" formatCode="General">
                  <c:v>1</c:v>
                </c:pt>
                <c:pt idx="20" formatCode="General">
                  <c:v>1</c:v>
                </c:pt>
                <c:pt idx="21" formatCode="General">
                  <c:v>1</c:v>
                </c:pt>
                <c:pt idx="22" formatCode="General">
                  <c:v>1</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1</c:v>
                </c:pt>
                <c:pt idx="36" formatCode="General">
                  <c:v>1</c:v>
                </c:pt>
                <c:pt idx="37" formatCode="General">
                  <c:v>1</c:v>
                </c:pt>
                <c:pt idx="38" formatCode="General">
                  <c:v>1</c:v>
                </c:pt>
                <c:pt idx="39" formatCode="General">
                  <c:v>1</c:v>
                </c:pt>
                <c:pt idx="40" formatCode="General">
                  <c:v>1</c:v>
                </c:pt>
                <c:pt idx="41" formatCode="General">
                  <c:v>1</c:v>
                </c:pt>
                <c:pt idx="42" formatCode="General">
                  <c:v>0</c:v>
                </c:pt>
                <c:pt idx="43" formatCode="General">
                  <c:v>0</c:v>
                </c:pt>
                <c:pt idx="44" formatCode="General">
                  <c:v>0</c:v>
                </c:pt>
                <c:pt idx="45" formatCode="General">
                  <c:v>0</c:v>
                </c:pt>
                <c:pt idx="46" formatCode="General">
                  <c:v>0</c:v>
                </c:pt>
                <c:pt idx="47" formatCode="General">
                  <c:v>0</c:v>
                </c:pt>
                <c:pt idx="48" formatCode="General">
                  <c:v>0</c:v>
                </c:pt>
                <c:pt idx="49" formatCode="General">
                  <c:v>0</c:v>
                </c:pt>
                <c:pt idx="50" formatCode="General">
                  <c:v>0</c:v>
                </c:pt>
                <c:pt idx="51" formatCode="General">
                  <c:v>0</c:v>
                </c:pt>
                <c:pt idx="52" formatCode="General">
                  <c:v>0</c:v>
                </c:pt>
                <c:pt idx="53" formatCode="General">
                  <c:v>0</c:v>
                </c:pt>
                <c:pt idx="54" formatCode="General">
                  <c:v>0</c:v>
                </c:pt>
                <c:pt idx="55" formatCode="General">
                  <c:v>1</c:v>
                </c:pt>
                <c:pt idx="56" formatCode="General">
                  <c:v>1</c:v>
                </c:pt>
                <c:pt idx="57" formatCode="General">
                  <c:v>1</c:v>
                </c:pt>
                <c:pt idx="58" formatCode="General">
                  <c:v>1</c:v>
                </c:pt>
                <c:pt idx="59" formatCode="General">
                  <c:v>1</c:v>
                </c:pt>
                <c:pt idx="60" formatCode="General">
                  <c:v>1</c:v>
                </c:pt>
                <c:pt idx="61" formatCode="General">
                  <c:v>1</c:v>
                </c:pt>
                <c:pt idx="62" formatCode="General">
                  <c:v>1</c:v>
                </c:pt>
                <c:pt idx="63" formatCode="General">
                  <c:v>1</c:v>
                </c:pt>
                <c:pt idx="64" formatCode="General">
                  <c:v>1</c:v>
                </c:pt>
                <c:pt idx="65" formatCode="General">
                  <c:v>1</c:v>
                </c:pt>
                <c:pt idx="66" formatCode="General">
                  <c:v>1</c:v>
                </c:pt>
                <c:pt idx="67" formatCode="General">
                  <c:v>1</c:v>
                </c:pt>
                <c:pt idx="68" formatCode="General">
                  <c:v>1</c:v>
                </c:pt>
                <c:pt idx="69" formatCode="General">
                  <c:v>0</c:v>
                </c:pt>
                <c:pt idx="70" formatCode="General">
                  <c:v>0</c:v>
                </c:pt>
                <c:pt idx="71" formatCode="General">
                  <c:v>0</c:v>
                </c:pt>
                <c:pt idx="72" formatCode="General">
                  <c:v>0</c:v>
                </c:pt>
                <c:pt idx="73" formatCode="General">
                  <c:v>0</c:v>
                </c:pt>
                <c:pt idx="74" formatCode="General">
                  <c:v>0</c:v>
                </c:pt>
                <c:pt idx="75" formatCode="General">
                  <c:v>0</c:v>
                </c:pt>
                <c:pt idx="76" formatCode="General">
                  <c:v>0</c:v>
                </c:pt>
                <c:pt idx="77" formatCode="General">
                  <c:v>0</c:v>
                </c:pt>
                <c:pt idx="78" formatCode="General">
                  <c:v>0</c:v>
                </c:pt>
                <c:pt idx="79" formatCode="General">
                  <c:v>0</c:v>
                </c:pt>
                <c:pt idx="80" formatCode="General">
                  <c:v>0</c:v>
                </c:pt>
                <c:pt idx="81" formatCode="General">
                  <c:v>0</c:v>
                </c:pt>
                <c:pt idx="82" formatCode="General">
                  <c:v>0</c:v>
                </c:pt>
                <c:pt idx="83" formatCode="General">
                  <c:v>0</c:v>
                </c:pt>
                <c:pt idx="84" formatCode="General">
                  <c:v>0</c:v>
                </c:pt>
                <c:pt idx="85" formatCode="General">
                  <c:v>0</c:v>
                </c:pt>
                <c:pt idx="86" formatCode="General">
                  <c:v>1</c:v>
                </c:pt>
                <c:pt idx="87" formatCode="General">
                  <c:v>1</c:v>
                </c:pt>
                <c:pt idx="88" formatCode="General">
                  <c:v>1</c:v>
                </c:pt>
                <c:pt idx="89" formatCode="General">
                  <c:v>1</c:v>
                </c:pt>
                <c:pt idx="90" formatCode="General">
                  <c:v>1</c:v>
                </c:pt>
                <c:pt idx="91" formatCode="General">
                  <c:v>1</c:v>
                </c:pt>
                <c:pt idx="92" formatCode="General">
                  <c:v>1</c:v>
                </c:pt>
                <c:pt idx="93" formatCode="General">
                  <c:v>1</c:v>
                </c:pt>
                <c:pt idx="94" formatCode="General">
                  <c:v>1</c:v>
                </c:pt>
                <c:pt idx="95" formatCode="General">
                  <c:v>1</c:v>
                </c:pt>
                <c:pt idx="96" formatCode="General">
                  <c:v>1</c:v>
                </c:pt>
                <c:pt idx="97" formatCode="General">
                  <c:v>1</c:v>
                </c:pt>
                <c:pt idx="98" formatCode="General">
                  <c:v>0</c:v>
                </c:pt>
                <c:pt idx="99" formatCode="General">
                  <c:v>0</c:v>
                </c:pt>
                <c:pt idx="100" formatCode="General">
                  <c:v>0</c:v>
                </c:pt>
                <c:pt idx="101" formatCode="General">
                  <c:v>0</c:v>
                </c:pt>
                <c:pt idx="102" formatCode="General">
                  <c:v>0</c:v>
                </c:pt>
                <c:pt idx="103" formatCode="General">
                  <c:v>0</c:v>
                </c:pt>
                <c:pt idx="104" formatCode="General">
                  <c:v>0</c:v>
                </c:pt>
                <c:pt idx="105" formatCode="General">
                  <c:v>0</c:v>
                </c:pt>
                <c:pt idx="106" formatCode="General">
                  <c:v>0</c:v>
                </c:pt>
                <c:pt idx="107" formatCode="General">
                  <c:v>0</c:v>
                </c:pt>
                <c:pt idx="108" formatCode="General">
                  <c:v>0</c:v>
                </c:pt>
                <c:pt idx="109" formatCode="General">
                  <c:v>0</c:v>
                </c:pt>
                <c:pt idx="110" formatCode="General">
                  <c:v>0</c:v>
                </c:pt>
                <c:pt idx="111" formatCode="General">
                  <c:v>0</c:v>
                </c:pt>
                <c:pt idx="112" formatCode="General">
                  <c:v>0</c:v>
                </c:pt>
                <c:pt idx="113" formatCode="General">
                  <c:v>0</c:v>
                </c:pt>
                <c:pt idx="114" formatCode="General">
                  <c:v>0</c:v>
                </c:pt>
                <c:pt idx="115" formatCode="General">
                  <c:v>0</c:v>
                </c:pt>
                <c:pt idx="116" formatCode="General">
                  <c:v>0</c:v>
                </c:pt>
                <c:pt idx="117" formatCode="General">
                  <c:v>0</c:v>
                </c:pt>
                <c:pt idx="118" formatCode="General">
                  <c:v>0</c:v>
                </c:pt>
                <c:pt idx="119" formatCode="General">
                  <c:v>0</c:v>
                </c:pt>
                <c:pt idx="120" formatCode="General">
                  <c:v>0</c:v>
                </c:pt>
                <c:pt idx="121" formatCode="General">
                  <c:v>0</c:v>
                </c:pt>
                <c:pt idx="122" formatCode="General">
                  <c:v>0</c:v>
                </c:pt>
                <c:pt idx="123" formatCode="General">
                  <c:v>0</c:v>
                </c:pt>
                <c:pt idx="124" formatCode="General">
                  <c:v>0</c:v>
                </c:pt>
                <c:pt idx="125" formatCode="General">
                  <c:v>0</c:v>
                </c:pt>
                <c:pt idx="126" formatCode="General">
                  <c:v>0</c:v>
                </c:pt>
                <c:pt idx="127" formatCode="General">
                  <c:v>0</c:v>
                </c:pt>
                <c:pt idx="128" formatCode="General">
                  <c:v>0</c:v>
                </c:pt>
                <c:pt idx="129" formatCode="General">
                  <c:v>0</c:v>
                </c:pt>
                <c:pt idx="130" formatCode="General">
                  <c:v>0</c:v>
                </c:pt>
                <c:pt idx="131" formatCode="General">
                  <c:v>0</c:v>
                </c:pt>
                <c:pt idx="132" formatCode="General">
                  <c:v>0</c:v>
                </c:pt>
                <c:pt idx="133" formatCode="General">
                  <c:v>0</c:v>
                </c:pt>
                <c:pt idx="134" formatCode="General">
                  <c:v>0</c:v>
                </c:pt>
                <c:pt idx="135" formatCode="General">
                  <c:v>0</c:v>
                </c:pt>
                <c:pt idx="136" formatCode="General">
                  <c:v>0</c:v>
                </c:pt>
                <c:pt idx="137" formatCode="General">
                  <c:v>0</c:v>
                </c:pt>
                <c:pt idx="138" formatCode="General">
                  <c:v>0</c:v>
                </c:pt>
                <c:pt idx="139" formatCode="General">
                  <c:v>0</c:v>
                </c:pt>
                <c:pt idx="140" formatCode="General">
                  <c:v>0</c:v>
                </c:pt>
                <c:pt idx="141" formatCode="General">
                  <c:v>0</c:v>
                </c:pt>
                <c:pt idx="142" formatCode="General">
                  <c:v>0</c:v>
                </c:pt>
                <c:pt idx="143" formatCode="General">
                  <c:v>0</c:v>
                </c:pt>
                <c:pt idx="144" formatCode="General">
                  <c:v>0</c:v>
                </c:pt>
                <c:pt idx="145" formatCode="General">
                  <c:v>0</c:v>
                </c:pt>
                <c:pt idx="146" formatCode="General">
                  <c:v>0</c:v>
                </c:pt>
              </c:numCache>
            </c:numRef>
          </c:val>
          <c:smooth val="0"/>
          <c:extLst>
            <c:ext xmlns:c16="http://schemas.microsoft.com/office/drawing/2014/chart" uri="{C3380CC4-5D6E-409C-BE32-E72D297353CC}">
              <c16:uniqueId val="{00000000-154A-48F2-AB31-4591FCFB0CEF}"/>
            </c:ext>
          </c:extLst>
        </c:ser>
        <c:dLbls>
          <c:showLegendKey val="0"/>
          <c:showVal val="0"/>
          <c:showCatName val="0"/>
          <c:showSerName val="0"/>
          <c:showPercent val="0"/>
          <c:showBubbleSize val="0"/>
        </c:dLbls>
        <c:marker val="1"/>
        <c:smooth val="0"/>
        <c:axId val="147118720"/>
        <c:axId val="147149568"/>
      </c:lineChart>
      <c:lineChart>
        <c:grouping val="stacked"/>
        <c:varyColors val="0"/>
        <c:ser>
          <c:idx val="1"/>
          <c:order val="1"/>
          <c:tx>
            <c:strRef>
              <c:f>'Aeartion Log'!$C$11</c:f>
              <c:strCache>
                <c:ptCount val="1"/>
                <c:pt idx="0">
                  <c:v>DO:1-3m (mg/l)</c:v>
                </c:pt>
              </c:strCache>
            </c:strRef>
          </c:tx>
          <c:spPr>
            <a:ln>
              <a:noFill/>
            </a:ln>
          </c:spPr>
          <c:marker>
            <c:spPr>
              <a:solidFill>
                <a:srgbClr val="C00000"/>
              </a:solidFill>
            </c:spPr>
          </c:marker>
          <c:cat>
            <c:numRef>
              <c:f>'Aeartion Log'!$A$12:$A$158</c:f>
              <c:numCache>
                <c:formatCode>d\-mmm\-yy</c:formatCode>
                <c:ptCount val="147"/>
                <c:pt idx="0">
                  <c:v>40330</c:v>
                </c:pt>
                <c:pt idx="1">
                  <c:v>40331</c:v>
                </c:pt>
                <c:pt idx="2">
                  <c:v>40332</c:v>
                </c:pt>
                <c:pt idx="3">
                  <c:v>40333</c:v>
                </c:pt>
                <c:pt idx="4">
                  <c:v>40334</c:v>
                </c:pt>
                <c:pt idx="5">
                  <c:v>40335</c:v>
                </c:pt>
                <c:pt idx="6">
                  <c:v>40336</c:v>
                </c:pt>
                <c:pt idx="7">
                  <c:v>40337</c:v>
                </c:pt>
                <c:pt idx="8">
                  <c:v>40338</c:v>
                </c:pt>
                <c:pt idx="9">
                  <c:v>40339</c:v>
                </c:pt>
                <c:pt idx="10">
                  <c:v>40340</c:v>
                </c:pt>
                <c:pt idx="11">
                  <c:v>40341</c:v>
                </c:pt>
                <c:pt idx="12">
                  <c:v>40342</c:v>
                </c:pt>
                <c:pt idx="13">
                  <c:v>40343</c:v>
                </c:pt>
                <c:pt idx="14">
                  <c:v>40344</c:v>
                </c:pt>
                <c:pt idx="15">
                  <c:v>40345</c:v>
                </c:pt>
                <c:pt idx="16">
                  <c:v>40346</c:v>
                </c:pt>
                <c:pt idx="17">
                  <c:v>40347</c:v>
                </c:pt>
                <c:pt idx="18">
                  <c:v>40348</c:v>
                </c:pt>
                <c:pt idx="19">
                  <c:v>40349</c:v>
                </c:pt>
                <c:pt idx="20">
                  <c:v>40350</c:v>
                </c:pt>
                <c:pt idx="21">
                  <c:v>40351</c:v>
                </c:pt>
                <c:pt idx="22">
                  <c:v>40352</c:v>
                </c:pt>
                <c:pt idx="23">
                  <c:v>40353</c:v>
                </c:pt>
                <c:pt idx="24">
                  <c:v>40354</c:v>
                </c:pt>
                <c:pt idx="25">
                  <c:v>40355</c:v>
                </c:pt>
                <c:pt idx="26">
                  <c:v>40356</c:v>
                </c:pt>
                <c:pt idx="27">
                  <c:v>40357</c:v>
                </c:pt>
                <c:pt idx="28">
                  <c:v>40358</c:v>
                </c:pt>
                <c:pt idx="29">
                  <c:v>40359</c:v>
                </c:pt>
                <c:pt idx="30">
                  <c:v>40360</c:v>
                </c:pt>
                <c:pt idx="31">
                  <c:v>40361</c:v>
                </c:pt>
                <c:pt idx="32">
                  <c:v>40362</c:v>
                </c:pt>
                <c:pt idx="33">
                  <c:v>40363</c:v>
                </c:pt>
                <c:pt idx="34">
                  <c:v>40364</c:v>
                </c:pt>
                <c:pt idx="35">
                  <c:v>40365</c:v>
                </c:pt>
                <c:pt idx="36">
                  <c:v>40366</c:v>
                </c:pt>
                <c:pt idx="37">
                  <c:v>40367</c:v>
                </c:pt>
                <c:pt idx="38">
                  <c:v>40368</c:v>
                </c:pt>
                <c:pt idx="39">
                  <c:v>40369</c:v>
                </c:pt>
                <c:pt idx="40">
                  <c:v>40370</c:v>
                </c:pt>
                <c:pt idx="41">
                  <c:v>40371</c:v>
                </c:pt>
                <c:pt idx="42">
                  <c:v>40372</c:v>
                </c:pt>
                <c:pt idx="43">
                  <c:v>40373</c:v>
                </c:pt>
                <c:pt idx="44">
                  <c:v>40374</c:v>
                </c:pt>
                <c:pt idx="45">
                  <c:v>40375</c:v>
                </c:pt>
                <c:pt idx="46">
                  <c:v>40376</c:v>
                </c:pt>
                <c:pt idx="47">
                  <c:v>40377</c:v>
                </c:pt>
                <c:pt idx="48">
                  <c:v>40378</c:v>
                </c:pt>
                <c:pt idx="49">
                  <c:v>40379</c:v>
                </c:pt>
                <c:pt idx="50">
                  <c:v>40380</c:v>
                </c:pt>
                <c:pt idx="51">
                  <c:v>40381</c:v>
                </c:pt>
                <c:pt idx="52">
                  <c:v>40382</c:v>
                </c:pt>
                <c:pt idx="53">
                  <c:v>40383</c:v>
                </c:pt>
                <c:pt idx="54">
                  <c:v>40384</c:v>
                </c:pt>
                <c:pt idx="55">
                  <c:v>40385</c:v>
                </c:pt>
                <c:pt idx="56">
                  <c:v>40386</c:v>
                </c:pt>
                <c:pt idx="57">
                  <c:v>40387</c:v>
                </c:pt>
                <c:pt idx="58">
                  <c:v>40388</c:v>
                </c:pt>
                <c:pt idx="59">
                  <c:v>40389</c:v>
                </c:pt>
                <c:pt idx="60">
                  <c:v>40390</c:v>
                </c:pt>
                <c:pt idx="61">
                  <c:v>40391</c:v>
                </c:pt>
                <c:pt idx="62">
                  <c:v>40392</c:v>
                </c:pt>
                <c:pt idx="63">
                  <c:v>40393</c:v>
                </c:pt>
                <c:pt idx="64">
                  <c:v>40394</c:v>
                </c:pt>
                <c:pt idx="65">
                  <c:v>40395</c:v>
                </c:pt>
                <c:pt idx="66">
                  <c:v>40396</c:v>
                </c:pt>
                <c:pt idx="67">
                  <c:v>40397</c:v>
                </c:pt>
                <c:pt idx="68">
                  <c:v>40398</c:v>
                </c:pt>
                <c:pt idx="69">
                  <c:v>40399</c:v>
                </c:pt>
                <c:pt idx="70">
                  <c:v>40400</c:v>
                </c:pt>
                <c:pt idx="71">
                  <c:v>40401</c:v>
                </c:pt>
                <c:pt idx="72">
                  <c:v>40402</c:v>
                </c:pt>
                <c:pt idx="73">
                  <c:v>40403</c:v>
                </c:pt>
                <c:pt idx="74">
                  <c:v>40404</c:v>
                </c:pt>
                <c:pt idx="75">
                  <c:v>40405</c:v>
                </c:pt>
                <c:pt idx="76">
                  <c:v>40406</c:v>
                </c:pt>
                <c:pt idx="77">
                  <c:v>40407</c:v>
                </c:pt>
                <c:pt idx="78">
                  <c:v>40408</c:v>
                </c:pt>
                <c:pt idx="79">
                  <c:v>40409</c:v>
                </c:pt>
                <c:pt idx="80">
                  <c:v>40410</c:v>
                </c:pt>
                <c:pt idx="81">
                  <c:v>40411</c:v>
                </c:pt>
                <c:pt idx="82">
                  <c:v>40412</c:v>
                </c:pt>
                <c:pt idx="83">
                  <c:v>40413</c:v>
                </c:pt>
                <c:pt idx="84">
                  <c:v>40414</c:v>
                </c:pt>
                <c:pt idx="85">
                  <c:v>40415</c:v>
                </c:pt>
                <c:pt idx="86">
                  <c:v>40416</c:v>
                </c:pt>
                <c:pt idx="87">
                  <c:v>40417</c:v>
                </c:pt>
                <c:pt idx="88">
                  <c:v>40418</c:v>
                </c:pt>
                <c:pt idx="89">
                  <c:v>40419</c:v>
                </c:pt>
                <c:pt idx="90">
                  <c:v>40420</c:v>
                </c:pt>
                <c:pt idx="91">
                  <c:v>40421</c:v>
                </c:pt>
                <c:pt idx="92">
                  <c:v>40422</c:v>
                </c:pt>
                <c:pt idx="93">
                  <c:v>40423</c:v>
                </c:pt>
                <c:pt idx="94">
                  <c:v>40424</c:v>
                </c:pt>
                <c:pt idx="95">
                  <c:v>40425</c:v>
                </c:pt>
                <c:pt idx="96">
                  <c:v>40426</c:v>
                </c:pt>
                <c:pt idx="97">
                  <c:v>40427</c:v>
                </c:pt>
                <c:pt idx="98">
                  <c:v>40428</c:v>
                </c:pt>
                <c:pt idx="99">
                  <c:v>40429</c:v>
                </c:pt>
                <c:pt idx="100">
                  <c:v>40430</c:v>
                </c:pt>
                <c:pt idx="101">
                  <c:v>40431</c:v>
                </c:pt>
                <c:pt idx="102">
                  <c:v>40432</c:v>
                </c:pt>
                <c:pt idx="103">
                  <c:v>40433</c:v>
                </c:pt>
                <c:pt idx="104">
                  <c:v>40434</c:v>
                </c:pt>
                <c:pt idx="105">
                  <c:v>40435</c:v>
                </c:pt>
                <c:pt idx="106">
                  <c:v>40436</c:v>
                </c:pt>
                <c:pt idx="107">
                  <c:v>40437</c:v>
                </c:pt>
                <c:pt idx="108">
                  <c:v>40438</c:v>
                </c:pt>
                <c:pt idx="109">
                  <c:v>40439</c:v>
                </c:pt>
                <c:pt idx="110">
                  <c:v>40440</c:v>
                </c:pt>
                <c:pt idx="111">
                  <c:v>40441</c:v>
                </c:pt>
                <c:pt idx="112">
                  <c:v>40442</c:v>
                </c:pt>
                <c:pt idx="113">
                  <c:v>40443</c:v>
                </c:pt>
                <c:pt idx="114">
                  <c:v>40444</c:v>
                </c:pt>
                <c:pt idx="115">
                  <c:v>40445</c:v>
                </c:pt>
                <c:pt idx="116">
                  <c:v>40446</c:v>
                </c:pt>
                <c:pt idx="117">
                  <c:v>40447</c:v>
                </c:pt>
                <c:pt idx="118">
                  <c:v>40448</c:v>
                </c:pt>
                <c:pt idx="119">
                  <c:v>40449</c:v>
                </c:pt>
                <c:pt idx="120">
                  <c:v>40450</c:v>
                </c:pt>
                <c:pt idx="121">
                  <c:v>40451</c:v>
                </c:pt>
                <c:pt idx="122">
                  <c:v>40452</c:v>
                </c:pt>
                <c:pt idx="123">
                  <c:v>40453</c:v>
                </c:pt>
                <c:pt idx="124">
                  <c:v>40454</c:v>
                </c:pt>
                <c:pt idx="125">
                  <c:v>40455</c:v>
                </c:pt>
                <c:pt idx="126">
                  <c:v>40456</c:v>
                </c:pt>
                <c:pt idx="127">
                  <c:v>40457</c:v>
                </c:pt>
                <c:pt idx="128">
                  <c:v>40458</c:v>
                </c:pt>
                <c:pt idx="129">
                  <c:v>40459</c:v>
                </c:pt>
                <c:pt idx="130">
                  <c:v>40460</c:v>
                </c:pt>
                <c:pt idx="131">
                  <c:v>40461</c:v>
                </c:pt>
                <c:pt idx="132">
                  <c:v>40462</c:v>
                </c:pt>
                <c:pt idx="133">
                  <c:v>40463</c:v>
                </c:pt>
                <c:pt idx="134">
                  <c:v>40464</c:v>
                </c:pt>
                <c:pt idx="135">
                  <c:v>40465</c:v>
                </c:pt>
                <c:pt idx="136">
                  <c:v>40466</c:v>
                </c:pt>
                <c:pt idx="137">
                  <c:v>40467</c:v>
                </c:pt>
                <c:pt idx="138">
                  <c:v>40468</c:v>
                </c:pt>
                <c:pt idx="139">
                  <c:v>40469</c:v>
                </c:pt>
                <c:pt idx="140">
                  <c:v>40470</c:v>
                </c:pt>
                <c:pt idx="141">
                  <c:v>40471</c:v>
                </c:pt>
                <c:pt idx="142">
                  <c:v>40472</c:v>
                </c:pt>
                <c:pt idx="143">
                  <c:v>40473</c:v>
                </c:pt>
                <c:pt idx="144">
                  <c:v>40474</c:v>
                </c:pt>
                <c:pt idx="145">
                  <c:v>40475</c:v>
                </c:pt>
                <c:pt idx="146">
                  <c:v>40476</c:v>
                </c:pt>
              </c:numCache>
            </c:numRef>
          </c:cat>
          <c:val>
            <c:numRef>
              <c:f>'Aeartion Log'!$C$12:$C$158</c:f>
              <c:numCache>
                <c:formatCode>General</c:formatCode>
                <c:ptCount val="147"/>
                <c:pt idx="0">
                  <c:v>8.57</c:v>
                </c:pt>
                <c:pt idx="14">
                  <c:v>8.6</c:v>
                </c:pt>
                <c:pt idx="23">
                  <c:v>7.8</c:v>
                </c:pt>
                <c:pt idx="28">
                  <c:v>6.53</c:v>
                </c:pt>
                <c:pt idx="34">
                  <c:v>8.4</c:v>
                </c:pt>
                <c:pt idx="42">
                  <c:v>7.59</c:v>
                </c:pt>
                <c:pt idx="55">
                  <c:v>7.73</c:v>
                </c:pt>
                <c:pt idx="69">
                  <c:v>5.56</c:v>
                </c:pt>
                <c:pt idx="83">
                  <c:v>7.31</c:v>
                </c:pt>
                <c:pt idx="86">
                  <c:v>7.9</c:v>
                </c:pt>
                <c:pt idx="98">
                  <c:v>8.65</c:v>
                </c:pt>
                <c:pt idx="118">
                  <c:v>6.99</c:v>
                </c:pt>
                <c:pt idx="146">
                  <c:v>8.48</c:v>
                </c:pt>
              </c:numCache>
            </c:numRef>
          </c:val>
          <c:smooth val="0"/>
          <c:extLst>
            <c:ext xmlns:c16="http://schemas.microsoft.com/office/drawing/2014/chart" uri="{C3380CC4-5D6E-409C-BE32-E72D297353CC}">
              <c16:uniqueId val="{00000001-154A-48F2-AB31-4591FCFB0CEF}"/>
            </c:ext>
          </c:extLst>
        </c:ser>
        <c:ser>
          <c:idx val="2"/>
          <c:order val="2"/>
          <c:tx>
            <c:strRef>
              <c:f>'Aeartion Log'!$D$11</c:f>
              <c:strCache>
                <c:ptCount val="1"/>
                <c:pt idx="0">
                  <c:v>Standard=6 mg/l</c:v>
                </c:pt>
              </c:strCache>
            </c:strRef>
          </c:tx>
          <c:spPr>
            <a:ln>
              <a:noFill/>
              <a:prstDash val="dash"/>
            </a:ln>
          </c:spPr>
          <c:marker>
            <c:symbol val="circle"/>
            <c:size val="3"/>
            <c:spPr>
              <a:solidFill>
                <a:schemeClr val="tx2">
                  <a:lumMod val="60000"/>
                  <a:lumOff val="40000"/>
                </a:schemeClr>
              </a:solidFill>
            </c:spPr>
          </c:marker>
          <c:cat>
            <c:numRef>
              <c:f>'Aeartion Log'!$A$12:$A$158</c:f>
              <c:numCache>
                <c:formatCode>d\-mmm\-yy</c:formatCode>
                <c:ptCount val="147"/>
                <c:pt idx="0">
                  <c:v>40330</c:v>
                </c:pt>
                <c:pt idx="1">
                  <c:v>40331</c:v>
                </c:pt>
                <c:pt idx="2">
                  <c:v>40332</c:v>
                </c:pt>
                <c:pt idx="3">
                  <c:v>40333</c:v>
                </c:pt>
                <c:pt idx="4">
                  <c:v>40334</c:v>
                </c:pt>
                <c:pt idx="5">
                  <c:v>40335</c:v>
                </c:pt>
                <c:pt idx="6">
                  <c:v>40336</c:v>
                </c:pt>
                <c:pt idx="7">
                  <c:v>40337</c:v>
                </c:pt>
                <c:pt idx="8">
                  <c:v>40338</c:v>
                </c:pt>
                <c:pt idx="9">
                  <c:v>40339</c:v>
                </c:pt>
                <c:pt idx="10">
                  <c:v>40340</c:v>
                </c:pt>
                <c:pt idx="11">
                  <c:v>40341</c:v>
                </c:pt>
                <c:pt idx="12">
                  <c:v>40342</c:v>
                </c:pt>
                <c:pt idx="13">
                  <c:v>40343</c:v>
                </c:pt>
                <c:pt idx="14">
                  <c:v>40344</c:v>
                </c:pt>
                <c:pt idx="15">
                  <c:v>40345</c:v>
                </c:pt>
                <c:pt idx="16">
                  <c:v>40346</c:v>
                </c:pt>
                <c:pt idx="17">
                  <c:v>40347</c:v>
                </c:pt>
                <c:pt idx="18">
                  <c:v>40348</c:v>
                </c:pt>
                <c:pt idx="19">
                  <c:v>40349</c:v>
                </c:pt>
                <c:pt idx="20">
                  <c:v>40350</c:v>
                </c:pt>
                <c:pt idx="21">
                  <c:v>40351</c:v>
                </c:pt>
                <c:pt idx="22">
                  <c:v>40352</c:v>
                </c:pt>
                <c:pt idx="23">
                  <c:v>40353</c:v>
                </c:pt>
                <c:pt idx="24">
                  <c:v>40354</c:v>
                </c:pt>
                <c:pt idx="25">
                  <c:v>40355</c:v>
                </c:pt>
                <c:pt idx="26">
                  <c:v>40356</c:v>
                </c:pt>
                <c:pt idx="27">
                  <c:v>40357</c:v>
                </c:pt>
                <c:pt idx="28">
                  <c:v>40358</c:v>
                </c:pt>
                <c:pt idx="29">
                  <c:v>40359</c:v>
                </c:pt>
                <c:pt idx="30">
                  <c:v>40360</c:v>
                </c:pt>
                <c:pt idx="31">
                  <c:v>40361</c:v>
                </c:pt>
                <c:pt idx="32">
                  <c:v>40362</c:v>
                </c:pt>
                <c:pt idx="33">
                  <c:v>40363</c:v>
                </c:pt>
                <c:pt idx="34">
                  <c:v>40364</c:v>
                </c:pt>
                <c:pt idx="35">
                  <c:v>40365</c:v>
                </c:pt>
                <c:pt idx="36">
                  <c:v>40366</c:v>
                </c:pt>
                <c:pt idx="37">
                  <c:v>40367</c:v>
                </c:pt>
                <c:pt idx="38">
                  <c:v>40368</c:v>
                </c:pt>
                <c:pt idx="39">
                  <c:v>40369</c:v>
                </c:pt>
                <c:pt idx="40">
                  <c:v>40370</c:v>
                </c:pt>
                <c:pt idx="41">
                  <c:v>40371</c:v>
                </c:pt>
                <c:pt idx="42">
                  <c:v>40372</c:v>
                </c:pt>
                <c:pt idx="43">
                  <c:v>40373</c:v>
                </c:pt>
                <c:pt idx="44">
                  <c:v>40374</c:v>
                </c:pt>
                <c:pt idx="45">
                  <c:v>40375</c:v>
                </c:pt>
                <c:pt idx="46">
                  <c:v>40376</c:v>
                </c:pt>
                <c:pt idx="47">
                  <c:v>40377</c:v>
                </c:pt>
                <c:pt idx="48">
                  <c:v>40378</c:v>
                </c:pt>
                <c:pt idx="49">
                  <c:v>40379</c:v>
                </c:pt>
                <c:pt idx="50">
                  <c:v>40380</c:v>
                </c:pt>
                <c:pt idx="51">
                  <c:v>40381</c:v>
                </c:pt>
                <c:pt idx="52">
                  <c:v>40382</c:v>
                </c:pt>
                <c:pt idx="53">
                  <c:v>40383</c:v>
                </c:pt>
                <c:pt idx="54">
                  <c:v>40384</c:v>
                </c:pt>
                <c:pt idx="55">
                  <c:v>40385</c:v>
                </c:pt>
                <c:pt idx="56">
                  <c:v>40386</c:v>
                </c:pt>
                <c:pt idx="57">
                  <c:v>40387</c:v>
                </c:pt>
                <c:pt idx="58">
                  <c:v>40388</c:v>
                </c:pt>
                <c:pt idx="59">
                  <c:v>40389</c:v>
                </c:pt>
                <c:pt idx="60">
                  <c:v>40390</c:v>
                </c:pt>
                <c:pt idx="61">
                  <c:v>40391</c:v>
                </c:pt>
                <c:pt idx="62">
                  <c:v>40392</c:v>
                </c:pt>
                <c:pt idx="63">
                  <c:v>40393</c:v>
                </c:pt>
                <c:pt idx="64">
                  <c:v>40394</c:v>
                </c:pt>
                <c:pt idx="65">
                  <c:v>40395</c:v>
                </c:pt>
                <c:pt idx="66">
                  <c:v>40396</c:v>
                </c:pt>
                <c:pt idx="67">
                  <c:v>40397</c:v>
                </c:pt>
                <c:pt idx="68">
                  <c:v>40398</c:v>
                </c:pt>
                <c:pt idx="69">
                  <c:v>40399</c:v>
                </c:pt>
                <c:pt idx="70">
                  <c:v>40400</c:v>
                </c:pt>
                <c:pt idx="71">
                  <c:v>40401</c:v>
                </c:pt>
                <c:pt idx="72">
                  <c:v>40402</c:v>
                </c:pt>
                <c:pt idx="73">
                  <c:v>40403</c:v>
                </c:pt>
                <c:pt idx="74">
                  <c:v>40404</c:v>
                </c:pt>
                <c:pt idx="75">
                  <c:v>40405</c:v>
                </c:pt>
                <c:pt idx="76">
                  <c:v>40406</c:v>
                </c:pt>
                <c:pt idx="77">
                  <c:v>40407</c:v>
                </c:pt>
                <c:pt idx="78">
                  <c:v>40408</c:v>
                </c:pt>
                <c:pt idx="79">
                  <c:v>40409</c:v>
                </c:pt>
                <c:pt idx="80">
                  <c:v>40410</c:v>
                </c:pt>
                <c:pt idx="81">
                  <c:v>40411</c:v>
                </c:pt>
                <c:pt idx="82">
                  <c:v>40412</c:v>
                </c:pt>
                <c:pt idx="83">
                  <c:v>40413</c:v>
                </c:pt>
                <c:pt idx="84">
                  <c:v>40414</c:v>
                </c:pt>
                <c:pt idx="85">
                  <c:v>40415</c:v>
                </c:pt>
                <c:pt idx="86">
                  <c:v>40416</c:v>
                </c:pt>
                <c:pt idx="87">
                  <c:v>40417</c:v>
                </c:pt>
                <c:pt idx="88">
                  <c:v>40418</c:v>
                </c:pt>
                <c:pt idx="89">
                  <c:v>40419</c:v>
                </c:pt>
                <c:pt idx="90">
                  <c:v>40420</c:v>
                </c:pt>
                <c:pt idx="91">
                  <c:v>40421</c:v>
                </c:pt>
                <c:pt idx="92">
                  <c:v>40422</c:v>
                </c:pt>
                <c:pt idx="93">
                  <c:v>40423</c:v>
                </c:pt>
                <c:pt idx="94">
                  <c:v>40424</c:v>
                </c:pt>
                <c:pt idx="95">
                  <c:v>40425</c:v>
                </c:pt>
                <c:pt idx="96">
                  <c:v>40426</c:v>
                </c:pt>
                <c:pt idx="97">
                  <c:v>40427</c:v>
                </c:pt>
                <c:pt idx="98">
                  <c:v>40428</c:v>
                </c:pt>
                <c:pt idx="99">
                  <c:v>40429</c:v>
                </c:pt>
                <c:pt idx="100">
                  <c:v>40430</c:v>
                </c:pt>
                <c:pt idx="101">
                  <c:v>40431</c:v>
                </c:pt>
                <c:pt idx="102">
                  <c:v>40432</c:v>
                </c:pt>
                <c:pt idx="103">
                  <c:v>40433</c:v>
                </c:pt>
                <c:pt idx="104">
                  <c:v>40434</c:v>
                </c:pt>
                <c:pt idx="105">
                  <c:v>40435</c:v>
                </c:pt>
                <c:pt idx="106">
                  <c:v>40436</c:v>
                </c:pt>
                <c:pt idx="107">
                  <c:v>40437</c:v>
                </c:pt>
                <c:pt idx="108">
                  <c:v>40438</c:v>
                </c:pt>
                <c:pt idx="109">
                  <c:v>40439</c:v>
                </c:pt>
                <c:pt idx="110">
                  <c:v>40440</c:v>
                </c:pt>
                <c:pt idx="111">
                  <c:v>40441</c:v>
                </c:pt>
                <c:pt idx="112">
                  <c:v>40442</c:v>
                </c:pt>
                <c:pt idx="113">
                  <c:v>40443</c:v>
                </c:pt>
                <c:pt idx="114">
                  <c:v>40444</c:v>
                </c:pt>
                <c:pt idx="115">
                  <c:v>40445</c:v>
                </c:pt>
                <c:pt idx="116">
                  <c:v>40446</c:v>
                </c:pt>
                <c:pt idx="117">
                  <c:v>40447</c:v>
                </c:pt>
                <c:pt idx="118">
                  <c:v>40448</c:v>
                </c:pt>
                <c:pt idx="119">
                  <c:v>40449</c:v>
                </c:pt>
                <c:pt idx="120">
                  <c:v>40450</c:v>
                </c:pt>
                <c:pt idx="121">
                  <c:v>40451</c:v>
                </c:pt>
                <c:pt idx="122">
                  <c:v>40452</c:v>
                </c:pt>
                <c:pt idx="123">
                  <c:v>40453</c:v>
                </c:pt>
                <c:pt idx="124">
                  <c:v>40454</c:v>
                </c:pt>
                <c:pt idx="125">
                  <c:v>40455</c:v>
                </c:pt>
                <c:pt idx="126">
                  <c:v>40456</c:v>
                </c:pt>
                <c:pt idx="127">
                  <c:v>40457</c:v>
                </c:pt>
                <c:pt idx="128">
                  <c:v>40458</c:v>
                </c:pt>
                <c:pt idx="129">
                  <c:v>40459</c:v>
                </c:pt>
                <c:pt idx="130">
                  <c:v>40460</c:v>
                </c:pt>
                <c:pt idx="131">
                  <c:v>40461</c:v>
                </c:pt>
                <c:pt idx="132">
                  <c:v>40462</c:v>
                </c:pt>
                <c:pt idx="133">
                  <c:v>40463</c:v>
                </c:pt>
                <c:pt idx="134">
                  <c:v>40464</c:v>
                </c:pt>
                <c:pt idx="135">
                  <c:v>40465</c:v>
                </c:pt>
                <c:pt idx="136">
                  <c:v>40466</c:v>
                </c:pt>
                <c:pt idx="137">
                  <c:v>40467</c:v>
                </c:pt>
                <c:pt idx="138">
                  <c:v>40468</c:v>
                </c:pt>
                <c:pt idx="139">
                  <c:v>40469</c:v>
                </c:pt>
                <c:pt idx="140">
                  <c:v>40470</c:v>
                </c:pt>
                <c:pt idx="141">
                  <c:v>40471</c:v>
                </c:pt>
                <c:pt idx="142">
                  <c:v>40472</c:v>
                </c:pt>
                <c:pt idx="143">
                  <c:v>40473</c:v>
                </c:pt>
                <c:pt idx="144">
                  <c:v>40474</c:v>
                </c:pt>
                <c:pt idx="145">
                  <c:v>40475</c:v>
                </c:pt>
                <c:pt idx="146">
                  <c:v>40476</c:v>
                </c:pt>
              </c:numCache>
            </c:numRef>
          </c:cat>
          <c:val>
            <c:numRef>
              <c:f>'Aeartion Log'!$D$12:$D$158</c:f>
              <c:numCache>
                <c:formatCode>General</c:formatCode>
                <c:ptCount val="147"/>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6</c:v>
                </c:pt>
                <c:pt idx="111">
                  <c:v>6</c:v>
                </c:pt>
                <c:pt idx="112">
                  <c:v>6</c:v>
                </c:pt>
                <c:pt idx="113">
                  <c:v>6</c:v>
                </c:pt>
                <c:pt idx="114">
                  <c:v>6</c:v>
                </c:pt>
                <c:pt idx="115">
                  <c:v>6</c:v>
                </c:pt>
                <c:pt idx="116">
                  <c:v>6</c:v>
                </c:pt>
                <c:pt idx="117">
                  <c:v>6</c:v>
                </c:pt>
                <c:pt idx="118">
                  <c:v>6</c:v>
                </c:pt>
                <c:pt idx="119">
                  <c:v>6</c:v>
                </c:pt>
                <c:pt idx="120">
                  <c:v>6</c:v>
                </c:pt>
                <c:pt idx="121">
                  <c:v>6</c:v>
                </c:pt>
                <c:pt idx="122">
                  <c:v>6</c:v>
                </c:pt>
                <c:pt idx="123">
                  <c:v>6</c:v>
                </c:pt>
                <c:pt idx="124">
                  <c:v>6</c:v>
                </c:pt>
                <c:pt idx="125">
                  <c:v>6</c:v>
                </c:pt>
                <c:pt idx="126">
                  <c:v>6</c:v>
                </c:pt>
                <c:pt idx="127">
                  <c:v>6</c:v>
                </c:pt>
                <c:pt idx="128">
                  <c:v>6</c:v>
                </c:pt>
                <c:pt idx="129">
                  <c:v>6</c:v>
                </c:pt>
                <c:pt idx="130">
                  <c:v>6</c:v>
                </c:pt>
                <c:pt idx="131">
                  <c:v>6</c:v>
                </c:pt>
                <c:pt idx="132">
                  <c:v>6</c:v>
                </c:pt>
                <c:pt idx="133">
                  <c:v>6</c:v>
                </c:pt>
                <c:pt idx="134">
                  <c:v>6</c:v>
                </c:pt>
                <c:pt idx="135">
                  <c:v>6</c:v>
                </c:pt>
                <c:pt idx="136">
                  <c:v>6</c:v>
                </c:pt>
                <c:pt idx="137">
                  <c:v>6</c:v>
                </c:pt>
                <c:pt idx="138">
                  <c:v>6</c:v>
                </c:pt>
                <c:pt idx="139">
                  <c:v>6</c:v>
                </c:pt>
                <c:pt idx="140">
                  <c:v>6</c:v>
                </c:pt>
                <c:pt idx="141">
                  <c:v>6</c:v>
                </c:pt>
                <c:pt idx="142">
                  <c:v>6</c:v>
                </c:pt>
                <c:pt idx="143">
                  <c:v>6</c:v>
                </c:pt>
                <c:pt idx="144">
                  <c:v>6</c:v>
                </c:pt>
                <c:pt idx="145">
                  <c:v>6</c:v>
                </c:pt>
                <c:pt idx="146">
                  <c:v>6</c:v>
                </c:pt>
              </c:numCache>
            </c:numRef>
          </c:val>
          <c:smooth val="0"/>
          <c:extLst>
            <c:ext xmlns:c16="http://schemas.microsoft.com/office/drawing/2014/chart" uri="{C3380CC4-5D6E-409C-BE32-E72D297353CC}">
              <c16:uniqueId val="{00000002-154A-48F2-AB31-4591FCFB0CEF}"/>
            </c:ext>
          </c:extLst>
        </c:ser>
        <c:dLbls>
          <c:showLegendKey val="0"/>
          <c:showVal val="0"/>
          <c:showCatName val="0"/>
          <c:showSerName val="0"/>
          <c:showPercent val="0"/>
          <c:showBubbleSize val="0"/>
        </c:dLbls>
        <c:marker val="1"/>
        <c:smooth val="0"/>
        <c:axId val="147157760"/>
        <c:axId val="147151488"/>
      </c:lineChart>
      <c:dateAx>
        <c:axId val="147118720"/>
        <c:scaling>
          <c:orientation val="minMax"/>
        </c:scaling>
        <c:delete val="0"/>
        <c:axPos val="t"/>
        <c:majorGridlines/>
        <c:numFmt formatCode="d\-mmm\-yy" sourceLinked="1"/>
        <c:majorTickMark val="out"/>
        <c:minorTickMark val="none"/>
        <c:tickLblPos val="nextTo"/>
        <c:crossAx val="147149568"/>
        <c:crosses val="autoZero"/>
        <c:auto val="1"/>
        <c:lblOffset val="100"/>
        <c:baseTimeUnit val="days"/>
      </c:dateAx>
      <c:valAx>
        <c:axId val="147149568"/>
        <c:scaling>
          <c:orientation val="maxMin"/>
          <c:max val="1"/>
          <c:min val="0"/>
        </c:scaling>
        <c:delete val="0"/>
        <c:axPos val="l"/>
        <c:majorGridlines/>
        <c:title>
          <c:tx>
            <c:rich>
              <a:bodyPr rot="-5400000" vert="horz"/>
              <a:lstStyle/>
              <a:p>
                <a:pPr>
                  <a:defRPr/>
                </a:pPr>
                <a:r>
                  <a:rPr lang="en-US"/>
                  <a:t>0= Aeration On/ 1= Aeration Off</a:t>
                </a:r>
              </a:p>
            </c:rich>
          </c:tx>
          <c:overlay val="0"/>
        </c:title>
        <c:numFmt formatCode="@" sourceLinked="0"/>
        <c:majorTickMark val="out"/>
        <c:minorTickMark val="none"/>
        <c:tickLblPos val="nextTo"/>
        <c:crossAx val="147118720"/>
        <c:crosses val="autoZero"/>
        <c:crossBetween val="between"/>
        <c:majorUnit val="1"/>
        <c:minorUnit val="0.5"/>
      </c:valAx>
      <c:valAx>
        <c:axId val="147151488"/>
        <c:scaling>
          <c:orientation val="minMax"/>
          <c:max val="10"/>
          <c:min val="5"/>
        </c:scaling>
        <c:delete val="0"/>
        <c:axPos val="r"/>
        <c:minorGridlines/>
        <c:title>
          <c:tx>
            <c:rich>
              <a:bodyPr rot="-5400000" vert="horz"/>
              <a:lstStyle/>
              <a:p>
                <a:pPr>
                  <a:defRPr/>
                </a:pPr>
                <a:r>
                  <a:rPr lang="en-US"/>
                  <a:t>Dissolved Oxygen mg/l</a:t>
                </a:r>
              </a:p>
            </c:rich>
          </c:tx>
          <c:overlay val="0"/>
        </c:title>
        <c:numFmt formatCode="#,##0.0" sourceLinked="0"/>
        <c:majorTickMark val="out"/>
        <c:minorTickMark val="none"/>
        <c:tickLblPos val="nextTo"/>
        <c:crossAx val="147157760"/>
        <c:crosses val="max"/>
        <c:crossBetween val="between"/>
        <c:majorUnit val="1"/>
        <c:minorUnit val="0.5"/>
      </c:valAx>
      <c:dateAx>
        <c:axId val="147157760"/>
        <c:scaling>
          <c:orientation val="minMax"/>
        </c:scaling>
        <c:delete val="1"/>
        <c:axPos val="b"/>
        <c:numFmt formatCode="d\-mmm\-yy" sourceLinked="1"/>
        <c:majorTickMark val="out"/>
        <c:minorTickMark val="none"/>
        <c:tickLblPos val="none"/>
        <c:crossAx val="147151488"/>
        <c:crosses val="autoZero"/>
        <c:auto val="1"/>
        <c:lblOffset val="100"/>
        <c:baseTimeUnit val="days"/>
      </c:date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t"/>
      <c:overlay val="0"/>
    </c:legend>
    <c:plotVisOnly val="1"/>
    <c:dispBlanksAs val="zero"/>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0921" l="0.70000000000000062" r="0.70000000000000062" t="0.75000000000000921" header="0.30000000000000032" footer="0.30000000000000032"/>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Flow</a:t>
            </a:r>
          </a:p>
        </c:rich>
      </c:tx>
      <c:overlay val="1"/>
    </c:title>
    <c:autoTitleDeleted val="0"/>
    <c:plotArea>
      <c:layout>
        <c:manualLayout>
          <c:layoutTarget val="inner"/>
          <c:xMode val="edge"/>
          <c:yMode val="edge"/>
          <c:x val="0.18256716584167348"/>
          <c:y val="0.19954870224555263"/>
          <c:w val="0.75604530866003794"/>
          <c:h val="0.52865959463401513"/>
        </c:manualLayout>
      </c:layout>
      <c:lineChart>
        <c:grouping val="standard"/>
        <c:varyColors val="0"/>
        <c:ser>
          <c:idx val="0"/>
          <c:order val="0"/>
          <c:cat>
            <c:numRef>
              <c:f>'Aeartion Log'!$A$66:$A$125</c:f>
              <c:numCache>
                <c:formatCode>d\-mmm\-yy</c:formatCode>
                <c:ptCount val="60"/>
                <c:pt idx="0">
                  <c:v>40384</c:v>
                </c:pt>
                <c:pt idx="1">
                  <c:v>40385</c:v>
                </c:pt>
                <c:pt idx="2">
                  <c:v>40386</c:v>
                </c:pt>
                <c:pt idx="3">
                  <c:v>40387</c:v>
                </c:pt>
                <c:pt idx="4">
                  <c:v>40388</c:v>
                </c:pt>
                <c:pt idx="5">
                  <c:v>40389</c:v>
                </c:pt>
                <c:pt idx="6">
                  <c:v>40390</c:v>
                </c:pt>
                <c:pt idx="7">
                  <c:v>40391</c:v>
                </c:pt>
                <c:pt idx="8">
                  <c:v>40392</c:v>
                </c:pt>
                <c:pt idx="9">
                  <c:v>40393</c:v>
                </c:pt>
                <c:pt idx="10">
                  <c:v>40394</c:v>
                </c:pt>
                <c:pt idx="11">
                  <c:v>40395</c:v>
                </c:pt>
                <c:pt idx="12">
                  <c:v>40396</c:v>
                </c:pt>
                <c:pt idx="13">
                  <c:v>40397</c:v>
                </c:pt>
                <c:pt idx="14">
                  <c:v>40398</c:v>
                </c:pt>
                <c:pt idx="15">
                  <c:v>40399</c:v>
                </c:pt>
                <c:pt idx="16">
                  <c:v>40400</c:v>
                </c:pt>
                <c:pt idx="17">
                  <c:v>40401</c:v>
                </c:pt>
                <c:pt idx="18">
                  <c:v>40402</c:v>
                </c:pt>
                <c:pt idx="19">
                  <c:v>40403</c:v>
                </c:pt>
                <c:pt idx="20">
                  <c:v>40404</c:v>
                </c:pt>
                <c:pt idx="21">
                  <c:v>40405</c:v>
                </c:pt>
                <c:pt idx="22">
                  <c:v>40406</c:v>
                </c:pt>
                <c:pt idx="23">
                  <c:v>40407</c:v>
                </c:pt>
                <c:pt idx="24">
                  <c:v>40408</c:v>
                </c:pt>
                <c:pt idx="25">
                  <c:v>40409</c:v>
                </c:pt>
                <c:pt idx="26">
                  <c:v>40410</c:v>
                </c:pt>
                <c:pt idx="27">
                  <c:v>40411</c:v>
                </c:pt>
                <c:pt idx="28">
                  <c:v>40412</c:v>
                </c:pt>
                <c:pt idx="29">
                  <c:v>40413</c:v>
                </c:pt>
                <c:pt idx="30">
                  <c:v>40414</c:v>
                </c:pt>
                <c:pt idx="31">
                  <c:v>40415</c:v>
                </c:pt>
                <c:pt idx="32">
                  <c:v>40416</c:v>
                </c:pt>
                <c:pt idx="33">
                  <c:v>40417</c:v>
                </c:pt>
                <c:pt idx="34">
                  <c:v>40418</c:v>
                </c:pt>
                <c:pt idx="35">
                  <c:v>40419</c:v>
                </c:pt>
                <c:pt idx="36">
                  <c:v>40420</c:v>
                </c:pt>
                <c:pt idx="37">
                  <c:v>40421</c:v>
                </c:pt>
                <c:pt idx="38">
                  <c:v>40422</c:v>
                </c:pt>
                <c:pt idx="39">
                  <c:v>40423</c:v>
                </c:pt>
                <c:pt idx="40">
                  <c:v>40424</c:v>
                </c:pt>
                <c:pt idx="41">
                  <c:v>40425</c:v>
                </c:pt>
                <c:pt idx="42">
                  <c:v>40426</c:v>
                </c:pt>
                <c:pt idx="43">
                  <c:v>40427</c:v>
                </c:pt>
                <c:pt idx="44">
                  <c:v>40428</c:v>
                </c:pt>
                <c:pt idx="45">
                  <c:v>40429</c:v>
                </c:pt>
                <c:pt idx="46">
                  <c:v>40430</c:v>
                </c:pt>
                <c:pt idx="47">
                  <c:v>40431</c:v>
                </c:pt>
                <c:pt idx="48">
                  <c:v>40432</c:v>
                </c:pt>
                <c:pt idx="49">
                  <c:v>40433</c:v>
                </c:pt>
                <c:pt idx="50">
                  <c:v>40434</c:v>
                </c:pt>
                <c:pt idx="51">
                  <c:v>40435</c:v>
                </c:pt>
                <c:pt idx="52">
                  <c:v>40436</c:v>
                </c:pt>
                <c:pt idx="53">
                  <c:v>40437</c:v>
                </c:pt>
                <c:pt idx="54">
                  <c:v>40438</c:v>
                </c:pt>
                <c:pt idx="55">
                  <c:v>40439</c:v>
                </c:pt>
                <c:pt idx="56">
                  <c:v>40440</c:v>
                </c:pt>
                <c:pt idx="57">
                  <c:v>40441</c:v>
                </c:pt>
                <c:pt idx="58">
                  <c:v>40442</c:v>
                </c:pt>
                <c:pt idx="59">
                  <c:v>40443</c:v>
                </c:pt>
              </c:numCache>
            </c:numRef>
          </c:cat>
          <c:val>
            <c:numRef>
              <c:f>'Aeartion Log'!$E$66:$E$125</c:f>
              <c:numCache>
                <c:formatCode>0</c:formatCode>
                <c:ptCount val="60"/>
                <c:pt idx="0">
                  <c:v>28.635416666666668</c:v>
                </c:pt>
                <c:pt idx="1">
                  <c:v>34.34375</c:v>
                </c:pt>
                <c:pt idx="2">
                  <c:v>28.989583333333332</c:v>
                </c:pt>
                <c:pt idx="3">
                  <c:v>21.197916666666668</c:v>
                </c:pt>
                <c:pt idx="4">
                  <c:v>18.833333333333332</c:v>
                </c:pt>
                <c:pt idx="5">
                  <c:v>14.947916666666666</c:v>
                </c:pt>
                <c:pt idx="6">
                  <c:v>14.239583333333334</c:v>
                </c:pt>
                <c:pt idx="7">
                  <c:v>13.197916666666666</c:v>
                </c:pt>
                <c:pt idx="8">
                  <c:v>13.604166666666666</c:v>
                </c:pt>
                <c:pt idx="9">
                  <c:v>11.177083333333337</c:v>
                </c:pt>
                <c:pt idx="10">
                  <c:v>10.95104166666666</c:v>
                </c:pt>
                <c:pt idx="11">
                  <c:v>10.675000000000002</c:v>
                </c:pt>
                <c:pt idx="12">
                  <c:v>11.105208333333332</c:v>
                </c:pt>
                <c:pt idx="13">
                  <c:v>13.65520833333334</c:v>
                </c:pt>
                <c:pt idx="14">
                  <c:v>26.53125</c:v>
                </c:pt>
                <c:pt idx="15">
                  <c:v>39.802083333333336</c:v>
                </c:pt>
                <c:pt idx="16">
                  <c:v>34.708333333333336</c:v>
                </c:pt>
                <c:pt idx="17">
                  <c:v>26.708333333333332</c:v>
                </c:pt>
                <c:pt idx="18">
                  <c:v>40.510416666666664</c:v>
                </c:pt>
                <c:pt idx="19">
                  <c:v>34.59375</c:v>
                </c:pt>
                <c:pt idx="20">
                  <c:v>28.3125</c:v>
                </c:pt>
                <c:pt idx="21">
                  <c:v>25.166666666666668</c:v>
                </c:pt>
                <c:pt idx="22">
                  <c:v>16.947916666666668</c:v>
                </c:pt>
                <c:pt idx="23">
                  <c:v>14.760416666666666</c:v>
                </c:pt>
                <c:pt idx="24">
                  <c:v>12.697916666666666</c:v>
                </c:pt>
                <c:pt idx="25">
                  <c:v>13.458333333333334</c:v>
                </c:pt>
                <c:pt idx="26">
                  <c:v>12.135416666666666</c:v>
                </c:pt>
                <c:pt idx="27">
                  <c:v>9.3708333333333336</c:v>
                </c:pt>
                <c:pt idx="28">
                  <c:v>7.0750000000000091</c:v>
                </c:pt>
                <c:pt idx="29">
                  <c:v>8.4375000000000036</c:v>
                </c:pt>
                <c:pt idx="30">
                  <c:v>7.6052083333333398</c:v>
                </c:pt>
                <c:pt idx="31">
                  <c:v>7.0218750000000023</c:v>
                </c:pt>
                <c:pt idx="32">
                  <c:v>6.6281250000000034</c:v>
                </c:pt>
                <c:pt idx="33">
                  <c:v>7.1624999999999979</c:v>
                </c:pt>
                <c:pt idx="34">
                  <c:v>8.3656250000000032</c:v>
                </c:pt>
                <c:pt idx="35">
                  <c:v>8.3531249999999968</c:v>
                </c:pt>
                <c:pt idx="36">
                  <c:v>6.5937500000000027</c:v>
                </c:pt>
                <c:pt idx="37">
                  <c:v>10.765624999999998</c:v>
                </c:pt>
                <c:pt idx="38">
                  <c:v>10.123958333333334</c:v>
                </c:pt>
                <c:pt idx="39">
                  <c:v>6.2416666666666769</c:v>
                </c:pt>
                <c:pt idx="40">
                  <c:v>6.5822916666666664</c:v>
                </c:pt>
                <c:pt idx="41">
                  <c:v>6.387500000000002</c:v>
                </c:pt>
                <c:pt idx="42">
                  <c:v>5.9802083333333407</c:v>
                </c:pt>
                <c:pt idx="43">
                  <c:v>5.6000000000000094</c:v>
                </c:pt>
                <c:pt idx="44">
                  <c:v>5.6520833333333416</c:v>
                </c:pt>
                <c:pt idx="45">
                  <c:v>7.728125000000003</c:v>
                </c:pt>
                <c:pt idx="46">
                  <c:v>7.0062499999999979</c:v>
                </c:pt>
                <c:pt idx="47">
                  <c:v>5.6333333333333435</c:v>
                </c:pt>
                <c:pt idx="48">
                  <c:v>5.6000000000000094</c:v>
                </c:pt>
                <c:pt idx="49">
                  <c:v>5.6000000000000094</c:v>
                </c:pt>
                <c:pt idx="50">
                  <c:v>6.0968750000000016</c:v>
                </c:pt>
                <c:pt idx="51">
                  <c:v>5.6500000000000101</c:v>
                </c:pt>
                <c:pt idx="52">
                  <c:v>5.3187500000000076</c:v>
                </c:pt>
                <c:pt idx="53">
                  <c:v>5.3000000000000078</c:v>
                </c:pt>
                <c:pt idx="54">
                  <c:v>5.3000000000000078</c:v>
                </c:pt>
                <c:pt idx="55">
                  <c:v>5.3000000000000078</c:v>
                </c:pt>
                <c:pt idx="56">
                  <c:v>5.3000000000000078</c:v>
                </c:pt>
                <c:pt idx="57">
                  <c:v>5.6812500000000021</c:v>
                </c:pt>
                <c:pt idx="58">
                  <c:v>6.4083333333333448</c:v>
                </c:pt>
                <c:pt idx="59">
                  <c:v>6.4312500000000021</c:v>
                </c:pt>
              </c:numCache>
            </c:numRef>
          </c:val>
          <c:smooth val="0"/>
          <c:extLst>
            <c:ext xmlns:c16="http://schemas.microsoft.com/office/drawing/2014/chart" uri="{C3380CC4-5D6E-409C-BE32-E72D297353CC}">
              <c16:uniqueId val="{00000000-17FD-494C-ABE1-8317CAD353C4}"/>
            </c:ext>
          </c:extLst>
        </c:ser>
        <c:dLbls>
          <c:showLegendKey val="0"/>
          <c:showVal val="0"/>
          <c:showCatName val="0"/>
          <c:showSerName val="0"/>
          <c:showPercent val="0"/>
          <c:showBubbleSize val="0"/>
        </c:dLbls>
        <c:marker val="1"/>
        <c:smooth val="0"/>
        <c:axId val="147108224"/>
        <c:axId val="147109760"/>
      </c:lineChart>
      <c:dateAx>
        <c:axId val="147108224"/>
        <c:scaling>
          <c:orientation val="minMax"/>
        </c:scaling>
        <c:delete val="0"/>
        <c:axPos val="b"/>
        <c:numFmt formatCode="d\-mmm\-yy" sourceLinked="1"/>
        <c:majorTickMark val="out"/>
        <c:minorTickMark val="none"/>
        <c:tickLblPos val="nextTo"/>
        <c:crossAx val="147109760"/>
        <c:crosses val="autoZero"/>
        <c:auto val="1"/>
        <c:lblOffset val="100"/>
        <c:baseTimeUnit val="days"/>
      </c:dateAx>
      <c:valAx>
        <c:axId val="147109760"/>
        <c:scaling>
          <c:orientation val="minMax"/>
        </c:scaling>
        <c:delete val="0"/>
        <c:axPos val="l"/>
        <c:majorGridlines/>
        <c:title>
          <c:tx>
            <c:rich>
              <a:bodyPr rot="-5400000" vert="horz"/>
              <a:lstStyle/>
              <a:p>
                <a:pPr>
                  <a:defRPr/>
                </a:pPr>
                <a:r>
                  <a:rPr lang="en-US"/>
                  <a:t>Flow CFS</a:t>
                </a:r>
              </a:p>
            </c:rich>
          </c:tx>
          <c:overlay val="0"/>
        </c:title>
        <c:numFmt formatCode="0" sourceLinked="1"/>
        <c:majorTickMark val="out"/>
        <c:minorTickMark val="none"/>
        <c:tickLblPos val="nextTo"/>
        <c:crossAx val="147108224"/>
        <c:crosses val="autoZero"/>
        <c:crossBetween val="between"/>
      </c:valAx>
    </c:plotArea>
    <c:plotVisOnly val="1"/>
    <c:dispBlanksAs val="gap"/>
    <c:showDLblsOverMax val="0"/>
  </c:chart>
  <c:printSettings>
    <c:headerFooter/>
    <c:pageMargins b="0.75000000000000921" l="0.70000000000000062" r="0.70000000000000062" t="0.75000000000000921"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Flow Estimates 2010</a:t>
            </a:r>
          </a:p>
        </c:rich>
      </c:tx>
      <c:layout>
        <c:manualLayout>
          <c:xMode val="edge"/>
          <c:yMode val="edge"/>
          <c:x val="0.20272264768273829"/>
          <c:y val="6.1810154525386324E-2"/>
        </c:manualLayout>
      </c:layout>
      <c:overlay val="1"/>
    </c:title>
    <c:autoTitleDeleted val="0"/>
    <c:plotArea>
      <c:layout>
        <c:manualLayout>
          <c:layoutTarget val="inner"/>
          <c:xMode val="edge"/>
          <c:yMode val="edge"/>
          <c:x val="0.11275046794449498"/>
          <c:y val="5.1400554097404488E-2"/>
          <c:w val="0.85220524725245994"/>
          <c:h val="0.74082981349186283"/>
        </c:manualLayout>
      </c:layout>
      <c:lineChart>
        <c:grouping val="standard"/>
        <c:varyColors val="0"/>
        <c:ser>
          <c:idx val="0"/>
          <c:order val="0"/>
          <c:tx>
            <c:strRef>
              <c:f>'Kerr Swede'!$O$9</c:f>
              <c:strCache>
                <c:ptCount val="1"/>
                <c:pt idx="0">
                  <c:v>Site 52 - Confluence</c:v>
                </c:pt>
              </c:strCache>
            </c:strRef>
          </c:tx>
          <c:marker>
            <c:symbol val="none"/>
          </c:marker>
          <c:cat>
            <c:numRef>
              <c:f>'Kerr Swede'!$P$8:$W$8</c:f>
              <c:numCache>
                <c:formatCode>[$-409]d\-mmm;@</c:formatCode>
                <c:ptCount val="8"/>
                <c:pt idx="0">
                  <c:v>40323</c:v>
                </c:pt>
                <c:pt idx="1">
                  <c:v>40351</c:v>
                </c:pt>
                <c:pt idx="2">
                  <c:v>40379</c:v>
                </c:pt>
                <c:pt idx="3">
                  <c:v>40414</c:v>
                </c:pt>
                <c:pt idx="4">
                  <c:v>40449</c:v>
                </c:pt>
                <c:pt idx="5">
                  <c:v>40477</c:v>
                </c:pt>
                <c:pt idx="6">
                  <c:v>40497</c:v>
                </c:pt>
                <c:pt idx="7">
                  <c:v>40520</c:v>
                </c:pt>
              </c:numCache>
            </c:numRef>
          </c:cat>
          <c:val>
            <c:numRef>
              <c:f>'Kerr Swede'!$P$9:$W$9</c:f>
              <c:numCache>
                <c:formatCode>0.00</c:formatCode>
                <c:ptCount val="8"/>
                <c:pt idx="0">
                  <c:v>3</c:v>
                </c:pt>
                <c:pt idx="1">
                  <c:v>1.36</c:v>
                </c:pt>
                <c:pt idx="2">
                  <c:v>0.7</c:v>
                </c:pt>
                <c:pt idx="3">
                  <c:v>0.81</c:v>
                </c:pt>
                <c:pt idx="4">
                  <c:v>0.34</c:v>
                </c:pt>
                <c:pt idx="5">
                  <c:v>0.72</c:v>
                </c:pt>
                <c:pt idx="6">
                  <c:v>0.52</c:v>
                </c:pt>
                <c:pt idx="7">
                  <c:v>0.65</c:v>
                </c:pt>
              </c:numCache>
            </c:numRef>
          </c:val>
          <c:smooth val="0"/>
          <c:extLst>
            <c:ext xmlns:c16="http://schemas.microsoft.com/office/drawing/2014/chart" uri="{C3380CC4-5D6E-409C-BE32-E72D297353CC}">
              <c16:uniqueId val="{00000000-9BC0-4D12-B96A-981D1F4C5776}"/>
            </c:ext>
          </c:extLst>
        </c:ser>
        <c:ser>
          <c:idx val="1"/>
          <c:order val="1"/>
          <c:tx>
            <c:strRef>
              <c:f>'Kerr Swede'!$O$10</c:f>
              <c:strCache>
                <c:ptCount val="1"/>
                <c:pt idx="0">
                  <c:v>Site 53 - Riefenberg</c:v>
                </c:pt>
              </c:strCache>
            </c:strRef>
          </c:tx>
          <c:marker>
            <c:symbol val="none"/>
          </c:marker>
          <c:cat>
            <c:numRef>
              <c:f>'Kerr Swede'!$P$8:$W$8</c:f>
              <c:numCache>
                <c:formatCode>[$-409]d\-mmm;@</c:formatCode>
                <c:ptCount val="8"/>
                <c:pt idx="0">
                  <c:v>40323</c:v>
                </c:pt>
                <c:pt idx="1">
                  <c:v>40351</c:v>
                </c:pt>
                <c:pt idx="2">
                  <c:v>40379</c:v>
                </c:pt>
                <c:pt idx="3">
                  <c:v>40414</c:v>
                </c:pt>
                <c:pt idx="4">
                  <c:v>40449</c:v>
                </c:pt>
                <c:pt idx="5">
                  <c:v>40477</c:v>
                </c:pt>
                <c:pt idx="6">
                  <c:v>40497</c:v>
                </c:pt>
                <c:pt idx="7">
                  <c:v>40520</c:v>
                </c:pt>
              </c:numCache>
            </c:numRef>
          </c:cat>
          <c:val>
            <c:numRef>
              <c:f>'Kerr Swede'!$P$10:$W$10</c:f>
              <c:numCache>
                <c:formatCode>0.00</c:formatCode>
                <c:ptCount val="8"/>
                <c:pt idx="0">
                  <c:v>2.1</c:v>
                </c:pt>
                <c:pt idx="1">
                  <c:v>1.1499999999999999</c:v>
                </c:pt>
                <c:pt idx="2">
                  <c:v>0.44</c:v>
                </c:pt>
                <c:pt idx="3">
                  <c:v>0.71</c:v>
                </c:pt>
                <c:pt idx="4">
                  <c:v>0.32</c:v>
                </c:pt>
                <c:pt idx="5">
                  <c:v>0.69</c:v>
                </c:pt>
                <c:pt idx="6">
                  <c:v>0.43</c:v>
                </c:pt>
                <c:pt idx="7">
                  <c:v>0.6</c:v>
                </c:pt>
              </c:numCache>
            </c:numRef>
          </c:val>
          <c:smooth val="0"/>
          <c:extLst>
            <c:ext xmlns:c16="http://schemas.microsoft.com/office/drawing/2014/chart" uri="{C3380CC4-5D6E-409C-BE32-E72D297353CC}">
              <c16:uniqueId val="{00000001-9BC0-4D12-B96A-981D1F4C5776}"/>
            </c:ext>
          </c:extLst>
        </c:ser>
        <c:ser>
          <c:idx val="2"/>
          <c:order val="2"/>
          <c:tx>
            <c:strRef>
              <c:f>'Kerr Swede'!$O$11</c:f>
              <c:strCache>
                <c:ptCount val="1"/>
                <c:pt idx="0">
                  <c:v>Site 54 - Kerr</c:v>
                </c:pt>
              </c:strCache>
            </c:strRef>
          </c:tx>
          <c:marker>
            <c:symbol val="none"/>
          </c:marker>
          <c:cat>
            <c:numRef>
              <c:f>'Kerr Swede'!$P$8:$W$8</c:f>
              <c:numCache>
                <c:formatCode>[$-409]d\-mmm;@</c:formatCode>
                <c:ptCount val="8"/>
                <c:pt idx="0">
                  <c:v>40323</c:v>
                </c:pt>
                <c:pt idx="1">
                  <c:v>40351</c:v>
                </c:pt>
                <c:pt idx="2">
                  <c:v>40379</c:v>
                </c:pt>
                <c:pt idx="3">
                  <c:v>40414</c:v>
                </c:pt>
                <c:pt idx="4">
                  <c:v>40449</c:v>
                </c:pt>
                <c:pt idx="5">
                  <c:v>40477</c:v>
                </c:pt>
                <c:pt idx="6">
                  <c:v>40497</c:v>
                </c:pt>
                <c:pt idx="7">
                  <c:v>40520</c:v>
                </c:pt>
              </c:numCache>
            </c:numRef>
          </c:cat>
          <c:val>
            <c:numRef>
              <c:f>'Kerr Swede'!$P$11:$W$11</c:f>
              <c:numCache>
                <c:formatCode>0.00</c:formatCode>
                <c:ptCount val="8"/>
                <c:pt idx="0">
                  <c:v>1.5</c:v>
                </c:pt>
                <c:pt idx="1">
                  <c:v>0.56999999999999995</c:v>
                </c:pt>
                <c:pt idx="2">
                  <c:v>0.21</c:v>
                </c:pt>
                <c:pt idx="3">
                  <c:v>0.7</c:v>
                </c:pt>
                <c:pt idx="4">
                  <c:v>0.3</c:v>
                </c:pt>
                <c:pt idx="5">
                  <c:v>0.32</c:v>
                </c:pt>
                <c:pt idx="6">
                  <c:v>0.42</c:v>
                </c:pt>
                <c:pt idx="7">
                  <c:v>0.42</c:v>
                </c:pt>
              </c:numCache>
            </c:numRef>
          </c:val>
          <c:smooth val="0"/>
          <c:extLst>
            <c:ext xmlns:c16="http://schemas.microsoft.com/office/drawing/2014/chart" uri="{C3380CC4-5D6E-409C-BE32-E72D297353CC}">
              <c16:uniqueId val="{00000002-9BC0-4D12-B96A-981D1F4C5776}"/>
            </c:ext>
          </c:extLst>
        </c:ser>
        <c:ser>
          <c:idx val="3"/>
          <c:order val="3"/>
          <c:tx>
            <c:strRef>
              <c:f>'Kerr Swede'!$O$12</c:f>
              <c:strCache>
                <c:ptCount val="1"/>
                <c:pt idx="0">
                  <c:v>Site 55 - Swede</c:v>
                </c:pt>
              </c:strCache>
            </c:strRef>
          </c:tx>
          <c:marker>
            <c:symbol val="none"/>
          </c:marker>
          <c:cat>
            <c:numRef>
              <c:f>'Kerr Swede'!$P$8:$W$8</c:f>
              <c:numCache>
                <c:formatCode>[$-409]d\-mmm;@</c:formatCode>
                <c:ptCount val="8"/>
                <c:pt idx="0">
                  <c:v>40323</c:v>
                </c:pt>
                <c:pt idx="1">
                  <c:v>40351</c:v>
                </c:pt>
                <c:pt idx="2">
                  <c:v>40379</c:v>
                </c:pt>
                <c:pt idx="3">
                  <c:v>40414</c:v>
                </c:pt>
                <c:pt idx="4">
                  <c:v>40449</c:v>
                </c:pt>
                <c:pt idx="5">
                  <c:v>40477</c:v>
                </c:pt>
                <c:pt idx="6">
                  <c:v>40497</c:v>
                </c:pt>
                <c:pt idx="7">
                  <c:v>40520</c:v>
                </c:pt>
              </c:numCache>
            </c:numRef>
          </c:cat>
          <c:val>
            <c:numRef>
              <c:f>'Kerr Swede'!$P$12:$W$12</c:f>
              <c:numCache>
                <c:formatCode>0.00</c:formatCode>
                <c:ptCount val="8"/>
                <c:pt idx="0">
                  <c:v>0.3</c:v>
                </c:pt>
                <c:pt idx="1">
                  <c:v>0.42</c:v>
                </c:pt>
                <c:pt idx="2">
                  <c:v>0.15</c:v>
                </c:pt>
                <c:pt idx="3">
                  <c:v>0.54</c:v>
                </c:pt>
                <c:pt idx="4">
                  <c:v>0.03</c:v>
                </c:pt>
                <c:pt idx="5">
                  <c:v>0.14000000000000001</c:v>
                </c:pt>
                <c:pt idx="6">
                  <c:v>0.1</c:v>
                </c:pt>
                <c:pt idx="7">
                  <c:v>0.3</c:v>
                </c:pt>
              </c:numCache>
            </c:numRef>
          </c:val>
          <c:smooth val="0"/>
          <c:extLst>
            <c:ext xmlns:c16="http://schemas.microsoft.com/office/drawing/2014/chart" uri="{C3380CC4-5D6E-409C-BE32-E72D297353CC}">
              <c16:uniqueId val="{00000003-9BC0-4D12-B96A-981D1F4C5776}"/>
            </c:ext>
          </c:extLst>
        </c:ser>
        <c:dLbls>
          <c:showLegendKey val="0"/>
          <c:showVal val="0"/>
          <c:showCatName val="0"/>
          <c:showSerName val="0"/>
          <c:showPercent val="0"/>
          <c:showBubbleSize val="0"/>
        </c:dLbls>
        <c:smooth val="0"/>
        <c:axId val="148087168"/>
        <c:axId val="148088704"/>
      </c:lineChart>
      <c:dateAx>
        <c:axId val="148087168"/>
        <c:scaling>
          <c:orientation val="minMax"/>
        </c:scaling>
        <c:delete val="0"/>
        <c:axPos val="b"/>
        <c:numFmt formatCode="[$-409]mmmmm;@" sourceLinked="0"/>
        <c:majorTickMark val="out"/>
        <c:minorTickMark val="none"/>
        <c:tickLblPos val="nextTo"/>
        <c:crossAx val="148088704"/>
        <c:crosses val="autoZero"/>
        <c:auto val="1"/>
        <c:lblOffset val="100"/>
        <c:baseTimeUnit val="days"/>
        <c:majorUnit val="1"/>
        <c:majorTimeUnit val="months"/>
        <c:minorUnit val="15"/>
        <c:minorTimeUnit val="days"/>
      </c:dateAx>
      <c:valAx>
        <c:axId val="148088704"/>
        <c:scaling>
          <c:orientation val="minMax"/>
        </c:scaling>
        <c:delete val="0"/>
        <c:axPos val="l"/>
        <c:majorGridlines/>
        <c:minorGridlines/>
        <c:title>
          <c:tx>
            <c:rich>
              <a:bodyPr rot="0" vert="wordArtVert"/>
              <a:lstStyle/>
              <a:p>
                <a:pPr>
                  <a:defRPr/>
                </a:pPr>
                <a:r>
                  <a:rPr lang="en-US"/>
                  <a:t>Flow CFS</a:t>
                </a:r>
              </a:p>
            </c:rich>
          </c:tx>
          <c:overlay val="0"/>
        </c:title>
        <c:numFmt formatCode="0.00" sourceLinked="1"/>
        <c:majorTickMark val="out"/>
        <c:minorTickMark val="none"/>
        <c:tickLblPos val="nextTo"/>
        <c:crossAx val="148087168"/>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r"/>
      <c:layout>
        <c:manualLayout>
          <c:xMode val="edge"/>
          <c:yMode val="edge"/>
          <c:x val="0.66505680796749955"/>
          <c:y val="5.530896386296083E-2"/>
          <c:w val="0.29505976095617531"/>
          <c:h val="0.2774737098260081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accent1"/>
          </a:solidFill>
        </a:ln>
      </c:spPr>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'Kerr Swede'!$Z$4:$AG$4</c:f>
              <c:strCache>
                <c:ptCount val="1"/>
                <c:pt idx="0">
                  <c:v>5/25/2010</c:v>
                </c:pt>
              </c:strCache>
            </c:strRef>
          </c:tx>
          <c:invertIfNegative val="0"/>
          <c:cat>
            <c:strRef>
              <c:f>'Kerr Swede'!$Z$5:$Z$8</c:f>
              <c:strCache>
                <c:ptCount val="4"/>
                <c:pt idx="0">
                  <c:v>Site 52 - Confluence</c:v>
                </c:pt>
                <c:pt idx="1">
                  <c:v>Site 53 - Riefenberg</c:v>
                </c:pt>
                <c:pt idx="2">
                  <c:v>Site 54 - Kerr</c:v>
                </c:pt>
                <c:pt idx="3">
                  <c:v>Site 55 - Swede</c:v>
                </c:pt>
              </c:strCache>
            </c:strRef>
          </c:cat>
          <c:val>
            <c:numRef>
              <c:f>'Kerr Swede'!$AG$5:$AG$8</c:f>
              <c:numCache>
                <c:formatCode>General</c:formatCode>
                <c:ptCount val="4"/>
                <c:pt idx="0">
                  <c:v>10</c:v>
                </c:pt>
                <c:pt idx="1">
                  <c:v>6</c:v>
                </c:pt>
                <c:pt idx="2">
                  <c:v>5</c:v>
                </c:pt>
                <c:pt idx="3">
                  <c:v>12</c:v>
                </c:pt>
              </c:numCache>
            </c:numRef>
          </c:val>
          <c:extLst>
            <c:ext xmlns:c16="http://schemas.microsoft.com/office/drawing/2014/chart" uri="{C3380CC4-5D6E-409C-BE32-E72D297353CC}">
              <c16:uniqueId val="{00000000-FDDB-42CA-9EA1-01BB962B916D}"/>
            </c:ext>
          </c:extLst>
        </c:ser>
        <c:ser>
          <c:idx val="1"/>
          <c:order val="1"/>
          <c:tx>
            <c:strRef>
              <c:f>'Kerr Swede'!$Z$9:$AG$9</c:f>
              <c:strCache>
                <c:ptCount val="1"/>
                <c:pt idx="0">
                  <c:v>6/22/2010</c:v>
                </c:pt>
              </c:strCache>
            </c:strRef>
          </c:tx>
          <c:invertIfNegative val="0"/>
          <c:val>
            <c:numRef>
              <c:f>'Kerr Swede'!$AJ$10:$AJ$13</c:f>
              <c:numCache>
                <c:formatCode>General</c:formatCode>
                <c:ptCount val="4"/>
                <c:pt idx="0">
                  <c:v>40</c:v>
                </c:pt>
                <c:pt idx="1">
                  <c:v>40</c:v>
                </c:pt>
                <c:pt idx="2" formatCode="0">
                  <c:v>82.704292512541329</c:v>
                </c:pt>
                <c:pt idx="3">
                  <c:v>38</c:v>
                </c:pt>
              </c:numCache>
            </c:numRef>
          </c:val>
          <c:extLst>
            <c:ext xmlns:c16="http://schemas.microsoft.com/office/drawing/2014/chart" uri="{C3380CC4-5D6E-409C-BE32-E72D297353CC}">
              <c16:uniqueId val="{00000001-FDDB-42CA-9EA1-01BB962B916D}"/>
            </c:ext>
          </c:extLst>
        </c:ser>
        <c:ser>
          <c:idx val="2"/>
          <c:order val="2"/>
          <c:tx>
            <c:strRef>
              <c:f>'Kerr Swede'!$Z$14:$AG$14</c:f>
              <c:strCache>
                <c:ptCount val="1"/>
                <c:pt idx="0">
                  <c:v>7/20/2010</c:v>
                </c:pt>
              </c:strCache>
            </c:strRef>
          </c:tx>
          <c:invertIfNegative val="0"/>
          <c:val>
            <c:numRef>
              <c:f>'Kerr Swede'!$AJ$15:$AJ$18</c:f>
              <c:numCache>
                <c:formatCode>0</c:formatCode>
                <c:ptCount val="4"/>
                <c:pt idx="0">
                  <c:v>101.19288512538814</c:v>
                </c:pt>
                <c:pt idx="1">
                  <c:v>87.635609200826579</c:v>
                </c:pt>
                <c:pt idx="2">
                  <c:v>189.31455305918772</c:v>
                </c:pt>
                <c:pt idx="3">
                  <c:v>50.596442562694072</c:v>
                </c:pt>
              </c:numCache>
            </c:numRef>
          </c:val>
          <c:extLst>
            <c:ext xmlns:c16="http://schemas.microsoft.com/office/drawing/2014/chart" uri="{C3380CC4-5D6E-409C-BE32-E72D297353CC}">
              <c16:uniqueId val="{00000002-FDDB-42CA-9EA1-01BB962B916D}"/>
            </c:ext>
          </c:extLst>
        </c:ser>
        <c:ser>
          <c:idx val="3"/>
          <c:order val="3"/>
          <c:tx>
            <c:strRef>
              <c:f>'Kerr Swede'!$Z$19:$AG$19</c:f>
              <c:strCache>
                <c:ptCount val="1"/>
                <c:pt idx="0">
                  <c:v>8/24/2010</c:v>
                </c:pt>
              </c:strCache>
            </c:strRef>
          </c:tx>
          <c:invertIfNegative val="0"/>
          <c:val>
            <c:numRef>
              <c:f>'Kerr Swede'!$AG$20:$AG$23</c:f>
              <c:numCache>
                <c:formatCode>General</c:formatCode>
                <c:ptCount val="4"/>
                <c:pt idx="0">
                  <c:v>52</c:v>
                </c:pt>
                <c:pt idx="1">
                  <c:v>236</c:v>
                </c:pt>
                <c:pt idx="2">
                  <c:v>32</c:v>
                </c:pt>
                <c:pt idx="3">
                  <c:v>36</c:v>
                </c:pt>
              </c:numCache>
            </c:numRef>
          </c:val>
          <c:extLst>
            <c:ext xmlns:c16="http://schemas.microsoft.com/office/drawing/2014/chart" uri="{C3380CC4-5D6E-409C-BE32-E72D297353CC}">
              <c16:uniqueId val="{00000003-FDDB-42CA-9EA1-01BB962B916D}"/>
            </c:ext>
          </c:extLst>
        </c:ser>
        <c:ser>
          <c:idx val="4"/>
          <c:order val="4"/>
          <c:tx>
            <c:strRef>
              <c:f>'Kerr Swede'!$Z$24:$AG$24</c:f>
              <c:strCache>
                <c:ptCount val="1"/>
                <c:pt idx="0">
                  <c:v>9/28/2010</c:v>
                </c:pt>
              </c:strCache>
            </c:strRef>
          </c:tx>
          <c:invertIfNegative val="0"/>
          <c:val>
            <c:numRef>
              <c:f>'Kerr Swede'!$AG$25:$AG$28</c:f>
              <c:numCache>
                <c:formatCode>General</c:formatCode>
                <c:ptCount val="4"/>
                <c:pt idx="0">
                  <c:v>16</c:v>
                </c:pt>
                <c:pt idx="1">
                  <c:v>16</c:v>
                </c:pt>
                <c:pt idx="2">
                  <c:v>20</c:v>
                </c:pt>
                <c:pt idx="3">
                  <c:v>12</c:v>
                </c:pt>
              </c:numCache>
            </c:numRef>
          </c:val>
          <c:extLst>
            <c:ext xmlns:c16="http://schemas.microsoft.com/office/drawing/2014/chart" uri="{C3380CC4-5D6E-409C-BE32-E72D297353CC}">
              <c16:uniqueId val="{00000004-FDDB-42CA-9EA1-01BB962B916D}"/>
            </c:ext>
          </c:extLst>
        </c:ser>
        <c:ser>
          <c:idx val="5"/>
          <c:order val="5"/>
          <c:tx>
            <c:strRef>
              <c:f>'Kerr Swede'!$Z$29:$AG$29</c:f>
              <c:strCache>
                <c:ptCount val="1"/>
                <c:pt idx="0">
                  <c:v>10/26/2010</c:v>
                </c:pt>
              </c:strCache>
            </c:strRef>
          </c:tx>
          <c:invertIfNegative val="0"/>
          <c:val>
            <c:numRef>
              <c:f>'Kerr Swede'!$AG$30:$AG$33</c:f>
              <c:numCache>
                <c:formatCode>General</c:formatCode>
                <c:ptCount val="4"/>
                <c:pt idx="0">
                  <c:v>2</c:v>
                </c:pt>
                <c:pt idx="1">
                  <c:v>4</c:v>
                </c:pt>
                <c:pt idx="2">
                  <c:v>2</c:v>
                </c:pt>
                <c:pt idx="3">
                  <c:v>4</c:v>
                </c:pt>
              </c:numCache>
            </c:numRef>
          </c:val>
          <c:extLst>
            <c:ext xmlns:c16="http://schemas.microsoft.com/office/drawing/2014/chart" uri="{C3380CC4-5D6E-409C-BE32-E72D297353CC}">
              <c16:uniqueId val="{00000005-FDDB-42CA-9EA1-01BB962B916D}"/>
            </c:ext>
          </c:extLst>
        </c:ser>
        <c:ser>
          <c:idx val="6"/>
          <c:order val="6"/>
          <c:tx>
            <c:strRef>
              <c:f>'Kerr Swede'!$Z$34:$AG$34</c:f>
              <c:strCache>
                <c:ptCount val="1"/>
                <c:pt idx="0">
                  <c:v>11/16/2010</c:v>
                </c:pt>
              </c:strCache>
            </c:strRef>
          </c:tx>
          <c:invertIfNegative val="0"/>
          <c:val>
            <c:numRef>
              <c:f>'Kerr Swede'!$AG$35:$AG$38</c:f>
              <c:numCache>
                <c:formatCode>General</c:formatCode>
                <c:ptCount val="4"/>
                <c:pt idx="0">
                  <c:v>1</c:v>
                </c:pt>
                <c:pt idx="1">
                  <c:v>1</c:v>
                </c:pt>
                <c:pt idx="2">
                  <c:v>3</c:v>
                </c:pt>
                <c:pt idx="3">
                  <c:v>1</c:v>
                </c:pt>
              </c:numCache>
            </c:numRef>
          </c:val>
          <c:extLst>
            <c:ext xmlns:c16="http://schemas.microsoft.com/office/drawing/2014/chart" uri="{C3380CC4-5D6E-409C-BE32-E72D297353CC}">
              <c16:uniqueId val="{00000006-FDDB-42CA-9EA1-01BB962B916D}"/>
            </c:ext>
          </c:extLst>
        </c:ser>
        <c:ser>
          <c:idx val="7"/>
          <c:order val="7"/>
          <c:tx>
            <c:strRef>
              <c:f>'Kerr Swede'!$Z$39:$AG$39</c:f>
              <c:strCache>
                <c:ptCount val="1"/>
                <c:pt idx="0">
                  <c:v>12/8/2010</c:v>
                </c:pt>
              </c:strCache>
            </c:strRef>
          </c:tx>
          <c:invertIfNegative val="0"/>
          <c:val>
            <c:numRef>
              <c:f>'Kerr Swede'!$AG$40:$AG$43</c:f>
              <c:numCache>
                <c:formatCode>General</c:formatCode>
                <c:ptCount val="4"/>
                <c:pt idx="0">
                  <c:v>2</c:v>
                </c:pt>
                <c:pt idx="1">
                  <c:v>2</c:v>
                </c:pt>
                <c:pt idx="2">
                  <c:v>11</c:v>
                </c:pt>
                <c:pt idx="3">
                  <c:v>6</c:v>
                </c:pt>
              </c:numCache>
            </c:numRef>
          </c:val>
          <c:extLst>
            <c:ext xmlns:c16="http://schemas.microsoft.com/office/drawing/2014/chart" uri="{C3380CC4-5D6E-409C-BE32-E72D297353CC}">
              <c16:uniqueId val="{00000007-FDDB-42CA-9EA1-01BB962B916D}"/>
            </c:ext>
          </c:extLst>
        </c:ser>
        <c:dLbls>
          <c:showLegendKey val="0"/>
          <c:showVal val="0"/>
          <c:showCatName val="0"/>
          <c:showSerName val="0"/>
          <c:showPercent val="0"/>
          <c:showBubbleSize val="0"/>
        </c:dLbls>
        <c:gapWidth val="150"/>
        <c:axId val="148741504"/>
        <c:axId val="148751488"/>
      </c:barChart>
      <c:catAx>
        <c:axId val="148741504"/>
        <c:scaling>
          <c:orientation val="minMax"/>
        </c:scaling>
        <c:delete val="0"/>
        <c:axPos val="b"/>
        <c:numFmt formatCode="General" sourceLinked="0"/>
        <c:majorTickMark val="out"/>
        <c:minorTickMark val="none"/>
        <c:tickLblPos val="nextTo"/>
        <c:crossAx val="148751488"/>
        <c:crosses val="autoZero"/>
        <c:auto val="1"/>
        <c:lblAlgn val="ctr"/>
        <c:lblOffset val="100"/>
        <c:noMultiLvlLbl val="0"/>
      </c:catAx>
      <c:valAx>
        <c:axId val="148751488"/>
        <c:scaling>
          <c:orientation val="minMax"/>
        </c:scaling>
        <c:delete val="0"/>
        <c:axPos val="l"/>
        <c:majorGridlines/>
        <c:title>
          <c:tx>
            <c:rich>
              <a:bodyPr rot="-5400000" vert="horz"/>
              <a:lstStyle/>
              <a:p>
                <a:pPr>
                  <a:defRPr/>
                </a:pPr>
                <a:r>
                  <a:rPr lang="en-US"/>
                  <a:t>E. coli cts/100ml</a:t>
                </a:r>
              </a:p>
            </c:rich>
          </c:tx>
          <c:overlay val="0"/>
        </c:title>
        <c:numFmt formatCode="General" sourceLinked="1"/>
        <c:majorTickMark val="out"/>
        <c:minorTickMark val="none"/>
        <c:tickLblPos val="nextTo"/>
        <c:crossAx val="14874150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81612642169728788"/>
          <c:y val="8.2373505395158933E-2"/>
          <c:w val="0.1455172279396364"/>
          <c:h val="0.63658220940204258"/>
        </c:manualLayout>
      </c:layout>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Kerr/Swede Flow Estimated Acre-Feet/Month</a:t>
            </a:r>
          </a:p>
        </c:rich>
      </c:tx>
      <c:layout>
        <c:manualLayout>
          <c:xMode val="edge"/>
          <c:yMode val="edge"/>
          <c:x val="0.16033542133111955"/>
          <c:y val="3.7037037037037056E-2"/>
        </c:manualLayout>
      </c:layout>
      <c:overlay val="1"/>
    </c:title>
    <c:autoTitleDeleted val="0"/>
    <c:plotArea>
      <c:layout>
        <c:manualLayout>
          <c:layoutTarget val="inner"/>
          <c:xMode val="edge"/>
          <c:yMode val="edge"/>
          <c:x val="0.12074731872573437"/>
          <c:y val="5.1400554097404488E-2"/>
          <c:w val="0.78159660553612909"/>
          <c:h val="0.79822506561679785"/>
        </c:manualLayout>
      </c:layout>
      <c:barChart>
        <c:barDir val="col"/>
        <c:grouping val="clustered"/>
        <c:varyColors val="0"/>
        <c:ser>
          <c:idx val="0"/>
          <c:order val="0"/>
          <c:tx>
            <c:strRef>
              <c:f>'Kerr Swede'!$P$46</c:f>
              <c:strCache>
                <c:ptCount val="1"/>
                <c:pt idx="0">
                  <c:v>May</c:v>
                </c:pt>
              </c:strCache>
            </c:strRef>
          </c:tx>
          <c:invertIfNegative val="0"/>
          <c:cat>
            <c:strRef>
              <c:f>'Kerr Swede'!$O$47:$O$50</c:f>
              <c:strCache>
                <c:ptCount val="4"/>
                <c:pt idx="0">
                  <c:v>Site 52 - Confluence</c:v>
                </c:pt>
                <c:pt idx="1">
                  <c:v>Site 53 - Riefenberg</c:v>
                </c:pt>
                <c:pt idx="2">
                  <c:v>Site 54 - Kerr</c:v>
                </c:pt>
                <c:pt idx="3">
                  <c:v>Site 55 - Swede</c:v>
                </c:pt>
              </c:strCache>
            </c:strRef>
          </c:cat>
          <c:val>
            <c:numRef>
              <c:f>'Kerr Swede'!$P$47:$P$50</c:f>
              <c:numCache>
                <c:formatCode>0</c:formatCode>
                <c:ptCount val="4"/>
                <c:pt idx="0">
                  <c:v>184.41899999999998</c:v>
                </c:pt>
                <c:pt idx="1">
                  <c:v>129.09330000000003</c:v>
                </c:pt>
                <c:pt idx="2">
                  <c:v>92.209499999999991</c:v>
                </c:pt>
                <c:pt idx="3">
                  <c:v>18.4419</c:v>
                </c:pt>
              </c:numCache>
            </c:numRef>
          </c:val>
          <c:extLst>
            <c:ext xmlns:c16="http://schemas.microsoft.com/office/drawing/2014/chart" uri="{C3380CC4-5D6E-409C-BE32-E72D297353CC}">
              <c16:uniqueId val="{00000000-5C23-4333-98BC-1B39D0E1059E}"/>
            </c:ext>
          </c:extLst>
        </c:ser>
        <c:ser>
          <c:idx val="1"/>
          <c:order val="1"/>
          <c:tx>
            <c:strRef>
              <c:f>'Kerr Swede'!$Q$46</c:f>
              <c:strCache>
                <c:ptCount val="1"/>
                <c:pt idx="0">
                  <c:v>Jun</c:v>
                </c:pt>
              </c:strCache>
            </c:strRef>
          </c:tx>
          <c:invertIfNegative val="0"/>
          <c:val>
            <c:numRef>
              <c:f>'Kerr Swede'!$Q$47:$Q$50</c:f>
              <c:numCache>
                <c:formatCode>0</c:formatCode>
                <c:ptCount val="4"/>
                <c:pt idx="0">
                  <c:v>80.906400000000005</c:v>
                </c:pt>
                <c:pt idx="1">
                  <c:v>68.413499999999999</c:v>
                </c:pt>
                <c:pt idx="2">
                  <c:v>33.909299999999995</c:v>
                </c:pt>
                <c:pt idx="3">
                  <c:v>24.985800000000001</c:v>
                </c:pt>
              </c:numCache>
            </c:numRef>
          </c:val>
          <c:extLst>
            <c:ext xmlns:c16="http://schemas.microsoft.com/office/drawing/2014/chart" uri="{C3380CC4-5D6E-409C-BE32-E72D297353CC}">
              <c16:uniqueId val="{00000001-5C23-4333-98BC-1B39D0E1059E}"/>
            </c:ext>
          </c:extLst>
        </c:ser>
        <c:ser>
          <c:idx val="2"/>
          <c:order val="2"/>
          <c:tx>
            <c:strRef>
              <c:f>'Kerr Swede'!$R$46</c:f>
              <c:strCache>
                <c:ptCount val="1"/>
                <c:pt idx="0">
                  <c:v>Jul</c:v>
                </c:pt>
              </c:strCache>
            </c:strRef>
          </c:tx>
          <c:invertIfNegative val="0"/>
          <c:val>
            <c:numRef>
              <c:f>'Kerr Swede'!$R$47:$R$50</c:f>
              <c:numCache>
                <c:formatCode>0</c:formatCode>
                <c:ptCount val="4"/>
                <c:pt idx="0">
                  <c:v>43.031099999999995</c:v>
                </c:pt>
                <c:pt idx="1">
                  <c:v>27.048120000000001</c:v>
                </c:pt>
                <c:pt idx="2">
                  <c:v>12.909330000000001</c:v>
                </c:pt>
                <c:pt idx="3">
                  <c:v>9.2209500000000002</c:v>
                </c:pt>
              </c:numCache>
            </c:numRef>
          </c:val>
          <c:extLst>
            <c:ext xmlns:c16="http://schemas.microsoft.com/office/drawing/2014/chart" uri="{C3380CC4-5D6E-409C-BE32-E72D297353CC}">
              <c16:uniqueId val="{00000002-5C23-4333-98BC-1B39D0E1059E}"/>
            </c:ext>
          </c:extLst>
        </c:ser>
        <c:ser>
          <c:idx val="4"/>
          <c:order val="3"/>
          <c:tx>
            <c:strRef>
              <c:f>'Kerr Swede'!$S$46</c:f>
              <c:strCache>
                <c:ptCount val="1"/>
                <c:pt idx="0">
                  <c:v>Aug</c:v>
                </c:pt>
              </c:strCache>
            </c:strRef>
          </c:tx>
          <c:invertIfNegative val="0"/>
          <c:val>
            <c:numRef>
              <c:f>'Kerr Swede'!$S$47:$S$50</c:f>
              <c:numCache>
                <c:formatCode>0</c:formatCode>
                <c:ptCount val="4"/>
                <c:pt idx="0">
                  <c:v>49.793130000000005</c:v>
                </c:pt>
                <c:pt idx="1">
                  <c:v>43.645829999999997</c:v>
                </c:pt>
                <c:pt idx="2">
                  <c:v>43.031099999999995</c:v>
                </c:pt>
                <c:pt idx="3">
                  <c:v>33.195420000000006</c:v>
                </c:pt>
              </c:numCache>
            </c:numRef>
          </c:val>
          <c:extLst>
            <c:ext xmlns:c16="http://schemas.microsoft.com/office/drawing/2014/chart" uri="{C3380CC4-5D6E-409C-BE32-E72D297353CC}">
              <c16:uniqueId val="{00000003-5C23-4333-98BC-1B39D0E1059E}"/>
            </c:ext>
          </c:extLst>
        </c:ser>
        <c:ser>
          <c:idx val="3"/>
          <c:order val="4"/>
          <c:tx>
            <c:strRef>
              <c:f>'Kerr Swede'!$T$46</c:f>
              <c:strCache>
                <c:ptCount val="1"/>
                <c:pt idx="0">
                  <c:v>Sep</c:v>
                </c:pt>
              </c:strCache>
            </c:strRef>
          </c:tx>
          <c:invertIfNegative val="0"/>
          <c:val>
            <c:numRef>
              <c:f>'Kerr Swede'!$T$47:$T$50</c:f>
              <c:numCache>
                <c:formatCode>0</c:formatCode>
                <c:ptCount val="4"/>
                <c:pt idx="0">
                  <c:v>20.226600000000001</c:v>
                </c:pt>
                <c:pt idx="1">
                  <c:v>19.036799999999999</c:v>
                </c:pt>
                <c:pt idx="2">
                  <c:v>17.847000000000001</c:v>
                </c:pt>
                <c:pt idx="3">
                  <c:v>1.7847</c:v>
                </c:pt>
              </c:numCache>
            </c:numRef>
          </c:val>
          <c:extLst>
            <c:ext xmlns:c16="http://schemas.microsoft.com/office/drawing/2014/chart" uri="{C3380CC4-5D6E-409C-BE32-E72D297353CC}">
              <c16:uniqueId val="{00000004-5C23-4333-98BC-1B39D0E1059E}"/>
            </c:ext>
          </c:extLst>
        </c:ser>
        <c:ser>
          <c:idx val="5"/>
          <c:order val="5"/>
          <c:tx>
            <c:strRef>
              <c:f>'Kerr Swede'!$U$46</c:f>
              <c:strCache>
                <c:ptCount val="1"/>
                <c:pt idx="0">
                  <c:v>Oct</c:v>
                </c:pt>
              </c:strCache>
            </c:strRef>
          </c:tx>
          <c:invertIfNegative val="0"/>
          <c:val>
            <c:numRef>
              <c:f>'Kerr Swede'!$U$47:$U$50</c:f>
              <c:numCache>
                <c:formatCode>0</c:formatCode>
                <c:ptCount val="4"/>
                <c:pt idx="0">
                  <c:v>44.260559999999998</c:v>
                </c:pt>
                <c:pt idx="1">
                  <c:v>42.416369999999993</c:v>
                </c:pt>
                <c:pt idx="2">
                  <c:v>19.67136</c:v>
                </c:pt>
                <c:pt idx="3">
                  <c:v>8.6062200000000004</c:v>
                </c:pt>
              </c:numCache>
            </c:numRef>
          </c:val>
          <c:extLst>
            <c:ext xmlns:c16="http://schemas.microsoft.com/office/drawing/2014/chart" uri="{C3380CC4-5D6E-409C-BE32-E72D297353CC}">
              <c16:uniqueId val="{00000005-5C23-4333-98BC-1B39D0E1059E}"/>
            </c:ext>
          </c:extLst>
        </c:ser>
        <c:ser>
          <c:idx val="6"/>
          <c:order val="6"/>
          <c:tx>
            <c:strRef>
              <c:f>'Kerr Swede'!$V$46</c:f>
              <c:strCache>
                <c:ptCount val="1"/>
                <c:pt idx="0">
                  <c:v>Nov</c:v>
                </c:pt>
              </c:strCache>
            </c:strRef>
          </c:tx>
          <c:invertIfNegative val="0"/>
          <c:val>
            <c:numRef>
              <c:f>'Kerr Swede'!$V$47:$V$50</c:f>
              <c:numCache>
                <c:formatCode>0</c:formatCode>
                <c:ptCount val="4"/>
                <c:pt idx="0">
                  <c:v>30.934800000000003</c:v>
                </c:pt>
                <c:pt idx="1">
                  <c:v>25.5807</c:v>
                </c:pt>
                <c:pt idx="2">
                  <c:v>24.985800000000001</c:v>
                </c:pt>
                <c:pt idx="3">
                  <c:v>5.9490000000000007</c:v>
                </c:pt>
              </c:numCache>
            </c:numRef>
          </c:val>
          <c:extLst>
            <c:ext xmlns:c16="http://schemas.microsoft.com/office/drawing/2014/chart" uri="{C3380CC4-5D6E-409C-BE32-E72D297353CC}">
              <c16:uniqueId val="{00000006-5C23-4333-98BC-1B39D0E1059E}"/>
            </c:ext>
          </c:extLst>
        </c:ser>
        <c:ser>
          <c:idx val="7"/>
          <c:order val="7"/>
          <c:tx>
            <c:strRef>
              <c:f>'Kerr Swede'!$W$46</c:f>
              <c:strCache>
                <c:ptCount val="1"/>
                <c:pt idx="0">
                  <c:v>Dec</c:v>
                </c:pt>
              </c:strCache>
            </c:strRef>
          </c:tx>
          <c:invertIfNegative val="0"/>
          <c:val>
            <c:numRef>
              <c:f>'Kerr Swede'!$W$47:$W$50</c:f>
              <c:numCache>
                <c:formatCode>0</c:formatCode>
                <c:ptCount val="4"/>
                <c:pt idx="0">
                  <c:v>39.957450000000001</c:v>
                </c:pt>
                <c:pt idx="1">
                  <c:v>36.883800000000001</c:v>
                </c:pt>
                <c:pt idx="2">
                  <c:v>25.818660000000001</c:v>
                </c:pt>
                <c:pt idx="3">
                  <c:v>18.4419</c:v>
                </c:pt>
              </c:numCache>
            </c:numRef>
          </c:val>
          <c:extLst>
            <c:ext xmlns:c16="http://schemas.microsoft.com/office/drawing/2014/chart" uri="{C3380CC4-5D6E-409C-BE32-E72D297353CC}">
              <c16:uniqueId val="{00000007-5C23-4333-98BC-1B39D0E1059E}"/>
            </c:ext>
          </c:extLst>
        </c:ser>
        <c:dLbls>
          <c:showLegendKey val="0"/>
          <c:showVal val="0"/>
          <c:showCatName val="0"/>
          <c:showSerName val="0"/>
          <c:showPercent val="0"/>
          <c:showBubbleSize val="0"/>
        </c:dLbls>
        <c:gapWidth val="150"/>
        <c:axId val="176142592"/>
        <c:axId val="176152576"/>
      </c:barChart>
      <c:catAx>
        <c:axId val="176142592"/>
        <c:scaling>
          <c:orientation val="minMax"/>
        </c:scaling>
        <c:delete val="0"/>
        <c:axPos val="b"/>
        <c:numFmt formatCode="General" sourceLinked="0"/>
        <c:majorTickMark val="out"/>
        <c:minorTickMark val="none"/>
        <c:tickLblPos val="nextTo"/>
        <c:crossAx val="176152576"/>
        <c:crosses val="autoZero"/>
        <c:auto val="1"/>
        <c:lblAlgn val="ctr"/>
        <c:lblOffset val="100"/>
        <c:noMultiLvlLbl val="0"/>
      </c:catAx>
      <c:valAx>
        <c:axId val="176152576"/>
        <c:scaling>
          <c:orientation val="minMax"/>
        </c:scaling>
        <c:delete val="0"/>
        <c:axPos val="l"/>
        <c:majorGridlines/>
        <c:title>
          <c:tx>
            <c:rich>
              <a:bodyPr rot="-5400000" vert="horz"/>
              <a:lstStyle/>
              <a:p>
                <a:pPr>
                  <a:defRPr/>
                </a:pPr>
                <a:r>
                  <a:rPr lang="en-US"/>
                  <a:t>Acre-Feet/Month</a:t>
                </a:r>
              </a:p>
            </c:rich>
          </c:tx>
          <c:overlay val="0"/>
        </c:title>
        <c:numFmt formatCode="0" sourceLinked="1"/>
        <c:majorTickMark val="out"/>
        <c:minorTickMark val="none"/>
        <c:tickLblPos val="nextTo"/>
        <c:crossAx val="17614259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Oct-10</a:t>
            </a:r>
          </a:p>
        </c:rich>
      </c:tx>
      <c:overlay val="1"/>
    </c:title>
    <c:autoTitleDeleted val="0"/>
    <c:plotArea>
      <c:layout>
        <c:manualLayout>
          <c:layoutTarget val="inner"/>
          <c:xMode val="edge"/>
          <c:yMode val="edge"/>
          <c:x val="0.11966875909894972"/>
          <c:y val="0.16464201471113624"/>
          <c:w val="0.86329832031433462"/>
          <c:h val="0.68106719993333886"/>
        </c:manualLayout>
      </c:layout>
      <c:barChart>
        <c:barDir val="col"/>
        <c:grouping val="clustered"/>
        <c:varyColors val="0"/>
        <c:ser>
          <c:idx val="0"/>
          <c:order val="0"/>
          <c:tx>
            <c:strRef>
              <c:f>'Kerr Swede'!$AO$3</c:f>
              <c:strCache>
                <c:ptCount val="1"/>
                <c:pt idx="0">
                  <c:v>Nitrate/Nitrite (ug/l)</c:v>
                </c:pt>
              </c:strCache>
            </c:strRef>
          </c:tx>
          <c:invertIfNegative val="0"/>
          <c:cat>
            <c:strRef>
              <c:f>'Kerr Swede'!$AN$9:$AN$12</c:f>
              <c:strCache>
                <c:ptCount val="4"/>
                <c:pt idx="0">
                  <c:v>Site 52 - Confluence</c:v>
                </c:pt>
                <c:pt idx="1">
                  <c:v>Site 53 - Riefenberg</c:v>
                </c:pt>
                <c:pt idx="2">
                  <c:v>Site 54 - Kerr</c:v>
                </c:pt>
                <c:pt idx="3">
                  <c:v>Site 55 - Swede</c:v>
                </c:pt>
              </c:strCache>
            </c:strRef>
          </c:cat>
          <c:val>
            <c:numRef>
              <c:f>'Kerr Swede'!$AO$9:$AO$12</c:f>
              <c:numCache>
                <c:formatCode>0.00</c:formatCode>
                <c:ptCount val="4"/>
                <c:pt idx="0">
                  <c:v>23.74273646136</c:v>
                </c:pt>
                <c:pt idx="1">
                  <c:v>10.856978897939999</c:v>
                </c:pt>
                <c:pt idx="2">
                  <c:v>12.052150488000002</c:v>
                </c:pt>
                <c:pt idx="3">
                  <c:v>1.4295189606600001</c:v>
                </c:pt>
              </c:numCache>
            </c:numRef>
          </c:val>
          <c:extLst>
            <c:ext xmlns:c16="http://schemas.microsoft.com/office/drawing/2014/chart" uri="{C3380CC4-5D6E-409C-BE32-E72D297353CC}">
              <c16:uniqueId val="{00000000-4750-4CCD-8CCD-12907F6FA9D7}"/>
            </c:ext>
          </c:extLst>
        </c:ser>
        <c:ser>
          <c:idx val="1"/>
          <c:order val="1"/>
          <c:tx>
            <c:strRef>
              <c:f>'Kerr Swede'!$AQ$3</c:f>
              <c:strCache>
                <c:ptCount val="1"/>
                <c:pt idx="0">
                  <c:v>Total Phosphorus (ug/l)</c:v>
                </c:pt>
              </c:strCache>
            </c:strRef>
          </c:tx>
          <c:invertIfNegative val="0"/>
          <c:val>
            <c:numRef>
              <c:f>'Kerr Swede'!$AQ$9:$AQ$12</c:f>
              <c:numCache>
                <c:formatCode>0.00</c:formatCode>
                <c:ptCount val="4"/>
                <c:pt idx="0">
                  <c:v>5.1824247098400003</c:v>
                </c:pt>
                <c:pt idx="1">
                  <c:v>0.69299865305999997</c:v>
                </c:pt>
                <c:pt idx="2">
                  <c:v>1.17843249216</c:v>
                </c:pt>
                <c:pt idx="3">
                  <c:v>0.86708527122000012</c:v>
                </c:pt>
              </c:numCache>
            </c:numRef>
          </c:val>
          <c:extLst>
            <c:ext xmlns:c16="http://schemas.microsoft.com/office/drawing/2014/chart" uri="{C3380CC4-5D6E-409C-BE32-E72D297353CC}">
              <c16:uniqueId val="{00000001-4750-4CCD-8CCD-12907F6FA9D7}"/>
            </c:ext>
          </c:extLst>
        </c:ser>
        <c:ser>
          <c:idx val="2"/>
          <c:order val="2"/>
          <c:tx>
            <c:strRef>
              <c:f>'Kerr Swede'!$AP$3</c:f>
              <c:strCache>
                <c:ptCount val="1"/>
                <c:pt idx="0">
                  <c:v>Ammonia (ug/l)</c:v>
                </c:pt>
              </c:strCache>
            </c:strRef>
          </c:tx>
          <c:invertIfNegative val="0"/>
          <c:val>
            <c:numRef>
              <c:f>'Kerr Swede'!$AP$9:$AP$12</c:f>
              <c:numCache>
                <c:formatCode>0.00</c:formatCode>
                <c:ptCount val="4"/>
                <c:pt idx="0">
                  <c:v>5.1824247098400003</c:v>
                </c:pt>
                <c:pt idx="1">
                  <c:v>3.6959928163199995</c:v>
                </c:pt>
                <c:pt idx="2">
                  <c:v>2.2497347577600002</c:v>
                </c:pt>
                <c:pt idx="3">
                  <c:v>0.86708527122000012</c:v>
                </c:pt>
              </c:numCache>
            </c:numRef>
          </c:val>
          <c:extLst>
            <c:ext xmlns:c16="http://schemas.microsoft.com/office/drawing/2014/chart" uri="{C3380CC4-5D6E-409C-BE32-E72D297353CC}">
              <c16:uniqueId val="{00000002-4750-4CCD-8CCD-12907F6FA9D7}"/>
            </c:ext>
          </c:extLst>
        </c:ser>
        <c:ser>
          <c:idx val="3"/>
          <c:order val="3"/>
          <c:tx>
            <c:strRef>
              <c:f>'Kerr Swede'!$AR$3</c:f>
              <c:strCache>
                <c:ptCount val="1"/>
                <c:pt idx="0">
                  <c:v>Total Dissolved Phosphorus (ug/l)</c:v>
                </c:pt>
              </c:strCache>
            </c:strRef>
          </c:tx>
          <c:invertIfNegative val="0"/>
          <c:val>
            <c:numRef>
              <c:f>'Kerr Swede'!$AR$9:$AR$12</c:f>
              <c:numCache>
                <c:formatCode>0.00</c:formatCode>
                <c:ptCount val="4"/>
                <c:pt idx="0">
                  <c:v>0.48208601952000002</c:v>
                </c:pt>
                <c:pt idx="1">
                  <c:v>1.0394979795899999</c:v>
                </c:pt>
                <c:pt idx="2">
                  <c:v>0.16069533984000001</c:v>
                </c:pt>
                <c:pt idx="3">
                  <c:v>0.23434737060000002</c:v>
                </c:pt>
              </c:numCache>
            </c:numRef>
          </c:val>
          <c:extLst>
            <c:ext xmlns:c16="http://schemas.microsoft.com/office/drawing/2014/chart" uri="{C3380CC4-5D6E-409C-BE32-E72D297353CC}">
              <c16:uniqueId val="{00000003-4750-4CCD-8CCD-12907F6FA9D7}"/>
            </c:ext>
          </c:extLst>
        </c:ser>
        <c:dLbls>
          <c:showLegendKey val="0"/>
          <c:showVal val="0"/>
          <c:showCatName val="0"/>
          <c:showSerName val="0"/>
          <c:showPercent val="0"/>
          <c:showBubbleSize val="0"/>
        </c:dLbls>
        <c:gapWidth val="150"/>
        <c:axId val="176195840"/>
        <c:axId val="176205824"/>
      </c:barChart>
      <c:catAx>
        <c:axId val="176195840"/>
        <c:scaling>
          <c:orientation val="minMax"/>
        </c:scaling>
        <c:delete val="0"/>
        <c:axPos val="b"/>
        <c:numFmt formatCode="General" sourceLinked="0"/>
        <c:majorTickMark val="out"/>
        <c:minorTickMark val="none"/>
        <c:tickLblPos val="nextTo"/>
        <c:crossAx val="176205824"/>
        <c:crosses val="autoZero"/>
        <c:auto val="1"/>
        <c:lblAlgn val="ctr"/>
        <c:lblOffset val="100"/>
        <c:noMultiLvlLbl val="0"/>
      </c:catAx>
      <c:valAx>
        <c:axId val="176205824"/>
        <c:scaling>
          <c:orientation val="minMax"/>
        </c:scaling>
        <c:delete val="0"/>
        <c:axPos val="l"/>
        <c:majorGridlines/>
        <c:numFmt formatCode="0.00" sourceLinked="1"/>
        <c:majorTickMark val="out"/>
        <c:minorTickMark val="none"/>
        <c:tickLblPos val="nextTo"/>
        <c:crossAx val="17619584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6358078301842508"/>
          <c:y val="0.16569836828728371"/>
          <c:w val="0.34117833680332704"/>
          <c:h val="0.33819494772115138"/>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Nov-10</a:t>
            </a:r>
          </a:p>
        </c:rich>
      </c:tx>
      <c:overlay val="1"/>
    </c:title>
    <c:autoTitleDeleted val="0"/>
    <c:plotArea>
      <c:layout>
        <c:manualLayout>
          <c:layoutTarget val="inner"/>
          <c:xMode val="edge"/>
          <c:yMode val="edge"/>
          <c:x val="0.11966875909894972"/>
          <c:y val="0.16464201471113624"/>
          <c:w val="0.8526952719379266"/>
          <c:h val="0.68106719993333853"/>
        </c:manualLayout>
      </c:layout>
      <c:barChart>
        <c:barDir val="col"/>
        <c:grouping val="clustered"/>
        <c:varyColors val="0"/>
        <c:ser>
          <c:idx val="0"/>
          <c:order val="0"/>
          <c:tx>
            <c:strRef>
              <c:f>'Kerr Swede'!$AO$3</c:f>
              <c:strCache>
                <c:ptCount val="1"/>
                <c:pt idx="0">
                  <c:v>Nitrate/Nitrite (ug/l)</c:v>
                </c:pt>
              </c:strCache>
            </c:strRef>
          </c:tx>
          <c:invertIfNegative val="0"/>
          <c:cat>
            <c:strRef>
              <c:f>'Kerr Swede'!$AN$9:$AN$12</c:f>
              <c:strCache>
                <c:ptCount val="4"/>
                <c:pt idx="0">
                  <c:v>Site 52 - Confluence</c:v>
                </c:pt>
                <c:pt idx="1">
                  <c:v>Site 53 - Riefenberg</c:v>
                </c:pt>
                <c:pt idx="2">
                  <c:v>Site 54 - Kerr</c:v>
                </c:pt>
                <c:pt idx="3">
                  <c:v>Site 55 - Swede</c:v>
                </c:pt>
              </c:strCache>
            </c:strRef>
          </c:cat>
          <c:val>
            <c:numRef>
              <c:f>'Kerr Swede'!$AO$20:$AO$23</c:f>
              <c:numCache>
                <c:formatCode>0.00</c:formatCode>
                <c:ptCount val="4"/>
                <c:pt idx="0">
                  <c:v>27.292289169600004</c:v>
                </c:pt>
                <c:pt idx="1">
                  <c:v>14.2098742044</c:v>
                </c:pt>
                <c:pt idx="2">
                  <c:v>24.493080024000001</c:v>
                </c:pt>
                <c:pt idx="3">
                  <c:v>0.14579214300000001</c:v>
                </c:pt>
              </c:numCache>
            </c:numRef>
          </c:val>
          <c:extLst>
            <c:ext xmlns:c16="http://schemas.microsoft.com/office/drawing/2014/chart" uri="{C3380CC4-5D6E-409C-BE32-E72D297353CC}">
              <c16:uniqueId val="{00000000-95B6-4726-A5ED-294269742067}"/>
            </c:ext>
          </c:extLst>
        </c:ser>
        <c:ser>
          <c:idx val="1"/>
          <c:order val="1"/>
          <c:tx>
            <c:strRef>
              <c:f>'Kerr Swede'!$AQ$3</c:f>
              <c:strCache>
                <c:ptCount val="1"/>
                <c:pt idx="0">
                  <c:v>Total Phosphorus (ug/l)</c:v>
                </c:pt>
              </c:strCache>
            </c:strRef>
          </c:tx>
          <c:invertIfNegative val="0"/>
          <c:val>
            <c:numRef>
              <c:f>'Kerr Swede'!$AQ$20:$AQ$23</c:f>
              <c:numCache>
                <c:formatCode>0.00</c:formatCode>
                <c:ptCount val="4"/>
                <c:pt idx="0">
                  <c:v>0.58964822280000007</c:v>
                </c:pt>
                <c:pt idx="1">
                  <c:v>0.62690621489999998</c:v>
                </c:pt>
                <c:pt idx="2">
                  <c:v>1.5648356682000002</c:v>
                </c:pt>
                <c:pt idx="3">
                  <c:v>1.9114969860000004</c:v>
                </c:pt>
              </c:numCache>
            </c:numRef>
          </c:val>
          <c:extLst>
            <c:ext xmlns:c16="http://schemas.microsoft.com/office/drawing/2014/chart" uri="{C3380CC4-5D6E-409C-BE32-E72D297353CC}">
              <c16:uniqueId val="{00000001-95B6-4726-A5ED-294269742067}"/>
            </c:ext>
          </c:extLst>
        </c:ser>
        <c:ser>
          <c:idx val="2"/>
          <c:order val="2"/>
          <c:tx>
            <c:strRef>
              <c:f>'Kerr Swede'!$AP$3</c:f>
              <c:strCache>
                <c:ptCount val="1"/>
                <c:pt idx="0">
                  <c:v>Ammonia (ug/l)</c:v>
                </c:pt>
              </c:strCache>
            </c:strRef>
          </c:tx>
          <c:invertIfNegative val="0"/>
          <c:val>
            <c:numRef>
              <c:f>'Kerr Swede'!$AP$20:$AP$23</c:f>
              <c:numCache>
                <c:formatCode>0.00</c:formatCode>
                <c:ptCount val="4"/>
                <c:pt idx="0">
                  <c:v>0.67388368320000014</c:v>
                </c:pt>
                <c:pt idx="1">
                  <c:v>0.5572499688</c:v>
                </c:pt>
                <c:pt idx="2">
                  <c:v>0.6123270006</c:v>
                </c:pt>
                <c:pt idx="3">
                  <c:v>0.17819039700000003</c:v>
                </c:pt>
              </c:numCache>
            </c:numRef>
          </c:val>
          <c:extLst>
            <c:ext xmlns:c16="http://schemas.microsoft.com/office/drawing/2014/chart" uri="{C3380CC4-5D6E-409C-BE32-E72D297353CC}">
              <c16:uniqueId val="{00000002-95B6-4726-A5ED-294269742067}"/>
            </c:ext>
          </c:extLst>
        </c:ser>
        <c:ser>
          <c:idx val="3"/>
          <c:order val="3"/>
          <c:tx>
            <c:strRef>
              <c:f>'Kerr Swede'!$AR$3</c:f>
              <c:strCache>
                <c:ptCount val="1"/>
                <c:pt idx="0">
                  <c:v>Total Dissolved Phosphorus (ug/l)</c:v>
                </c:pt>
              </c:strCache>
            </c:strRef>
          </c:tx>
          <c:invertIfNegative val="0"/>
          <c:val>
            <c:numRef>
              <c:f>'Kerr Swede'!$AR$20:$AR$23</c:f>
              <c:numCache>
                <c:formatCode>0.00</c:formatCode>
                <c:ptCount val="4"/>
                <c:pt idx="0">
                  <c:v>0.58964822280000007</c:v>
                </c:pt>
                <c:pt idx="1">
                  <c:v>0.34828123050000004</c:v>
                </c:pt>
                <c:pt idx="2">
                  <c:v>0.40821800040000006</c:v>
                </c:pt>
                <c:pt idx="3">
                  <c:v>4.8597381000000009E-2</c:v>
                </c:pt>
              </c:numCache>
            </c:numRef>
          </c:val>
          <c:extLst>
            <c:ext xmlns:c16="http://schemas.microsoft.com/office/drawing/2014/chart" uri="{C3380CC4-5D6E-409C-BE32-E72D297353CC}">
              <c16:uniqueId val="{00000003-95B6-4726-A5ED-294269742067}"/>
            </c:ext>
          </c:extLst>
        </c:ser>
        <c:dLbls>
          <c:showLegendKey val="0"/>
          <c:showVal val="0"/>
          <c:showCatName val="0"/>
          <c:showSerName val="0"/>
          <c:showPercent val="0"/>
          <c:showBubbleSize val="0"/>
        </c:dLbls>
        <c:gapWidth val="150"/>
        <c:axId val="176306432"/>
        <c:axId val="176320512"/>
      </c:barChart>
      <c:catAx>
        <c:axId val="176306432"/>
        <c:scaling>
          <c:orientation val="minMax"/>
        </c:scaling>
        <c:delete val="0"/>
        <c:axPos val="b"/>
        <c:numFmt formatCode="General" sourceLinked="0"/>
        <c:majorTickMark val="out"/>
        <c:minorTickMark val="none"/>
        <c:tickLblPos val="nextTo"/>
        <c:crossAx val="176320512"/>
        <c:crosses val="autoZero"/>
        <c:auto val="1"/>
        <c:lblAlgn val="ctr"/>
        <c:lblOffset val="100"/>
        <c:noMultiLvlLbl val="0"/>
      </c:catAx>
      <c:valAx>
        <c:axId val="176320512"/>
        <c:scaling>
          <c:orientation val="minMax"/>
        </c:scaling>
        <c:delete val="0"/>
        <c:axPos val="l"/>
        <c:majorGridlines/>
        <c:numFmt formatCode="0.00" sourceLinked="1"/>
        <c:majorTickMark val="out"/>
        <c:minorTickMark val="none"/>
        <c:tickLblPos val="nextTo"/>
        <c:crossAx val="17630643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63580783018425102"/>
          <c:y val="0.16569836828728371"/>
          <c:w val="0.34117833680332704"/>
          <c:h val="0.33819494772115138"/>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Phosphorus in Sediments</a:t>
            </a:r>
          </a:p>
        </c:rich>
      </c:tx>
      <c:layout>
        <c:manualLayout>
          <c:xMode val="edge"/>
          <c:yMode val="edge"/>
          <c:x val="0.18117875509463757"/>
          <c:y val="1.3888888888889025E-2"/>
        </c:manualLayout>
      </c:layout>
      <c:overlay val="0"/>
    </c:title>
    <c:autoTitleDeleted val="0"/>
    <c:plotArea>
      <c:layout>
        <c:manualLayout>
          <c:layoutTarget val="inner"/>
          <c:xMode val="edge"/>
          <c:yMode val="edge"/>
          <c:x val="0.11966885389326334"/>
          <c:y val="0.10221092155147279"/>
          <c:w val="0.8446125941574375"/>
          <c:h val="0.47481846019248147"/>
        </c:manualLayout>
      </c:layout>
      <c:barChart>
        <c:barDir val="col"/>
        <c:grouping val="clustered"/>
        <c:varyColors val="0"/>
        <c:ser>
          <c:idx val="0"/>
          <c:order val="0"/>
          <c:tx>
            <c:strRef>
              <c:f>Sediment!$P$2</c:f>
              <c:strCache>
                <c:ptCount val="1"/>
              </c:strCache>
            </c:strRef>
          </c:tx>
          <c:invertIfNegative val="0"/>
          <c:cat>
            <c:multiLvlStrRef>
              <c:f>Sediment!$J$5:$K$21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Sediment!$Q$5:$Q$21</c:f>
              <c:numCache>
                <c:formatCode>0.00</c:formatCode>
                <c:ptCount val="17"/>
                <c:pt idx="0">
                  <c:v>2.6370406543767548</c:v>
                </c:pt>
                <c:pt idx="1">
                  <c:v>6.4286420729898124</c:v>
                </c:pt>
                <c:pt idx="2">
                  <c:v>4.1211823868514657</c:v>
                </c:pt>
                <c:pt idx="3">
                  <c:v>5.3199349785724852</c:v>
                </c:pt>
                <c:pt idx="4">
                  <c:v>3.5015041672831289</c:v>
                </c:pt>
                <c:pt idx="5">
                  <c:v>4.0864126778461616</c:v>
                </c:pt>
                <c:pt idx="6">
                  <c:v>5.3938754995464242</c:v>
                </c:pt>
                <c:pt idx="7">
                  <c:v>7.4663283232480975</c:v>
                </c:pt>
                <c:pt idx="8">
                  <c:v>6.2458504438488198</c:v>
                </c:pt>
                <c:pt idx="9">
                  <c:v>3.1283605435526449</c:v>
                </c:pt>
                <c:pt idx="10">
                  <c:v>7.7125842038465304</c:v>
                </c:pt>
                <c:pt idx="11">
                  <c:v>2.6890920647337797</c:v>
                </c:pt>
                <c:pt idx="12">
                  <c:v>1.7363694994294789</c:v>
                </c:pt>
                <c:pt idx="13">
                  <c:v>7.3158675234799802</c:v>
                </c:pt>
                <c:pt idx="14">
                  <c:v>6.9890765132816881</c:v>
                </c:pt>
                <c:pt idx="15">
                  <c:v>5.761255556383321</c:v>
                </c:pt>
                <c:pt idx="16">
                  <c:v>8.1622495956202545</c:v>
                </c:pt>
              </c:numCache>
            </c:numRef>
          </c:val>
          <c:extLst>
            <c:ext xmlns:c16="http://schemas.microsoft.com/office/drawing/2014/chart" uri="{C3380CC4-5D6E-409C-BE32-E72D297353CC}">
              <c16:uniqueId val="{00000000-A497-40CE-B589-2E2AF1709B13}"/>
            </c:ext>
          </c:extLst>
        </c:ser>
        <c:dLbls>
          <c:showLegendKey val="0"/>
          <c:showVal val="0"/>
          <c:showCatName val="0"/>
          <c:showSerName val="0"/>
          <c:showPercent val="0"/>
          <c:showBubbleSize val="0"/>
        </c:dLbls>
        <c:gapWidth val="150"/>
        <c:axId val="176406528"/>
        <c:axId val="176408064"/>
      </c:barChart>
      <c:catAx>
        <c:axId val="176406528"/>
        <c:scaling>
          <c:orientation val="minMax"/>
        </c:scaling>
        <c:delete val="0"/>
        <c:axPos val="b"/>
        <c:numFmt formatCode="General" sourceLinked="0"/>
        <c:majorTickMark val="out"/>
        <c:minorTickMark val="none"/>
        <c:tickLblPos val="nextTo"/>
        <c:crossAx val="176408064"/>
        <c:crosses val="autoZero"/>
        <c:auto val="1"/>
        <c:lblAlgn val="ctr"/>
        <c:lblOffset val="100"/>
        <c:noMultiLvlLbl val="0"/>
      </c:catAx>
      <c:valAx>
        <c:axId val="176408064"/>
        <c:scaling>
          <c:orientation val="minMax"/>
        </c:scaling>
        <c:delete val="0"/>
        <c:axPos val="l"/>
        <c:majorGridlines/>
        <c:title>
          <c:tx>
            <c:rich>
              <a:bodyPr rot="-5400000" vert="horz"/>
              <a:lstStyle/>
              <a:p>
                <a:pPr>
                  <a:defRPr/>
                </a:pPr>
                <a:r>
                  <a:rPr lang="en-US"/>
                  <a:t>mgTP/kg Mud</a:t>
                </a:r>
              </a:p>
            </c:rich>
          </c:tx>
          <c:overlay val="0"/>
        </c:title>
        <c:numFmt formatCode="0.00" sourceLinked="1"/>
        <c:majorTickMark val="out"/>
        <c:minorTickMark val="none"/>
        <c:tickLblPos val="nextTo"/>
        <c:crossAx val="176406528"/>
        <c:crosses val="autoZero"/>
        <c:crossBetween val="between"/>
      </c:valAx>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TOC </a:t>
            </a:r>
          </a:p>
        </c:rich>
      </c:tx>
      <c:overlay val="0"/>
    </c:title>
    <c:autoTitleDeleted val="0"/>
    <c:plotArea>
      <c:layout/>
      <c:barChart>
        <c:barDir val="col"/>
        <c:grouping val="clustered"/>
        <c:varyColors val="0"/>
        <c:ser>
          <c:idx val="0"/>
          <c:order val="0"/>
          <c:tx>
            <c:strRef>
              <c:f>Sediment!$AA$2</c:f>
              <c:strCache>
                <c:ptCount val="1"/>
              </c:strCache>
            </c:strRef>
          </c:tx>
          <c:invertIfNegative val="0"/>
          <c:cat>
            <c:multiLvlStrRef>
              <c:f>Sediment!$J$5:$K$21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Sediment!$AA$5:$AA$21</c:f>
              <c:numCache>
                <c:formatCode>General</c:formatCode>
                <c:ptCount val="17"/>
                <c:pt idx="0" formatCode="0.00">
                  <c:v>9.1999999999999993</c:v>
                </c:pt>
                <c:pt idx="1">
                  <c:v>12</c:v>
                </c:pt>
                <c:pt idx="2">
                  <c:v>10.7</c:v>
                </c:pt>
                <c:pt idx="3">
                  <c:v>9.5</c:v>
                </c:pt>
                <c:pt idx="4">
                  <c:v>10</c:v>
                </c:pt>
                <c:pt idx="5">
                  <c:v>10</c:v>
                </c:pt>
                <c:pt idx="6">
                  <c:v>9.4499999999999993</c:v>
                </c:pt>
                <c:pt idx="7">
                  <c:v>11</c:v>
                </c:pt>
                <c:pt idx="8">
                  <c:v>11.7</c:v>
                </c:pt>
                <c:pt idx="9">
                  <c:v>12.8</c:v>
                </c:pt>
                <c:pt idx="10">
                  <c:v>11.5</c:v>
                </c:pt>
                <c:pt idx="11">
                  <c:v>11.2</c:v>
                </c:pt>
                <c:pt idx="12">
                  <c:v>11.7</c:v>
                </c:pt>
                <c:pt idx="13">
                  <c:v>11.9</c:v>
                </c:pt>
                <c:pt idx="14">
                  <c:v>12.7</c:v>
                </c:pt>
                <c:pt idx="15">
                  <c:v>10.4</c:v>
                </c:pt>
                <c:pt idx="16">
                  <c:v>10.7</c:v>
                </c:pt>
              </c:numCache>
            </c:numRef>
          </c:val>
          <c:extLst>
            <c:ext xmlns:c16="http://schemas.microsoft.com/office/drawing/2014/chart" uri="{C3380CC4-5D6E-409C-BE32-E72D297353CC}">
              <c16:uniqueId val="{00000000-ACD7-41D4-A6C8-B8D73A9E7699}"/>
            </c:ext>
          </c:extLst>
        </c:ser>
        <c:dLbls>
          <c:showLegendKey val="0"/>
          <c:showVal val="0"/>
          <c:showCatName val="0"/>
          <c:showSerName val="0"/>
          <c:showPercent val="0"/>
          <c:showBubbleSize val="0"/>
        </c:dLbls>
        <c:gapWidth val="150"/>
        <c:axId val="176497792"/>
        <c:axId val="176499328"/>
      </c:barChart>
      <c:catAx>
        <c:axId val="176497792"/>
        <c:scaling>
          <c:orientation val="minMax"/>
        </c:scaling>
        <c:delete val="0"/>
        <c:axPos val="b"/>
        <c:numFmt formatCode="General" sourceLinked="0"/>
        <c:majorTickMark val="out"/>
        <c:minorTickMark val="none"/>
        <c:tickLblPos val="nextTo"/>
        <c:crossAx val="176499328"/>
        <c:crosses val="autoZero"/>
        <c:auto val="1"/>
        <c:lblAlgn val="ctr"/>
        <c:lblOffset val="100"/>
        <c:noMultiLvlLbl val="0"/>
      </c:catAx>
      <c:valAx>
        <c:axId val="176499328"/>
        <c:scaling>
          <c:orientation val="minMax"/>
        </c:scaling>
        <c:delete val="0"/>
        <c:axPos val="l"/>
        <c:majorGridlines/>
        <c:title>
          <c:tx>
            <c:rich>
              <a:bodyPr rot="-5400000" vert="horz"/>
              <a:lstStyle/>
              <a:p>
                <a:pPr>
                  <a:defRPr/>
                </a:pPr>
                <a:r>
                  <a:rPr lang="en-US"/>
                  <a:t>Percent Total Organic Carbon</a:t>
                </a:r>
              </a:p>
            </c:rich>
          </c:tx>
          <c:overlay val="0"/>
        </c:title>
        <c:numFmt formatCode="0" sourceLinked="0"/>
        <c:majorTickMark val="out"/>
        <c:minorTickMark val="none"/>
        <c:tickLblPos val="nextTo"/>
        <c:crossAx val="176497792"/>
        <c:crosses val="autoZero"/>
        <c:crossBetween val="between"/>
      </c:valAx>
    </c:plotArea>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'Grain Size'!$C$2</c:f>
              <c:strCache>
                <c:ptCount val="1"/>
                <c:pt idx="0">
                  <c:v>Coarse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Size'!$C$4:$C$20</c:f>
              <c:numCache>
                <c:formatCode>General</c:formatCode>
                <c:ptCount val="17"/>
                <c:pt idx="0">
                  <c:v>10</c:v>
                </c:pt>
                <c:pt idx="1">
                  <c:v>5</c:v>
                </c:pt>
                <c:pt idx="2">
                  <c:v>2</c:v>
                </c:pt>
                <c:pt idx="3">
                  <c:v>2</c:v>
                </c:pt>
                <c:pt idx="4">
                  <c:v>5</c:v>
                </c:pt>
                <c:pt idx="5">
                  <c:v>5</c:v>
                </c:pt>
                <c:pt idx="6">
                  <c:v>8</c:v>
                </c:pt>
                <c:pt idx="7">
                  <c:v>8</c:v>
                </c:pt>
                <c:pt idx="8">
                  <c:v>15</c:v>
                </c:pt>
                <c:pt idx="9">
                  <c:v>13</c:v>
                </c:pt>
                <c:pt idx="10">
                  <c:v>14</c:v>
                </c:pt>
                <c:pt idx="11">
                  <c:v>15</c:v>
                </c:pt>
                <c:pt idx="12">
                  <c:v>10</c:v>
                </c:pt>
                <c:pt idx="13">
                  <c:v>12</c:v>
                </c:pt>
                <c:pt idx="14">
                  <c:v>15</c:v>
                </c:pt>
                <c:pt idx="15">
                  <c:v>18</c:v>
                </c:pt>
                <c:pt idx="16">
                  <c:v>18</c:v>
                </c:pt>
              </c:numCache>
            </c:numRef>
          </c:val>
          <c:extLst>
            <c:ext xmlns:c16="http://schemas.microsoft.com/office/drawing/2014/chart" uri="{C3380CC4-5D6E-409C-BE32-E72D297353CC}">
              <c16:uniqueId val="{00000000-40EF-40D0-B073-BFA2473CB1E0}"/>
            </c:ext>
          </c:extLst>
        </c:ser>
        <c:ser>
          <c:idx val="1"/>
          <c:order val="1"/>
          <c:tx>
            <c:strRef>
              <c:f>'Grain Size'!$D$2</c:f>
              <c:strCache>
                <c:ptCount val="1"/>
                <c:pt idx="0">
                  <c:v>Med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Size'!$D$4:$D$20</c:f>
              <c:numCache>
                <c:formatCode>General</c:formatCode>
                <c:ptCount val="17"/>
                <c:pt idx="0">
                  <c:v>50</c:v>
                </c:pt>
                <c:pt idx="1">
                  <c:v>30</c:v>
                </c:pt>
                <c:pt idx="2">
                  <c:v>23</c:v>
                </c:pt>
                <c:pt idx="3">
                  <c:v>18</c:v>
                </c:pt>
                <c:pt idx="4">
                  <c:v>35</c:v>
                </c:pt>
                <c:pt idx="5">
                  <c:v>36</c:v>
                </c:pt>
                <c:pt idx="6">
                  <c:v>37</c:v>
                </c:pt>
                <c:pt idx="7">
                  <c:v>20</c:v>
                </c:pt>
                <c:pt idx="8">
                  <c:v>21</c:v>
                </c:pt>
                <c:pt idx="9">
                  <c:v>20</c:v>
                </c:pt>
                <c:pt idx="10">
                  <c:v>26</c:v>
                </c:pt>
                <c:pt idx="11">
                  <c:v>30</c:v>
                </c:pt>
                <c:pt idx="12">
                  <c:v>35</c:v>
                </c:pt>
                <c:pt idx="13">
                  <c:v>26</c:v>
                </c:pt>
                <c:pt idx="14">
                  <c:v>30</c:v>
                </c:pt>
                <c:pt idx="15">
                  <c:v>35</c:v>
                </c:pt>
                <c:pt idx="16">
                  <c:v>23</c:v>
                </c:pt>
              </c:numCache>
            </c:numRef>
          </c:val>
          <c:extLst>
            <c:ext xmlns:c16="http://schemas.microsoft.com/office/drawing/2014/chart" uri="{C3380CC4-5D6E-409C-BE32-E72D297353CC}">
              <c16:uniqueId val="{00000001-40EF-40D0-B073-BFA2473CB1E0}"/>
            </c:ext>
          </c:extLst>
        </c:ser>
        <c:ser>
          <c:idx val="2"/>
          <c:order val="2"/>
          <c:tx>
            <c:strRef>
              <c:f>'Grain Size'!$E$2</c:f>
              <c:strCache>
                <c:ptCount val="1"/>
                <c:pt idx="0">
                  <c:v>Fine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Size'!$E$4:$E$20</c:f>
              <c:numCache>
                <c:formatCode>General</c:formatCode>
                <c:ptCount val="17"/>
                <c:pt idx="0">
                  <c:v>10</c:v>
                </c:pt>
                <c:pt idx="1">
                  <c:v>25</c:v>
                </c:pt>
                <c:pt idx="2">
                  <c:v>33</c:v>
                </c:pt>
                <c:pt idx="3">
                  <c:v>30</c:v>
                </c:pt>
                <c:pt idx="4">
                  <c:v>30</c:v>
                </c:pt>
                <c:pt idx="5">
                  <c:v>30</c:v>
                </c:pt>
                <c:pt idx="6">
                  <c:v>27</c:v>
                </c:pt>
                <c:pt idx="7">
                  <c:v>32</c:v>
                </c:pt>
                <c:pt idx="8">
                  <c:v>22</c:v>
                </c:pt>
                <c:pt idx="9">
                  <c:v>30</c:v>
                </c:pt>
                <c:pt idx="10">
                  <c:v>30</c:v>
                </c:pt>
                <c:pt idx="11">
                  <c:v>40</c:v>
                </c:pt>
                <c:pt idx="12">
                  <c:v>30</c:v>
                </c:pt>
                <c:pt idx="13">
                  <c:v>30</c:v>
                </c:pt>
                <c:pt idx="14">
                  <c:v>30</c:v>
                </c:pt>
                <c:pt idx="15">
                  <c:v>22</c:v>
                </c:pt>
                <c:pt idx="16">
                  <c:v>28</c:v>
                </c:pt>
              </c:numCache>
            </c:numRef>
          </c:val>
          <c:extLst>
            <c:ext xmlns:c16="http://schemas.microsoft.com/office/drawing/2014/chart" uri="{C3380CC4-5D6E-409C-BE32-E72D297353CC}">
              <c16:uniqueId val="{00000002-40EF-40D0-B073-BFA2473CB1E0}"/>
            </c:ext>
          </c:extLst>
        </c:ser>
        <c:ser>
          <c:idx val="3"/>
          <c:order val="3"/>
          <c:tx>
            <c:strRef>
              <c:f>'Grain Size'!$F$2</c:f>
              <c:strCache>
                <c:ptCount val="1"/>
                <c:pt idx="0">
                  <c:v>Very Fine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Size'!$F$4:$F$20</c:f>
              <c:numCache>
                <c:formatCode>General</c:formatCode>
                <c:ptCount val="17"/>
                <c:pt idx="0">
                  <c:v>10</c:v>
                </c:pt>
                <c:pt idx="1">
                  <c:v>20</c:v>
                </c:pt>
                <c:pt idx="2">
                  <c:v>22</c:v>
                </c:pt>
                <c:pt idx="3">
                  <c:v>30</c:v>
                </c:pt>
                <c:pt idx="4">
                  <c:v>15</c:v>
                </c:pt>
                <c:pt idx="5">
                  <c:v>18</c:v>
                </c:pt>
                <c:pt idx="6">
                  <c:v>16</c:v>
                </c:pt>
                <c:pt idx="7">
                  <c:v>18</c:v>
                </c:pt>
                <c:pt idx="8">
                  <c:v>21</c:v>
                </c:pt>
                <c:pt idx="9">
                  <c:v>15</c:v>
                </c:pt>
                <c:pt idx="10">
                  <c:v>8</c:v>
                </c:pt>
                <c:pt idx="11">
                  <c:v>5</c:v>
                </c:pt>
                <c:pt idx="12">
                  <c:v>8</c:v>
                </c:pt>
                <c:pt idx="13">
                  <c:v>10</c:v>
                </c:pt>
                <c:pt idx="14">
                  <c:v>8</c:v>
                </c:pt>
                <c:pt idx="15">
                  <c:v>8</c:v>
                </c:pt>
                <c:pt idx="16">
                  <c:v>12</c:v>
                </c:pt>
              </c:numCache>
            </c:numRef>
          </c:val>
          <c:extLst>
            <c:ext xmlns:c16="http://schemas.microsoft.com/office/drawing/2014/chart" uri="{C3380CC4-5D6E-409C-BE32-E72D297353CC}">
              <c16:uniqueId val="{00000003-40EF-40D0-B073-BFA2473CB1E0}"/>
            </c:ext>
          </c:extLst>
        </c:ser>
        <c:ser>
          <c:idx val="4"/>
          <c:order val="4"/>
          <c:tx>
            <c:strRef>
              <c:f>'Grain Size'!$G$2</c:f>
              <c:strCache>
                <c:ptCount val="1"/>
                <c:pt idx="0">
                  <c:v>Silt/Clay</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Size'!$G$4:$G$20</c:f>
              <c:numCache>
                <c:formatCode>General</c:formatCode>
                <c:ptCount val="17"/>
                <c:pt idx="0">
                  <c:v>20</c:v>
                </c:pt>
                <c:pt idx="1">
                  <c:v>20</c:v>
                </c:pt>
                <c:pt idx="2">
                  <c:v>20</c:v>
                </c:pt>
                <c:pt idx="3">
                  <c:v>20</c:v>
                </c:pt>
                <c:pt idx="4">
                  <c:v>15</c:v>
                </c:pt>
                <c:pt idx="5">
                  <c:v>11</c:v>
                </c:pt>
                <c:pt idx="6">
                  <c:v>12</c:v>
                </c:pt>
                <c:pt idx="7">
                  <c:v>22</c:v>
                </c:pt>
                <c:pt idx="8">
                  <c:v>21</c:v>
                </c:pt>
                <c:pt idx="9">
                  <c:v>22</c:v>
                </c:pt>
                <c:pt idx="10">
                  <c:v>22</c:v>
                </c:pt>
                <c:pt idx="11">
                  <c:v>10</c:v>
                </c:pt>
                <c:pt idx="12">
                  <c:v>17</c:v>
                </c:pt>
                <c:pt idx="13">
                  <c:v>22</c:v>
                </c:pt>
                <c:pt idx="14">
                  <c:v>17</c:v>
                </c:pt>
                <c:pt idx="15">
                  <c:v>17</c:v>
                </c:pt>
                <c:pt idx="16">
                  <c:v>19</c:v>
                </c:pt>
              </c:numCache>
            </c:numRef>
          </c:val>
          <c:extLst>
            <c:ext xmlns:c16="http://schemas.microsoft.com/office/drawing/2014/chart" uri="{C3380CC4-5D6E-409C-BE32-E72D297353CC}">
              <c16:uniqueId val="{00000004-40EF-40D0-B073-BFA2473CB1E0}"/>
            </c:ext>
          </c:extLst>
        </c:ser>
        <c:dLbls>
          <c:showLegendKey val="0"/>
          <c:showVal val="0"/>
          <c:showCatName val="0"/>
          <c:showSerName val="0"/>
          <c:showPercent val="0"/>
          <c:showBubbleSize val="0"/>
        </c:dLbls>
        <c:gapWidth val="150"/>
        <c:overlap val="100"/>
        <c:axId val="176568192"/>
        <c:axId val="176569728"/>
      </c:barChart>
      <c:catAx>
        <c:axId val="176568192"/>
        <c:scaling>
          <c:orientation val="minMax"/>
        </c:scaling>
        <c:delete val="0"/>
        <c:axPos val="l"/>
        <c:numFmt formatCode="General" sourceLinked="0"/>
        <c:majorTickMark val="out"/>
        <c:minorTickMark val="none"/>
        <c:tickLblPos val="nextTo"/>
        <c:crossAx val="176569728"/>
        <c:crosses val="autoZero"/>
        <c:auto val="1"/>
        <c:lblAlgn val="ctr"/>
        <c:lblOffset val="100"/>
        <c:noMultiLvlLbl val="0"/>
      </c:catAx>
      <c:valAx>
        <c:axId val="176569728"/>
        <c:scaling>
          <c:orientation val="minMax"/>
          <c:max val="100"/>
        </c:scaling>
        <c:delete val="0"/>
        <c:axPos val="b"/>
        <c:majorGridlines/>
        <c:title>
          <c:tx>
            <c:rich>
              <a:bodyPr/>
              <a:lstStyle/>
              <a:p>
                <a:pPr>
                  <a:defRPr/>
                </a:pPr>
                <a:r>
                  <a:rPr lang="en-US"/>
                  <a:t>Percentage</a:t>
                </a:r>
              </a:p>
            </c:rich>
          </c:tx>
          <c:overlay val="0"/>
        </c:title>
        <c:numFmt formatCode="General" sourceLinked="1"/>
        <c:majorTickMark val="out"/>
        <c:minorTickMark val="none"/>
        <c:tickLblPos val="nextTo"/>
        <c:crossAx val="176568192"/>
        <c:crosses val="autoZero"/>
        <c:crossBetween val="between"/>
      </c:valAx>
    </c:plotArea>
    <c:legend>
      <c:legendPos val="t"/>
      <c:layout>
        <c:manualLayout>
          <c:xMode val="edge"/>
          <c:yMode val="edge"/>
          <c:x val="0.22373168835381127"/>
          <c:y val="3.7898373760978481E-2"/>
          <c:w val="0.70083647784934089"/>
          <c:h val="5.7134021752192114E-2"/>
        </c:manualLayout>
      </c:layout>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Watershed - Nitrate Inflow Trend </a:t>
            </a:r>
          </a:p>
        </c:rich>
      </c:tx>
      <c:layout>
        <c:manualLayout>
          <c:xMode val="edge"/>
          <c:yMode val="edge"/>
          <c:x val="0.23296354992076071"/>
          <c:y val="3.3846153846153845E-2"/>
        </c:manualLayout>
      </c:layout>
      <c:overlay val="0"/>
      <c:spPr>
        <a:noFill/>
        <a:ln w="25400">
          <a:noFill/>
        </a:ln>
      </c:spPr>
    </c:title>
    <c:autoTitleDeleted val="0"/>
    <c:plotArea>
      <c:layout>
        <c:manualLayout>
          <c:layoutTarget val="inner"/>
          <c:xMode val="edge"/>
          <c:yMode val="edge"/>
          <c:x val="0.14616781237433921"/>
          <c:y val="0.14247349229643086"/>
          <c:w val="0.82709591392311765"/>
          <c:h val="0.72580835698180024"/>
        </c:manualLayout>
      </c:layout>
      <c:barChart>
        <c:barDir val="col"/>
        <c:grouping val="clustered"/>
        <c:varyColors val="0"/>
        <c:ser>
          <c:idx val="0"/>
          <c:order val="0"/>
          <c:tx>
            <c:strRef>
              <c:f>'Nitrate Trends'!$A$3</c:f>
              <c:strCache>
                <c:ptCount val="1"/>
                <c:pt idx="0">
                  <c:v>Bear Creek Inflow</c:v>
                </c:pt>
              </c:strCache>
            </c:strRef>
          </c:tx>
          <c:spPr>
            <a:solidFill>
              <a:srgbClr val="9999FF"/>
            </a:solidFill>
            <a:ln w="12700">
              <a:solidFill>
                <a:srgbClr val="000000"/>
              </a:solidFill>
              <a:prstDash val="solid"/>
            </a:ln>
          </c:spPr>
          <c:invertIfNegative val="0"/>
          <c:cat>
            <c:numRef>
              <c:f>'Nitrate Trends'!$B$3:$B$23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'Nitrate Trends'!$C$3:$C$23</c:f>
              <c:numCache>
                <c:formatCode>0</c:formatCode>
                <c:ptCount val="21"/>
                <c:pt idx="0">
                  <c:v>773</c:v>
                </c:pt>
                <c:pt idx="1">
                  <c:v>1078</c:v>
                </c:pt>
                <c:pt idx="2">
                  <c:v>931</c:v>
                </c:pt>
                <c:pt idx="3">
                  <c:v>1253</c:v>
                </c:pt>
                <c:pt idx="4">
                  <c:v>1472</c:v>
                </c:pt>
                <c:pt idx="5">
                  <c:v>1932</c:v>
                </c:pt>
                <c:pt idx="6">
                  <c:v>1367.4375</c:v>
                </c:pt>
                <c:pt idx="7">
                  <c:v>798.58375000000012</c:v>
                </c:pt>
                <c:pt idx="8">
                  <c:v>525</c:v>
                </c:pt>
                <c:pt idx="9">
                  <c:v>521</c:v>
                </c:pt>
                <c:pt idx="10">
                  <c:v>1483</c:v>
                </c:pt>
                <c:pt idx="11">
                  <c:v>974</c:v>
                </c:pt>
                <c:pt idx="12">
                  <c:v>4314</c:v>
                </c:pt>
                <c:pt idx="13" formatCode="General">
                  <c:v>1757</c:v>
                </c:pt>
                <c:pt idx="14" formatCode="General">
                  <c:v>444</c:v>
                </c:pt>
                <c:pt idx="15" formatCode="General">
                  <c:v>1100</c:v>
                </c:pt>
                <c:pt idx="16" formatCode="General">
                  <c:v>1570</c:v>
                </c:pt>
                <c:pt idx="17" formatCode="General">
                  <c:v>747</c:v>
                </c:pt>
                <c:pt idx="18" formatCode="General">
                  <c:v>1093</c:v>
                </c:pt>
                <c:pt idx="19" formatCode="General">
                  <c:v>322</c:v>
                </c:pt>
                <c:pt idx="20" formatCode="General">
                  <c:v>1296</c:v>
                </c:pt>
              </c:numCache>
            </c:numRef>
          </c:val>
          <c:extLst>
            <c:ext xmlns:c16="http://schemas.microsoft.com/office/drawing/2014/chart" uri="{C3380CC4-5D6E-409C-BE32-E72D297353CC}">
              <c16:uniqueId val="{00000000-A17C-42D7-BDD9-045BAC01C002}"/>
            </c:ext>
          </c:extLst>
        </c:ser>
        <c:ser>
          <c:idx val="1"/>
          <c:order val="1"/>
          <c:tx>
            <c:strRef>
              <c:f>'Nitrate Trends'!$A$45</c:f>
              <c:strCache>
                <c:ptCount val="1"/>
                <c:pt idx="0">
                  <c:v>Turkey Creek Inflow</c:v>
                </c:pt>
              </c:strCache>
            </c:strRef>
          </c:tx>
          <c:spPr>
            <a:solidFill>
              <a:srgbClr val="993366"/>
            </a:solidFill>
            <a:ln w="12700">
              <a:solidFill>
                <a:srgbClr val="000000"/>
              </a:solidFill>
              <a:prstDash val="solid"/>
            </a:ln>
          </c:spPr>
          <c:invertIfNegative val="0"/>
          <c:cat>
            <c:numRef>
              <c:f>'Nitrate Trends'!$B$3:$B$23</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'Nitrate Trends'!$C$45:$C$65</c:f>
              <c:numCache>
                <c:formatCode>0</c:formatCode>
                <c:ptCount val="21"/>
                <c:pt idx="0">
                  <c:v>1121</c:v>
                </c:pt>
                <c:pt idx="1">
                  <c:v>1590</c:v>
                </c:pt>
                <c:pt idx="2">
                  <c:v>2941</c:v>
                </c:pt>
                <c:pt idx="3">
                  <c:v>1224</c:v>
                </c:pt>
                <c:pt idx="4">
                  <c:v>963</c:v>
                </c:pt>
                <c:pt idx="5">
                  <c:v>476</c:v>
                </c:pt>
                <c:pt idx="6">
                  <c:v>618.3125</c:v>
                </c:pt>
                <c:pt idx="7">
                  <c:v>419.54062500000003</c:v>
                </c:pt>
                <c:pt idx="8">
                  <c:v>536</c:v>
                </c:pt>
                <c:pt idx="9">
                  <c:v>192</c:v>
                </c:pt>
                <c:pt idx="10">
                  <c:v>803</c:v>
                </c:pt>
                <c:pt idx="11">
                  <c:v>486</c:v>
                </c:pt>
                <c:pt idx="12">
                  <c:v>686</c:v>
                </c:pt>
                <c:pt idx="13" formatCode="General">
                  <c:v>764</c:v>
                </c:pt>
                <c:pt idx="14" formatCode="General">
                  <c:v>385</c:v>
                </c:pt>
                <c:pt idx="15" formatCode="General">
                  <c:v>481</c:v>
                </c:pt>
                <c:pt idx="16" formatCode="General">
                  <c:v>419</c:v>
                </c:pt>
                <c:pt idx="17" formatCode="General">
                  <c:v>410</c:v>
                </c:pt>
                <c:pt idx="18" formatCode="General">
                  <c:v>671</c:v>
                </c:pt>
                <c:pt idx="19" formatCode="General">
                  <c:v>1018</c:v>
                </c:pt>
                <c:pt idx="20" formatCode="General">
                  <c:v>569</c:v>
                </c:pt>
              </c:numCache>
            </c:numRef>
          </c:val>
          <c:extLst>
            <c:ext xmlns:c16="http://schemas.microsoft.com/office/drawing/2014/chart" uri="{C3380CC4-5D6E-409C-BE32-E72D297353CC}">
              <c16:uniqueId val="{00000001-A17C-42D7-BDD9-045BAC01C002}"/>
            </c:ext>
          </c:extLst>
        </c:ser>
        <c:dLbls>
          <c:showLegendKey val="0"/>
          <c:showVal val="0"/>
          <c:showCatName val="0"/>
          <c:showSerName val="0"/>
          <c:showPercent val="0"/>
          <c:showBubbleSize val="0"/>
        </c:dLbls>
        <c:gapWidth val="99"/>
        <c:axId val="52033408"/>
        <c:axId val="52034944"/>
      </c:barChart>
      <c:catAx>
        <c:axId val="52033408"/>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52034944"/>
        <c:crosses val="autoZero"/>
        <c:auto val="1"/>
        <c:lblAlgn val="ctr"/>
        <c:lblOffset val="100"/>
        <c:tickLblSkip val="1"/>
        <c:tickMarkSkip val="1"/>
        <c:noMultiLvlLbl val="0"/>
      </c:catAx>
      <c:valAx>
        <c:axId val="52034944"/>
        <c:scaling>
          <c:orientation val="minMax"/>
        </c:scaling>
        <c:delete val="0"/>
        <c:axPos val="l"/>
        <c:majorGridlines>
          <c:spPr>
            <a:ln w="3175">
              <a:solidFill>
                <a:srgbClr val="000000"/>
              </a:solidFill>
              <a:prstDash val="solid"/>
            </a:ln>
          </c:spPr>
        </c:majorGridlines>
        <c:minorGridlines/>
        <c:title>
          <c:tx>
            <c:rich>
              <a:bodyPr/>
              <a:lstStyle/>
              <a:p>
                <a:pPr>
                  <a:defRPr sz="1200" b="1" i="0" u="none" strike="noStrike" baseline="0">
                    <a:solidFill>
                      <a:srgbClr val="000000"/>
                    </a:solidFill>
                    <a:latin typeface="Arial"/>
                    <a:ea typeface="Arial"/>
                    <a:cs typeface="Arial"/>
                  </a:defRPr>
                </a:pPr>
                <a:r>
                  <a:rPr lang="en-US"/>
                  <a:t>Nitrate (ug/l)</a:t>
                </a:r>
              </a:p>
            </c:rich>
          </c:tx>
          <c:layout>
            <c:manualLayout>
              <c:xMode val="edge"/>
              <c:yMode val="edge"/>
              <c:x val="1.6042859935693463E-2"/>
              <c:y val="0.373656692913385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2033408"/>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19190086976053508"/>
          <c:y val="0.18601863363571008"/>
          <c:w val="0.22915590384799409"/>
          <c:h val="0.164368576065396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332" r="0.75000000000001332" t="1" header="0.5" footer="0.5"/>
    <c:pageSetup orientation="landscape" horizontalDpi="-2"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71741032371027E-2"/>
          <c:y val="5.1400554097404488E-2"/>
          <c:w val="0.84973381452319241"/>
          <c:h val="0.71729512977544452"/>
        </c:manualLayout>
      </c:layout>
      <c:lineChart>
        <c:grouping val="standard"/>
        <c:varyColors val="0"/>
        <c:ser>
          <c:idx val="0"/>
          <c:order val="0"/>
          <c:tx>
            <c:strRef>
              <c:f>'Rec Use'!$A$4</c:f>
              <c:strCache>
                <c:ptCount val="1"/>
                <c:pt idx="0">
                  <c:v>Walking/ Running </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Use'!$B$4:$P$4</c:f>
              <c:numCache>
                <c:formatCode>General</c:formatCode>
                <c:ptCount val="15"/>
                <c:pt idx="0">
                  <c:v>2</c:v>
                </c:pt>
                <c:pt idx="1">
                  <c:v>21</c:v>
                </c:pt>
                <c:pt idx="2">
                  <c:v>43</c:v>
                </c:pt>
                <c:pt idx="3">
                  <c:v>33</c:v>
                </c:pt>
                <c:pt idx="4">
                  <c:v>14</c:v>
                </c:pt>
                <c:pt idx="5">
                  <c:v>12</c:v>
                </c:pt>
                <c:pt idx="6">
                  <c:v>11</c:v>
                </c:pt>
                <c:pt idx="7">
                  <c:v>37</c:v>
                </c:pt>
                <c:pt idx="8">
                  <c:v>38</c:v>
                </c:pt>
                <c:pt idx="9">
                  <c:v>30</c:v>
                </c:pt>
                <c:pt idx="10">
                  <c:v>13</c:v>
                </c:pt>
                <c:pt idx="11">
                  <c:v>20</c:v>
                </c:pt>
                <c:pt idx="12">
                  <c:v>40</c:v>
                </c:pt>
                <c:pt idx="13">
                  <c:v>4</c:v>
                </c:pt>
                <c:pt idx="14">
                  <c:v>18</c:v>
                </c:pt>
              </c:numCache>
            </c:numRef>
          </c:val>
          <c:smooth val="0"/>
          <c:extLst>
            <c:ext xmlns:c16="http://schemas.microsoft.com/office/drawing/2014/chart" uri="{C3380CC4-5D6E-409C-BE32-E72D297353CC}">
              <c16:uniqueId val="{00000000-FC40-4925-8A28-EB0D81E1C8EE}"/>
            </c:ext>
          </c:extLst>
        </c:ser>
        <c:ser>
          <c:idx val="1"/>
          <c:order val="1"/>
          <c:tx>
            <c:strRef>
              <c:f>'Rec Use'!$A$6</c:f>
              <c:strCache>
                <c:ptCount val="1"/>
                <c:pt idx="0">
                  <c:v>Bicycle</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Use'!$B$6:$P$6</c:f>
              <c:numCache>
                <c:formatCode>General</c:formatCode>
                <c:ptCount val="15"/>
                <c:pt idx="0">
                  <c:v>2</c:v>
                </c:pt>
                <c:pt idx="1">
                  <c:v>1</c:v>
                </c:pt>
                <c:pt idx="2">
                  <c:v>36</c:v>
                </c:pt>
                <c:pt idx="3">
                  <c:v>17</c:v>
                </c:pt>
                <c:pt idx="4">
                  <c:v>23</c:v>
                </c:pt>
                <c:pt idx="5">
                  <c:v>23</c:v>
                </c:pt>
                <c:pt idx="6">
                  <c:v>32</c:v>
                </c:pt>
                <c:pt idx="7">
                  <c:v>99</c:v>
                </c:pt>
                <c:pt idx="8">
                  <c:v>32</c:v>
                </c:pt>
                <c:pt idx="9">
                  <c:v>48</c:v>
                </c:pt>
                <c:pt idx="10">
                  <c:v>54</c:v>
                </c:pt>
                <c:pt idx="11">
                  <c:v>27</c:v>
                </c:pt>
                <c:pt idx="12">
                  <c:v>28</c:v>
                </c:pt>
                <c:pt idx="13">
                  <c:v>6</c:v>
                </c:pt>
                <c:pt idx="14">
                  <c:v>28</c:v>
                </c:pt>
              </c:numCache>
            </c:numRef>
          </c:val>
          <c:smooth val="0"/>
          <c:extLst>
            <c:ext xmlns:c16="http://schemas.microsoft.com/office/drawing/2014/chart" uri="{C3380CC4-5D6E-409C-BE32-E72D297353CC}">
              <c16:uniqueId val="{00000001-FC40-4925-8A28-EB0D81E1C8EE}"/>
            </c:ext>
          </c:extLst>
        </c:ser>
        <c:ser>
          <c:idx val="2"/>
          <c:order val="2"/>
          <c:tx>
            <c:strRef>
              <c:f>'Rec Use'!$A$9</c:f>
              <c:strCache>
                <c:ptCount val="1"/>
                <c:pt idx="0">
                  <c:v>Fishing</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Use'!$B$9:$P$9</c:f>
              <c:numCache>
                <c:formatCode>General</c:formatCode>
                <c:ptCount val="15"/>
                <c:pt idx="0">
                  <c:v>4</c:v>
                </c:pt>
                <c:pt idx="1">
                  <c:v>1</c:v>
                </c:pt>
                <c:pt idx="2">
                  <c:v>46</c:v>
                </c:pt>
                <c:pt idx="3">
                  <c:v>27</c:v>
                </c:pt>
                <c:pt idx="4">
                  <c:v>16</c:v>
                </c:pt>
                <c:pt idx="5">
                  <c:v>33</c:v>
                </c:pt>
                <c:pt idx="6">
                  <c:v>30</c:v>
                </c:pt>
                <c:pt idx="7">
                  <c:v>39</c:v>
                </c:pt>
                <c:pt idx="8">
                  <c:v>41</c:v>
                </c:pt>
                <c:pt idx="9">
                  <c:v>28</c:v>
                </c:pt>
                <c:pt idx="10">
                  <c:v>47</c:v>
                </c:pt>
                <c:pt idx="11">
                  <c:v>35</c:v>
                </c:pt>
                <c:pt idx="12">
                  <c:v>5</c:v>
                </c:pt>
                <c:pt idx="13">
                  <c:v>13</c:v>
                </c:pt>
                <c:pt idx="14">
                  <c:v>23</c:v>
                </c:pt>
              </c:numCache>
            </c:numRef>
          </c:val>
          <c:smooth val="0"/>
          <c:extLst>
            <c:ext xmlns:c16="http://schemas.microsoft.com/office/drawing/2014/chart" uri="{C3380CC4-5D6E-409C-BE32-E72D297353CC}">
              <c16:uniqueId val="{00000002-FC40-4925-8A28-EB0D81E1C8EE}"/>
            </c:ext>
          </c:extLst>
        </c:ser>
        <c:ser>
          <c:idx val="3"/>
          <c:order val="3"/>
          <c:tx>
            <c:strRef>
              <c:f>'Rec Use'!$A$11</c:f>
              <c:strCache>
                <c:ptCount val="1"/>
                <c:pt idx="0">
                  <c:v>Camping</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Use'!$B$11:$P$11</c:f>
              <c:numCache>
                <c:formatCode>General</c:formatCode>
                <c:ptCount val="15"/>
                <c:pt idx="3">
                  <c:v>6</c:v>
                </c:pt>
                <c:pt idx="4">
                  <c:v>12</c:v>
                </c:pt>
                <c:pt idx="5">
                  <c:v>50</c:v>
                </c:pt>
                <c:pt idx="6">
                  <c:v>18</c:v>
                </c:pt>
                <c:pt idx="7">
                  <c:v>56</c:v>
                </c:pt>
                <c:pt idx="8">
                  <c:v>22</c:v>
                </c:pt>
                <c:pt idx="9">
                  <c:v>14</c:v>
                </c:pt>
                <c:pt idx="10">
                  <c:v>13</c:v>
                </c:pt>
                <c:pt idx="11">
                  <c:v>25</c:v>
                </c:pt>
                <c:pt idx="12">
                  <c:v>7</c:v>
                </c:pt>
              </c:numCache>
            </c:numRef>
          </c:val>
          <c:smooth val="0"/>
          <c:extLst>
            <c:ext xmlns:c16="http://schemas.microsoft.com/office/drawing/2014/chart" uri="{C3380CC4-5D6E-409C-BE32-E72D297353CC}">
              <c16:uniqueId val="{00000003-FC40-4925-8A28-EB0D81E1C8EE}"/>
            </c:ext>
          </c:extLst>
        </c:ser>
        <c:ser>
          <c:idx val="4"/>
          <c:order val="4"/>
          <c:tx>
            <c:strRef>
              <c:f>'Rec Use'!$A$12</c:f>
              <c:strCache>
                <c:ptCount val="1"/>
                <c:pt idx="0">
                  <c:v>Beach</c:v>
                </c:pt>
              </c:strCache>
            </c:strRef>
          </c:tx>
          <c:marker>
            <c:symbol val="none"/>
          </c:marker>
          <c:val>
            <c:numRef>
              <c:f>'Rec Use'!$B$12:$P$12</c:f>
              <c:numCache>
                <c:formatCode>General</c:formatCode>
                <c:ptCount val="15"/>
                <c:pt idx="4">
                  <c:v>2</c:v>
                </c:pt>
                <c:pt idx="5">
                  <c:v>50</c:v>
                </c:pt>
                <c:pt idx="6">
                  <c:v>130</c:v>
                </c:pt>
                <c:pt idx="7">
                  <c:v>90</c:v>
                </c:pt>
                <c:pt idx="8">
                  <c:v>110</c:v>
                </c:pt>
                <c:pt idx="9">
                  <c:v>60</c:v>
                </c:pt>
                <c:pt idx="10">
                  <c:v>1</c:v>
                </c:pt>
                <c:pt idx="11">
                  <c:v>2</c:v>
                </c:pt>
              </c:numCache>
            </c:numRef>
          </c:val>
          <c:smooth val="0"/>
          <c:extLst>
            <c:ext xmlns:c16="http://schemas.microsoft.com/office/drawing/2014/chart" uri="{C3380CC4-5D6E-409C-BE32-E72D297353CC}">
              <c16:uniqueId val="{00000004-FC40-4925-8A28-EB0D81E1C8EE}"/>
            </c:ext>
          </c:extLst>
        </c:ser>
        <c:dLbls>
          <c:showLegendKey val="0"/>
          <c:showVal val="0"/>
          <c:showCatName val="0"/>
          <c:showSerName val="0"/>
          <c:showPercent val="0"/>
          <c:showBubbleSize val="0"/>
        </c:dLbls>
        <c:smooth val="0"/>
        <c:axId val="176913024"/>
        <c:axId val="176935296"/>
      </c:lineChart>
      <c:catAx>
        <c:axId val="176913024"/>
        <c:scaling>
          <c:orientation val="minMax"/>
        </c:scaling>
        <c:delete val="0"/>
        <c:axPos val="b"/>
        <c:numFmt formatCode="[$-409]mmm\-yy;@" sourceLinked="0"/>
        <c:majorTickMark val="out"/>
        <c:minorTickMark val="none"/>
        <c:tickLblPos val="nextTo"/>
        <c:crossAx val="176935296"/>
        <c:crosses val="autoZero"/>
        <c:auto val="1"/>
        <c:lblAlgn val="ctr"/>
        <c:lblOffset val="100"/>
        <c:noMultiLvlLbl val="0"/>
      </c:catAx>
      <c:valAx>
        <c:axId val="176935296"/>
        <c:scaling>
          <c:orientation val="minMax"/>
        </c:scaling>
        <c:delete val="0"/>
        <c:axPos val="l"/>
        <c:majorGridlines/>
        <c:numFmt formatCode="General" sourceLinked="1"/>
        <c:majorTickMark val="out"/>
        <c:minorTickMark val="none"/>
        <c:tickLblPos val="nextTo"/>
        <c:crossAx val="17691302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legend>
      <c:legendPos val="r"/>
      <c:layout>
        <c:manualLayout>
          <c:xMode val="edge"/>
          <c:yMode val="edge"/>
          <c:x val="0.65354227442881518"/>
          <c:y val="5.2618847301621537E-2"/>
          <c:w val="0.29058333333333336"/>
          <c:h val="0.25616506270049577"/>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Daily Use Estimates for Week-Days 2010</a:t>
            </a:r>
          </a:p>
        </c:rich>
      </c:tx>
      <c:overlay val="1"/>
    </c:title>
    <c:autoTitleDeleted val="0"/>
    <c:plotArea>
      <c:layout>
        <c:manualLayout>
          <c:layoutTarget val="inner"/>
          <c:xMode val="edge"/>
          <c:yMode val="edge"/>
          <c:x val="9.8571741032371027E-2"/>
          <c:y val="0.13399639204391556"/>
          <c:w val="0.86084492563429904"/>
          <c:h val="0.68942559171254036"/>
        </c:manualLayout>
      </c:layout>
      <c:lineChart>
        <c:grouping val="standard"/>
        <c:varyColors val="0"/>
        <c:ser>
          <c:idx val="0"/>
          <c:order val="0"/>
          <c:tx>
            <c:strRef>
              <c:f>'Rec Use'!$S$4</c:f>
              <c:strCache>
                <c:ptCount val="1"/>
                <c:pt idx="0">
                  <c:v>Walking/ Running </c:v>
                </c:pt>
              </c:strCache>
            </c:strRef>
          </c:tx>
          <c:marker>
            <c:symbol val="none"/>
          </c:marker>
          <c:cat>
            <c:strRef>
              <c:f>'Rec Use'!$T$2:$AE$2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'Rec Use'!$T$4:$AE$4</c:f>
              <c:numCache>
                <c:formatCode>General</c:formatCode>
                <c:ptCount val="12"/>
                <c:pt idx="0">
                  <c:v>4</c:v>
                </c:pt>
                <c:pt idx="1">
                  <c:v>42</c:v>
                </c:pt>
                <c:pt idx="2">
                  <c:v>86</c:v>
                </c:pt>
                <c:pt idx="3">
                  <c:v>66</c:v>
                </c:pt>
                <c:pt idx="4">
                  <c:v>28</c:v>
                </c:pt>
                <c:pt idx="5">
                  <c:v>24</c:v>
                </c:pt>
                <c:pt idx="6">
                  <c:v>75</c:v>
                </c:pt>
                <c:pt idx="7">
                  <c:v>68</c:v>
                </c:pt>
                <c:pt idx="8">
                  <c:v>43</c:v>
                </c:pt>
                <c:pt idx="9">
                  <c:v>80</c:v>
                </c:pt>
                <c:pt idx="10">
                  <c:v>8</c:v>
                </c:pt>
                <c:pt idx="11">
                  <c:v>36</c:v>
                </c:pt>
              </c:numCache>
            </c:numRef>
          </c:val>
          <c:smooth val="0"/>
          <c:extLst>
            <c:ext xmlns:c16="http://schemas.microsoft.com/office/drawing/2014/chart" uri="{C3380CC4-5D6E-409C-BE32-E72D297353CC}">
              <c16:uniqueId val="{00000000-5D22-4195-8D91-CFAA6FCE40AF}"/>
            </c:ext>
          </c:extLst>
        </c:ser>
        <c:ser>
          <c:idx val="1"/>
          <c:order val="1"/>
          <c:tx>
            <c:strRef>
              <c:f>'Rec Use'!$S$6</c:f>
              <c:strCache>
                <c:ptCount val="1"/>
                <c:pt idx="0">
                  <c:v>Bicycle</c:v>
                </c:pt>
              </c:strCache>
            </c:strRef>
          </c:tx>
          <c:marker>
            <c:symbol val="none"/>
          </c:marker>
          <c:val>
            <c:numRef>
              <c:f>'Rec Use'!$T$6:$AE$6</c:f>
              <c:numCache>
                <c:formatCode>General</c:formatCode>
                <c:ptCount val="12"/>
                <c:pt idx="0">
                  <c:v>4</c:v>
                </c:pt>
                <c:pt idx="1">
                  <c:v>2</c:v>
                </c:pt>
                <c:pt idx="2">
                  <c:v>72</c:v>
                </c:pt>
                <c:pt idx="3">
                  <c:v>34</c:v>
                </c:pt>
                <c:pt idx="4">
                  <c:v>46</c:v>
                </c:pt>
                <c:pt idx="5">
                  <c:v>46</c:v>
                </c:pt>
                <c:pt idx="6">
                  <c:v>131</c:v>
                </c:pt>
                <c:pt idx="7">
                  <c:v>80</c:v>
                </c:pt>
                <c:pt idx="8">
                  <c:v>102</c:v>
                </c:pt>
                <c:pt idx="9">
                  <c:v>56</c:v>
                </c:pt>
                <c:pt idx="10">
                  <c:v>12</c:v>
                </c:pt>
                <c:pt idx="11">
                  <c:v>56</c:v>
                </c:pt>
              </c:numCache>
            </c:numRef>
          </c:val>
          <c:smooth val="0"/>
          <c:extLst>
            <c:ext xmlns:c16="http://schemas.microsoft.com/office/drawing/2014/chart" uri="{C3380CC4-5D6E-409C-BE32-E72D297353CC}">
              <c16:uniqueId val="{00000001-5D22-4195-8D91-CFAA6FCE40AF}"/>
            </c:ext>
          </c:extLst>
        </c:ser>
        <c:ser>
          <c:idx val="2"/>
          <c:order val="2"/>
          <c:tx>
            <c:strRef>
              <c:f>'Rec Use'!$S$9</c:f>
              <c:strCache>
                <c:ptCount val="1"/>
                <c:pt idx="0">
                  <c:v>Fishing</c:v>
                </c:pt>
              </c:strCache>
            </c:strRef>
          </c:tx>
          <c:marker>
            <c:symbol val="none"/>
          </c:marker>
          <c:val>
            <c:numRef>
              <c:f>'Rec Use'!$T$9:$AE$9</c:f>
              <c:numCache>
                <c:formatCode>General</c:formatCode>
                <c:ptCount val="12"/>
                <c:pt idx="0">
                  <c:v>8</c:v>
                </c:pt>
                <c:pt idx="1">
                  <c:v>2</c:v>
                </c:pt>
                <c:pt idx="2">
                  <c:v>92</c:v>
                </c:pt>
                <c:pt idx="3">
                  <c:v>54</c:v>
                </c:pt>
                <c:pt idx="4">
                  <c:v>32</c:v>
                </c:pt>
                <c:pt idx="5">
                  <c:v>66</c:v>
                </c:pt>
                <c:pt idx="6">
                  <c:v>80</c:v>
                </c:pt>
                <c:pt idx="7">
                  <c:v>69</c:v>
                </c:pt>
                <c:pt idx="8">
                  <c:v>75</c:v>
                </c:pt>
                <c:pt idx="9">
                  <c:v>10</c:v>
                </c:pt>
                <c:pt idx="10">
                  <c:v>26</c:v>
                </c:pt>
                <c:pt idx="11">
                  <c:v>46</c:v>
                </c:pt>
              </c:numCache>
            </c:numRef>
          </c:val>
          <c:smooth val="0"/>
          <c:extLst>
            <c:ext xmlns:c16="http://schemas.microsoft.com/office/drawing/2014/chart" uri="{C3380CC4-5D6E-409C-BE32-E72D297353CC}">
              <c16:uniqueId val="{00000002-5D22-4195-8D91-CFAA6FCE40AF}"/>
            </c:ext>
          </c:extLst>
        </c:ser>
        <c:dLbls>
          <c:showLegendKey val="0"/>
          <c:showVal val="0"/>
          <c:showCatName val="0"/>
          <c:showSerName val="0"/>
          <c:showPercent val="0"/>
          <c:showBubbleSize val="0"/>
        </c:dLbls>
        <c:smooth val="0"/>
        <c:axId val="177489024"/>
        <c:axId val="177490560"/>
      </c:lineChart>
      <c:catAx>
        <c:axId val="177489024"/>
        <c:scaling>
          <c:orientation val="minMax"/>
        </c:scaling>
        <c:delete val="0"/>
        <c:axPos val="b"/>
        <c:numFmt formatCode="General" sourceLinked="0"/>
        <c:majorTickMark val="out"/>
        <c:minorTickMark val="none"/>
        <c:tickLblPos val="nextTo"/>
        <c:crossAx val="177490560"/>
        <c:crosses val="autoZero"/>
        <c:auto val="1"/>
        <c:lblAlgn val="ctr"/>
        <c:lblOffset val="100"/>
        <c:noMultiLvlLbl val="0"/>
      </c:catAx>
      <c:valAx>
        <c:axId val="177490560"/>
        <c:scaling>
          <c:orientation val="minMax"/>
        </c:scaling>
        <c:delete val="0"/>
        <c:axPos val="l"/>
        <c:majorGridlines/>
        <c:numFmt formatCode="General" sourceLinked="1"/>
        <c:majorTickMark val="out"/>
        <c:minorTickMark val="none"/>
        <c:tickLblPos val="nextTo"/>
        <c:crossAx val="17748902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9.6040978748624245E-2"/>
          <c:y val="0.13911258394155418"/>
          <c:w val="0.24757260181187024"/>
          <c:h val="0.1823833842391744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4" Type="http://schemas.openxmlformats.org/officeDocument/2006/relationships/chart" Target="../charts/chart3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5" Type="http://schemas.openxmlformats.org/officeDocument/2006/relationships/chart" Target="../charts/chart77.xml"/><Relationship Id="rId4" Type="http://schemas.openxmlformats.org/officeDocument/2006/relationships/chart" Target="../charts/chart76.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chart" Target="../charts/chart8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 Id="rId5" Type="http://schemas.openxmlformats.org/officeDocument/2006/relationships/chart" Target="../charts/chart86.xml"/><Relationship Id="rId4" Type="http://schemas.openxmlformats.org/officeDocument/2006/relationships/chart" Target="../charts/chart85.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91.xml"/><Relationship Id="rId1" Type="http://schemas.openxmlformats.org/officeDocument/2006/relationships/chart" Target="../charts/chart9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123825</xdr:rowOff>
    </xdr:from>
    <xdr:to>
      <xdr:col>16</xdr:col>
      <xdr:colOff>9525</xdr:colOff>
      <xdr:row>45</xdr:row>
      <xdr:rowOff>85725</xdr:rowOff>
    </xdr:to>
    <xdr:pic>
      <xdr:nvPicPr>
        <xdr:cNvPr id="2" name="Picture 2" descr="bclp_water qual_sample-sit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23825"/>
          <a:ext cx="9525000" cy="724852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0.61103</cdr:x>
      <cdr:y>0.28571</cdr:y>
    </cdr:from>
    <cdr:to>
      <cdr:x>0.61103</cdr:x>
      <cdr:y>0.28571</cdr:y>
    </cdr:to>
    <cdr:sp macro="" textlink="">
      <cdr:nvSpPr>
        <cdr:cNvPr id="9217" name="Text Box 1"/>
        <cdr:cNvSpPr txBox="1">
          <a:spLocks xmlns:a="http://schemas.openxmlformats.org/drawingml/2006/main" noChangeArrowheads="1"/>
        </cdr:cNvSpPr>
      </cdr:nvSpPr>
      <cdr:spPr bwMode="auto">
        <a:xfrm xmlns:a="http://schemas.openxmlformats.org/drawingml/2006/main">
          <a:off x="3821143" y="786930"/>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Hypereutrophic/Eutrophic</a:t>
          </a:r>
        </a:p>
      </cdr:txBody>
    </cdr:sp>
  </cdr:relSizeAnchor>
  <cdr:relSizeAnchor xmlns:cdr="http://schemas.openxmlformats.org/drawingml/2006/chartDrawing">
    <cdr:from>
      <cdr:x>0.65091</cdr:x>
      <cdr:y>0.49566</cdr:y>
    </cdr:from>
    <cdr:to>
      <cdr:x>0.65091</cdr:x>
      <cdr:y>0.49566</cdr:y>
    </cdr:to>
    <cdr:sp macro="" textlink="">
      <cdr:nvSpPr>
        <cdr:cNvPr id="9218" name="Text Box 2"/>
        <cdr:cNvSpPr txBox="1">
          <a:spLocks xmlns:a="http://schemas.openxmlformats.org/drawingml/2006/main" noChangeArrowheads="1"/>
        </cdr:cNvSpPr>
      </cdr:nvSpPr>
      <cdr:spPr bwMode="auto">
        <a:xfrm xmlns:a="http://schemas.openxmlformats.org/drawingml/2006/main">
          <a:off x="4070345" y="13628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000000"/>
              </a:solidFill>
              <a:latin typeface="Arial"/>
              <a:cs typeface="Arial"/>
            </a:rPr>
            <a:t>Mesotrophic</a:t>
          </a:r>
        </a:p>
      </cdr:txBody>
    </cdr:sp>
  </cdr:relSizeAnchor>
</c:userShapes>
</file>

<file path=xl/drawings/drawing11.xml><?xml version="1.0" encoding="utf-8"?>
<c:userShapes xmlns:c="http://schemas.openxmlformats.org/drawingml/2006/chart">
  <cdr:relSizeAnchor xmlns:cdr="http://schemas.openxmlformats.org/drawingml/2006/chartDrawing">
    <cdr:from>
      <cdr:x>0.32385</cdr:x>
      <cdr:y>0.5757</cdr:y>
    </cdr:from>
    <cdr:to>
      <cdr:x>0.32385</cdr:x>
      <cdr:y>0.5757</cdr:y>
    </cdr:to>
    <cdr:sp macro="" textlink="">
      <cdr:nvSpPr>
        <cdr:cNvPr id="10241" name="Text Box 1"/>
        <cdr:cNvSpPr txBox="1">
          <a:spLocks xmlns:a="http://schemas.openxmlformats.org/drawingml/2006/main" noChangeArrowheads="1"/>
        </cdr:cNvSpPr>
      </cdr:nvSpPr>
      <cdr:spPr bwMode="auto">
        <a:xfrm xmlns:a="http://schemas.openxmlformats.org/drawingml/2006/main">
          <a:off x="1940350" y="186209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strike="noStrike">
              <a:solidFill>
                <a:srgbClr val="000000"/>
              </a:solidFill>
              <a:latin typeface="Arial"/>
              <a:cs typeface="Arial"/>
            </a:rPr>
            <a:t>Mesotrophic/Eutrophic Boundary</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368300</xdr:colOff>
      <xdr:row>28</xdr:row>
      <xdr:rowOff>120196</xdr:rowOff>
    </xdr:from>
    <xdr:to>
      <xdr:col>10</xdr:col>
      <xdr:colOff>306161</xdr:colOff>
      <xdr:row>50</xdr:row>
      <xdr:rowOff>63046</xdr:rowOff>
    </xdr:to>
    <xdr:graphicFrame macro="">
      <xdr:nvGraphicFramePr>
        <xdr:cNvPr id="11437" name="Chart 1">
          <a:extLst>
            <a:ext uri="{FF2B5EF4-FFF2-40B4-BE49-F238E27FC236}">
              <a16:creationId xmlns:a16="http://schemas.microsoft.com/office/drawing/2014/main" id="{00000000-0008-0000-0800-0000AD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521608</xdr:colOff>
      <xdr:row>29</xdr:row>
      <xdr:rowOff>11339</xdr:rowOff>
    </xdr:from>
    <xdr:to>
      <xdr:col>17</xdr:col>
      <xdr:colOff>680357</xdr:colOff>
      <xdr:row>50</xdr:row>
      <xdr:rowOff>147411</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220888</xdr:colOff>
      <xdr:row>28</xdr:row>
      <xdr:rowOff>108857</xdr:rowOff>
    </xdr:from>
    <xdr:to>
      <xdr:col>27</xdr:col>
      <xdr:colOff>136071</xdr:colOff>
      <xdr:row>50</xdr:row>
      <xdr:rowOff>51707</xdr:rowOff>
    </xdr:to>
    <xdr:graphicFrame macro="">
      <xdr:nvGraphicFramePr>
        <xdr:cNvPr id="5" name="Chart 1">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446312</xdr:colOff>
      <xdr:row>58</xdr:row>
      <xdr:rowOff>445861</xdr:rowOff>
    </xdr:from>
    <xdr:to>
      <xdr:col>13</xdr:col>
      <xdr:colOff>737053</xdr:colOff>
      <xdr:row>80</xdr:row>
      <xdr:rowOff>90714</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269875</xdr:colOff>
      <xdr:row>22</xdr:row>
      <xdr:rowOff>25400</xdr:rowOff>
    </xdr:from>
    <xdr:to>
      <xdr:col>24</xdr:col>
      <xdr:colOff>0</xdr:colOff>
      <xdr:row>44</xdr:row>
      <xdr:rowOff>152400</xdr:rowOff>
    </xdr:to>
    <xdr:graphicFrame macro="">
      <xdr:nvGraphicFramePr>
        <xdr:cNvPr id="23721" name="Chart 1">
          <a:extLst>
            <a:ext uri="{FF2B5EF4-FFF2-40B4-BE49-F238E27FC236}">
              <a16:creationId xmlns:a16="http://schemas.microsoft.com/office/drawing/2014/main" id="{00000000-0008-0000-0900-0000A9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22</xdr:row>
      <xdr:rowOff>25401</xdr:rowOff>
    </xdr:from>
    <xdr:to>
      <xdr:col>12</xdr:col>
      <xdr:colOff>76200</xdr:colOff>
      <xdr:row>45</xdr:row>
      <xdr:rowOff>1</xdr:rowOff>
    </xdr:to>
    <xdr:graphicFrame macro="">
      <xdr:nvGraphicFramePr>
        <xdr:cNvPr id="23722" name="Chart 2">
          <a:extLst>
            <a:ext uri="{FF2B5EF4-FFF2-40B4-BE49-F238E27FC236}">
              <a16:creationId xmlns:a16="http://schemas.microsoft.com/office/drawing/2014/main" id="{00000000-0008-0000-0900-0000AA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3174</xdr:colOff>
      <xdr:row>23</xdr:row>
      <xdr:rowOff>3174</xdr:rowOff>
    </xdr:from>
    <xdr:to>
      <xdr:col>19</xdr:col>
      <xdr:colOff>800100</xdr:colOff>
      <xdr:row>47</xdr:row>
      <xdr:rowOff>152400</xdr:rowOff>
    </xdr:to>
    <xdr:graphicFrame macro="">
      <xdr:nvGraphicFramePr>
        <xdr:cNvPr id="29865" name="Chart 1">
          <a:extLst>
            <a:ext uri="{FF2B5EF4-FFF2-40B4-BE49-F238E27FC236}">
              <a16:creationId xmlns:a16="http://schemas.microsoft.com/office/drawing/2014/main" id="{00000000-0008-0000-0A00-0000A9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273050</xdr:colOff>
      <xdr:row>23</xdr:row>
      <xdr:rowOff>6350</xdr:rowOff>
    </xdr:from>
    <xdr:to>
      <xdr:col>10</xdr:col>
      <xdr:colOff>139700</xdr:colOff>
      <xdr:row>48</xdr:row>
      <xdr:rowOff>12700</xdr:rowOff>
    </xdr:to>
    <xdr:graphicFrame macro="">
      <xdr:nvGraphicFramePr>
        <xdr:cNvPr id="29866" name="Chart 2">
          <a:extLst>
            <a:ext uri="{FF2B5EF4-FFF2-40B4-BE49-F238E27FC236}">
              <a16:creationId xmlns:a16="http://schemas.microsoft.com/office/drawing/2014/main" id="{00000000-0008-0000-0A00-0000AA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101600</xdr:colOff>
      <xdr:row>20</xdr:row>
      <xdr:rowOff>107950</xdr:rowOff>
    </xdr:from>
    <xdr:to>
      <xdr:col>9</xdr:col>
      <xdr:colOff>114300</xdr:colOff>
      <xdr:row>43</xdr:row>
      <xdr:rowOff>158750</xdr:rowOff>
    </xdr:to>
    <xdr:graphicFrame macro="">
      <xdr:nvGraphicFramePr>
        <xdr:cNvPr id="24661" name="Chart 1">
          <a:extLst>
            <a:ext uri="{FF2B5EF4-FFF2-40B4-BE49-F238E27FC236}">
              <a16:creationId xmlns:a16="http://schemas.microsoft.com/office/drawing/2014/main" id="{00000000-0008-0000-0B00-000055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20</xdr:row>
      <xdr:rowOff>114300</xdr:rowOff>
    </xdr:from>
    <xdr:to>
      <xdr:col>18</xdr:col>
      <xdr:colOff>673100</xdr:colOff>
      <xdr:row>43</xdr:row>
      <xdr:rowOff>152400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1155700</xdr:colOff>
      <xdr:row>20</xdr:row>
      <xdr:rowOff>142874</xdr:rowOff>
    </xdr:from>
    <xdr:to>
      <xdr:col>13</xdr:col>
      <xdr:colOff>203200</xdr:colOff>
      <xdr:row>51</xdr:row>
      <xdr:rowOff>38100</xdr:rowOff>
    </xdr:to>
    <xdr:graphicFrame macro="">
      <xdr:nvGraphicFramePr>
        <xdr:cNvPr id="17493" name="Chart 1">
          <a:extLst>
            <a:ext uri="{FF2B5EF4-FFF2-40B4-BE49-F238E27FC236}">
              <a16:creationId xmlns:a16="http://schemas.microsoft.com/office/drawing/2014/main" id="{00000000-0008-0000-0C00-000055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508000</xdr:colOff>
      <xdr:row>21</xdr:row>
      <xdr:rowOff>3174</xdr:rowOff>
    </xdr:from>
    <xdr:to>
      <xdr:col>13</xdr:col>
      <xdr:colOff>190500</xdr:colOff>
      <xdr:row>42</xdr:row>
      <xdr:rowOff>25400</xdr:rowOff>
    </xdr:to>
    <xdr:graphicFrame macro="">
      <xdr:nvGraphicFramePr>
        <xdr:cNvPr id="33963" name="Chart 1">
          <a:extLst>
            <a:ext uri="{FF2B5EF4-FFF2-40B4-BE49-F238E27FC236}">
              <a16:creationId xmlns:a16="http://schemas.microsoft.com/office/drawing/2014/main" id="{00000000-0008-0000-0D00-0000AB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177801</xdr:colOff>
      <xdr:row>21</xdr:row>
      <xdr:rowOff>63500</xdr:rowOff>
    </xdr:from>
    <xdr:to>
      <xdr:col>24</xdr:col>
      <xdr:colOff>457201</xdr:colOff>
      <xdr:row>41</xdr:row>
      <xdr:rowOff>101600</xdr:rowOff>
    </xdr:to>
    <xdr:graphicFrame macro="">
      <xdr:nvGraphicFramePr>
        <xdr:cNvPr id="33964" name="Chart 2">
          <a:extLst>
            <a:ext uri="{FF2B5EF4-FFF2-40B4-BE49-F238E27FC236}">
              <a16:creationId xmlns:a16="http://schemas.microsoft.com/office/drawing/2014/main" id="{00000000-0008-0000-0D00-0000AC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876300</xdr:colOff>
      <xdr:row>61</xdr:row>
      <xdr:rowOff>38100</xdr:rowOff>
    </xdr:from>
    <xdr:to>
      <xdr:col>11</xdr:col>
      <xdr:colOff>0</xdr:colOff>
      <xdr:row>83</xdr:row>
      <xdr:rowOff>88900</xdr:rowOff>
    </xdr:to>
    <xdr:graphicFrame macro="">
      <xdr:nvGraphicFramePr>
        <xdr:cNvPr id="4" name="Chart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203200</xdr:colOff>
      <xdr:row>24</xdr:row>
      <xdr:rowOff>63500</xdr:rowOff>
    </xdr:from>
    <xdr:to>
      <xdr:col>9</xdr:col>
      <xdr:colOff>631825</xdr:colOff>
      <xdr:row>41</xdr:row>
      <xdr:rowOff>130175</xdr:rowOff>
    </xdr:to>
    <xdr:graphicFrame macro="">
      <xdr:nvGraphicFramePr>
        <xdr:cNvPr id="28757" name="Chart 1">
          <a:extLst>
            <a:ext uri="{FF2B5EF4-FFF2-40B4-BE49-F238E27FC236}">
              <a16:creationId xmlns:a16="http://schemas.microsoft.com/office/drawing/2014/main" id="{00000000-0008-0000-0E00-000055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342900</xdr:colOff>
      <xdr:row>25</xdr:row>
      <xdr:rowOff>88900</xdr:rowOff>
    </xdr:from>
    <xdr:to>
      <xdr:col>20</xdr:col>
      <xdr:colOff>254000</xdr:colOff>
      <xdr:row>46</xdr:row>
      <xdr:rowOff>38100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663575</xdr:colOff>
      <xdr:row>21</xdr:row>
      <xdr:rowOff>41275</xdr:rowOff>
    </xdr:from>
    <xdr:to>
      <xdr:col>12</xdr:col>
      <xdr:colOff>431800</xdr:colOff>
      <xdr:row>44</xdr:row>
      <xdr:rowOff>92075</xdr:rowOff>
    </xdr:to>
    <xdr:graphicFrame macro="">
      <xdr:nvGraphicFramePr>
        <xdr:cNvPr id="18517" name="Chart 1">
          <a:extLst>
            <a:ext uri="{FF2B5EF4-FFF2-40B4-BE49-F238E27FC236}">
              <a16:creationId xmlns:a16="http://schemas.microsoft.com/office/drawing/2014/main" id="{00000000-0008-0000-0F00-000055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19</xdr:row>
      <xdr:rowOff>123825</xdr:rowOff>
    </xdr:from>
    <xdr:to>
      <xdr:col>12</xdr:col>
      <xdr:colOff>114300</xdr:colOff>
      <xdr:row>34</xdr:row>
      <xdr:rowOff>38100</xdr:rowOff>
    </xdr:to>
    <xdr:graphicFrame macro="">
      <xdr:nvGraphicFramePr>
        <xdr:cNvPr id="1445" name="Chart 1">
          <a:extLst>
            <a:ext uri="{FF2B5EF4-FFF2-40B4-BE49-F238E27FC236}">
              <a16:creationId xmlns:a16="http://schemas.microsoft.com/office/drawing/2014/main" id="{00000000-0008-0000-0200-0000A5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xdr:colOff>
      <xdr:row>51</xdr:row>
      <xdr:rowOff>152400</xdr:rowOff>
    </xdr:from>
    <xdr:to>
      <xdr:col>16</xdr:col>
      <xdr:colOff>0</xdr:colOff>
      <xdr:row>67</xdr:row>
      <xdr:rowOff>28575</xdr:rowOff>
    </xdr:to>
    <xdr:graphicFrame macro="">
      <xdr:nvGraphicFramePr>
        <xdr:cNvPr id="1446" name="Chart 2">
          <a:extLst>
            <a:ext uri="{FF2B5EF4-FFF2-40B4-BE49-F238E27FC236}">
              <a16:creationId xmlns:a16="http://schemas.microsoft.com/office/drawing/2014/main" id="{00000000-0008-0000-0200-0000A6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19</xdr:row>
      <xdr:rowOff>123825</xdr:rowOff>
    </xdr:from>
    <xdr:to>
      <xdr:col>15</xdr:col>
      <xdr:colOff>314325</xdr:colOff>
      <xdr:row>34</xdr:row>
      <xdr:rowOff>38100</xdr:rowOff>
    </xdr:to>
    <xdr:graphicFrame macro="">
      <xdr:nvGraphicFramePr>
        <xdr:cNvPr id="7"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314325</xdr:colOff>
      <xdr:row>51</xdr:row>
      <xdr:rowOff>104775</xdr:rowOff>
    </xdr:from>
    <xdr:to>
      <xdr:col>29</xdr:col>
      <xdr:colOff>390525</xdr:colOff>
      <xdr:row>67</xdr:row>
      <xdr:rowOff>38100</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285749</xdr:colOff>
      <xdr:row>34</xdr:row>
      <xdr:rowOff>152401</xdr:rowOff>
    </xdr:from>
    <xdr:to>
      <xdr:col>15</xdr:col>
      <xdr:colOff>333374</xdr:colOff>
      <xdr:row>50</xdr:row>
      <xdr:rowOff>133351</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xdr:colOff>
      <xdr:row>19</xdr:row>
      <xdr:rowOff>152400</xdr:rowOff>
    </xdr:from>
    <xdr:to>
      <xdr:col>29</xdr:col>
      <xdr:colOff>381000</xdr:colOff>
      <xdr:row>34</xdr:row>
      <xdr:rowOff>66675</xdr:rowOff>
    </xdr:to>
    <xdr:graphicFrame macro="">
      <xdr:nvGraphicFramePr>
        <xdr:cNvPr id="10" name="Chart 4">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9525</xdr:colOff>
      <xdr:row>35</xdr:row>
      <xdr:rowOff>19050</xdr:rowOff>
    </xdr:from>
    <xdr:to>
      <xdr:col>29</xdr:col>
      <xdr:colOff>285750</xdr:colOff>
      <xdr:row>49</xdr:row>
      <xdr:rowOff>152399</xdr:rowOff>
    </xdr:to>
    <xdr:graphicFrame macro="">
      <xdr:nvGraphicFramePr>
        <xdr:cNvPr id="11" name="Chart 5">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174625</xdr:colOff>
      <xdr:row>18</xdr:row>
      <xdr:rowOff>63500</xdr:rowOff>
    </xdr:from>
    <xdr:to>
      <xdr:col>20</xdr:col>
      <xdr:colOff>127000</xdr:colOff>
      <xdr:row>39</xdr:row>
      <xdr:rowOff>63500</xdr:rowOff>
    </xdr:to>
    <xdr:graphicFrame macro="">
      <xdr:nvGraphicFramePr>
        <xdr:cNvPr id="12457" name="Chart 1">
          <a:extLst>
            <a:ext uri="{FF2B5EF4-FFF2-40B4-BE49-F238E27FC236}">
              <a16:creationId xmlns:a16="http://schemas.microsoft.com/office/drawing/2014/main" id="{00000000-0008-0000-1000-0000A9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469900</xdr:colOff>
      <xdr:row>17</xdr:row>
      <xdr:rowOff>34924</xdr:rowOff>
    </xdr:from>
    <xdr:to>
      <xdr:col>9</xdr:col>
      <xdr:colOff>746125</xdr:colOff>
      <xdr:row>36</xdr:row>
      <xdr:rowOff>63499</xdr:rowOff>
    </xdr:to>
    <xdr:graphicFrame macro="">
      <xdr:nvGraphicFramePr>
        <xdr:cNvPr id="12458" name="Chart 2">
          <a:extLst>
            <a:ext uri="{FF2B5EF4-FFF2-40B4-BE49-F238E27FC236}">
              <a16:creationId xmlns:a16="http://schemas.microsoft.com/office/drawing/2014/main" id="{00000000-0008-0000-1000-0000A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200025</xdr:colOff>
      <xdr:row>0</xdr:row>
      <xdr:rowOff>104775</xdr:rowOff>
    </xdr:from>
    <xdr:to>
      <xdr:col>23</xdr:col>
      <xdr:colOff>209550</xdr:colOff>
      <xdr:row>18</xdr:row>
      <xdr:rowOff>123825</xdr:rowOff>
    </xdr:to>
    <xdr:graphicFrame macro="">
      <xdr:nvGraphicFramePr>
        <xdr:cNvPr id="26795" name="Chart 3">
          <a:extLst>
            <a:ext uri="{FF2B5EF4-FFF2-40B4-BE49-F238E27FC236}">
              <a16:creationId xmlns:a16="http://schemas.microsoft.com/office/drawing/2014/main" id="{00000000-0008-0000-1100-0000AB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0</xdr:row>
      <xdr:rowOff>0</xdr:rowOff>
    </xdr:from>
    <xdr:to>
      <xdr:col>12</xdr:col>
      <xdr:colOff>495300</xdr:colOff>
      <xdr:row>19</xdr:row>
      <xdr:rowOff>38100</xdr:rowOff>
    </xdr:to>
    <xdr:graphicFrame macro="">
      <xdr:nvGraphicFramePr>
        <xdr:cNvPr id="26796" name="Chart 4">
          <a:extLst>
            <a:ext uri="{FF2B5EF4-FFF2-40B4-BE49-F238E27FC236}">
              <a16:creationId xmlns:a16="http://schemas.microsoft.com/office/drawing/2014/main" id="{00000000-0008-0000-1100-0000AC6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161925</xdr:colOff>
      <xdr:row>63</xdr:row>
      <xdr:rowOff>152399</xdr:rowOff>
    </xdr:from>
    <xdr:to>
      <xdr:col>9</xdr:col>
      <xdr:colOff>142875</xdr:colOff>
      <xdr:row>81</xdr:row>
      <xdr:rowOff>66674</xdr:rowOff>
    </xdr:to>
    <xdr:graphicFrame macro="">
      <xdr:nvGraphicFramePr>
        <xdr:cNvPr id="4" name="Chart 3">
          <a:extLst>
            <a:ext uri="{FF2B5EF4-FFF2-40B4-BE49-F238E27FC236}">
              <a16:creationId xmlns:a16="http://schemas.microsoft.com/office/drawing/2014/main" id="{00000000-0008-0000-1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2</xdr:row>
      <xdr:rowOff>161925</xdr:rowOff>
    </xdr:from>
    <xdr:to>
      <xdr:col>17</xdr:col>
      <xdr:colOff>904875</xdr:colOff>
      <xdr:row>20</xdr:row>
      <xdr:rowOff>38100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342900</xdr:colOff>
      <xdr:row>2</xdr:row>
      <xdr:rowOff>161925</xdr:rowOff>
    </xdr:from>
    <xdr:to>
      <xdr:col>15</xdr:col>
      <xdr:colOff>876300</xdr:colOff>
      <xdr:row>19</xdr:row>
      <xdr:rowOff>123825</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8</xdr:col>
      <xdr:colOff>381000</xdr:colOff>
      <xdr:row>65</xdr:row>
      <xdr:rowOff>9525</xdr:rowOff>
    </xdr:to>
    <xdr:sp macro="" textlink="">
      <xdr:nvSpPr>
        <xdr:cNvPr id="2049" name="AutoShape 1" descr="Graph of  Discharge, cubic feet per second">
          <a:extLst>
            <a:ext uri="{FF2B5EF4-FFF2-40B4-BE49-F238E27FC236}">
              <a16:creationId xmlns:a16="http://schemas.microsoft.com/office/drawing/2014/main" id="{00000000-0008-0000-1400-000001080000}"/>
            </a:ext>
          </a:extLst>
        </xdr:cNvPr>
        <xdr:cNvSpPr>
          <a:spLocks noChangeAspect="1" noChangeArrowheads="1"/>
        </xdr:cNvSpPr>
      </xdr:nvSpPr>
      <xdr:spPr bwMode="auto">
        <a:xfrm>
          <a:off x="7772400" y="161925"/>
          <a:ext cx="5486400" cy="3657600"/>
        </a:xfrm>
        <a:prstGeom prst="rect">
          <a:avLst/>
        </a:prstGeom>
        <a:noFill/>
      </xdr:spPr>
    </xdr:sp>
    <xdr:clientData/>
  </xdr:twoCellAnchor>
  <xdr:twoCellAnchor editAs="oneCell">
    <xdr:from>
      <xdr:col>0</xdr:col>
      <xdr:colOff>0</xdr:colOff>
      <xdr:row>45</xdr:row>
      <xdr:rowOff>0</xdr:rowOff>
    </xdr:from>
    <xdr:to>
      <xdr:col>8</xdr:col>
      <xdr:colOff>381000</xdr:colOff>
      <xdr:row>67</xdr:row>
      <xdr:rowOff>9525</xdr:rowOff>
    </xdr:to>
    <xdr:sp macro="" textlink="">
      <xdr:nvSpPr>
        <xdr:cNvPr id="2050" name="AutoShape 2" descr="Graph of  Discharge, cubic feet per second">
          <a:extLst>
            <a:ext uri="{FF2B5EF4-FFF2-40B4-BE49-F238E27FC236}">
              <a16:creationId xmlns:a16="http://schemas.microsoft.com/office/drawing/2014/main" id="{00000000-0008-0000-1400-000002080000}"/>
            </a:ext>
          </a:extLst>
        </xdr:cNvPr>
        <xdr:cNvSpPr>
          <a:spLocks noChangeAspect="1" noChangeArrowheads="1"/>
        </xdr:cNvSpPr>
      </xdr:nvSpPr>
      <xdr:spPr bwMode="auto">
        <a:xfrm>
          <a:off x="8382000" y="647700"/>
          <a:ext cx="5486400" cy="3657600"/>
        </a:xfrm>
        <a:prstGeom prst="rect">
          <a:avLst/>
        </a:prstGeom>
        <a:noFill/>
      </xdr:spPr>
    </xdr:sp>
    <xdr:clientData/>
  </xdr:twoCellAnchor>
  <xdr:twoCellAnchor editAs="oneCell">
    <xdr:from>
      <xdr:col>0</xdr:col>
      <xdr:colOff>0</xdr:colOff>
      <xdr:row>45</xdr:row>
      <xdr:rowOff>0</xdr:rowOff>
    </xdr:from>
    <xdr:to>
      <xdr:col>8</xdr:col>
      <xdr:colOff>381000</xdr:colOff>
      <xdr:row>67</xdr:row>
      <xdr:rowOff>9525</xdr:rowOff>
    </xdr:to>
    <xdr:sp macro="" textlink="">
      <xdr:nvSpPr>
        <xdr:cNvPr id="2051" name="AutoShape 3" descr="Graph of  Discharge, cubic feet per second">
          <a:extLst>
            <a:ext uri="{FF2B5EF4-FFF2-40B4-BE49-F238E27FC236}">
              <a16:creationId xmlns:a16="http://schemas.microsoft.com/office/drawing/2014/main" id="{00000000-0008-0000-1400-000003080000}"/>
            </a:ext>
          </a:extLst>
        </xdr:cNvPr>
        <xdr:cNvSpPr>
          <a:spLocks noChangeAspect="1" noChangeArrowheads="1"/>
        </xdr:cNvSpPr>
      </xdr:nvSpPr>
      <xdr:spPr bwMode="auto">
        <a:xfrm>
          <a:off x="9601200" y="647700"/>
          <a:ext cx="5486400" cy="3657600"/>
        </a:xfrm>
        <a:prstGeom prst="rect">
          <a:avLst/>
        </a:prstGeom>
        <a:noFill/>
      </xdr:spPr>
    </xdr:sp>
    <xdr:clientData/>
  </xdr:twoCellAnchor>
  <xdr:twoCellAnchor editAs="oneCell">
    <xdr:from>
      <xdr:col>0</xdr:col>
      <xdr:colOff>0</xdr:colOff>
      <xdr:row>44</xdr:row>
      <xdr:rowOff>0</xdr:rowOff>
    </xdr:from>
    <xdr:to>
      <xdr:col>8</xdr:col>
      <xdr:colOff>419100</xdr:colOff>
      <xdr:row>71</xdr:row>
      <xdr:rowOff>114300</xdr:rowOff>
    </xdr:to>
    <xdr:sp macro="" textlink="">
      <xdr:nvSpPr>
        <xdr:cNvPr id="2052" name="AutoShape 4" descr="Graph of  Discharge, cubic feet per second">
          <a:extLst>
            <a:ext uri="{FF2B5EF4-FFF2-40B4-BE49-F238E27FC236}">
              <a16:creationId xmlns:a16="http://schemas.microsoft.com/office/drawing/2014/main" id="{00000000-0008-0000-1400-000004080000}"/>
            </a:ext>
          </a:extLst>
        </xdr:cNvPr>
        <xdr:cNvSpPr>
          <a:spLocks noChangeAspect="1" noChangeArrowheads="1"/>
        </xdr:cNvSpPr>
      </xdr:nvSpPr>
      <xdr:spPr bwMode="auto">
        <a:xfrm>
          <a:off x="7162800" y="485775"/>
          <a:ext cx="5524500" cy="4572000"/>
        </a:xfrm>
        <a:prstGeom prst="rect">
          <a:avLst/>
        </a:prstGeom>
        <a:noFill/>
      </xdr:spPr>
    </xdr:sp>
    <xdr:clientData/>
  </xdr:twoCellAnchor>
  <xdr:twoCellAnchor editAs="oneCell">
    <xdr:from>
      <xdr:col>0</xdr:col>
      <xdr:colOff>0</xdr:colOff>
      <xdr:row>43</xdr:row>
      <xdr:rowOff>0</xdr:rowOff>
    </xdr:from>
    <xdr:to>
      <xdr:col>8</xdr:col>
      <xdr:colOff>419100</xdr:colOff>
      <xdr:row>70</xdr:row>
      <xdr:rowOff>114300</xdr:rowOff>
    </xdr:to>
    <xdr:sp macro="" textlink="">
      <xdr:nvSpPr>
        <xdr:cNvPr id="2053" name="AutoShape 5" descr="Graph of  Discharge, cubic feet per second">
          <a:extLst>
            <a:ext uri="{FF2B5EF4-FFF2-40B4-BE49-F238E27FC236}">
              <a16:creationId xmlns:a16="http://schemas.microsoft.com/office/drawing/2014/main" id="{00000000-0008-0000-1400-000005080000}"/>
            </a:ext>
          </a:extLst>
        </xdr:cNvPr>
        <xdr:cNvSpPr>
          <a:spLocks noChangeAspect="1" noChangeArrowheads="1"/>
        </xdr:cNvSpPr>
      </xdr:nvSpPr>
      <xdr:spPr bwMode="auto">
        <a:xfrm>
          <a:off x="7772400" y="161925"/>
          <a:ext cx="5524500" cy="4572000"/>
        </a:xfrm>
        <a:prstGeom prst="rect">
          <a:avLst/>
        </a:prstGeom>
        <a:noFill/>
      </xdr:spPr>
    </xdr:sp>
    <xdr:clientData/>
  </xdr:twoCellAnchor>
  <xdr:twoCellAnchor editAs="oneCell">
    <xdr:from>
      <xdr:col>0</xdr:col>
      <xdr:colOff>0</xdr:colOff>
      <xdr:row>57</xdr:row>
      <xdr:rowOff>28575</xdr:rowOff>
    </xdr:from>
    <xdr:to>
      <xdr:col>8</xdr:col>
      <xdr:colOff>419100</xdr:colOff>
      <xdr:row>85</xdr:row>
      <xdr:rowOff>38100</xdr:rowOff>
    </xdr:to>
    <xdr:sp macro="" textlink="">
      <xdr:nvSpPr>
        <xdr:cNvPr id="2056" name="AutoShape 8" descr="Graph of  Discharge, cubic feet per second">
          <a:extLst>
            <a:ext uri="{FF2B5EF4-FFF2-40B4-BE49-F238E27FC236}">
              <a16:creationId xmlns:a16="http://schemas.microsoft.com/office/drawing/2014/main" id="{00000000-0008-0000-1400-000008080000}"/>
            </a:ext>
          </a:extLst>
        </xdr:cNvPr>
        <xdr:cNvSpPr>
          <a:spLocks noChangeAspect="1" noChangeArrowheads="1"/>
        </xdr:cNvSpPr>
      </xdr:nvSpPr>
      <xdr:spPr bwMode="auto">
        <a:xfrm>
          <a:off x="7772400" y="3943350"/>
          <a:ext cx="5524500" cy="4572000"/>
        </a:xfrm>
        <a:prstGeom prst="rect">
          <a:avLst/>
        </a:prstGeom>
        <a:noFill/>
      </xdr:spPr>
    </xdr:sp>
    <xdr:clientData/>
  </xdr:twoCellAnchor>
  <xdr:twoCellAnchor>
    <xdr:from>
      <xdr:col>11</xdr:col>
      <xdr:colOff>209550</xdr:colOff>
      <xdr:row>11</xdr:row>
      <xdr:rowOff>76200</xdr:rowOff>
    </xdr:from>
    <xdr:to>
      <xdr:col>16</xdr:col>
      <xdr:colOff>495300</xdr:colOff>
      <xdr:row>27</xdr:row>
      <xdr:rowOff>114300</xdr:rowOff>
    </xdr:to>
    <xdr:graphicFrame macro="">
      <xdr:nvGraphicFramePr>
        <xdr:cNvPr id="12" name="Chart 11">
          <a:extLst>
            <a:ext uri="{FF2B5EF4-FFF2-40B4-BE49-F238E27FC236}">
              <a16:creationId xmlns:a16="http://schemas.microsoft.com/office/drawing/2014/main" id="{00000000-0008-0000-1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57149</xdr:colOff>
      <xdr:row>9</xdr:row>
      <xdr:rowOff>104774</xdr:rowOff>
    </xdr:from>
    <xdr:to>
      <xdr:col>18</xdr:col>
      <xdr:colOff>38100</xdr:colOff>
      <xdr:row>26</xdr:row>
      <xdr:rowOff>19049</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12</xdr:col>
      <xdr:colOff>0</xdr:colOff>
      <xdr:row>10</xdr:row>
      <xdr:rowOff>0</xdr:rowOff>
    </xdr:from>
    <xdr:to>
      <xdr:col>19</xdr:col>
      <xdr:colOff>304800</xdr:colOff>
      <xdr:row>26</xdr:row>
      <xdr:rowOff>123825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46</xdr:row>
      <xdr:rowOff>0</xdr:rowOff>
    </xdr:from>
    <xdr:to>
      <xdr:col>8</xdr:col>
      <xdr:colOff>457200</xdr:colOff>
      <xdr:row>68</xdr:row>
      <xdr:rowOff>9525</xdr:rowOff>
    </xdr:to>
    <xdr:sp macro="" textlink="">
      <xdr:nvSpPr>
        <xdr:cNvPr id="3" name="AutoShape 1" descr="Graph of  Discharge, cubic feet per second">
          <a:extLst>
            <a:ext uri="{FF2B5EF4-FFF2-40B4-BE49-F238E27FC236}">
              <a16:creationId xmlns:a16="http://schemas.microsoft.com/office/drawing/2014/main" id="{00000000-0008-0000-1600-000003000000}"/>
            </a:ext>
          </a:extLst>
        </xdr:cNvPr>
        <xdr:cNvSpPr>
          <a:spLocks noChangeAspect="1" noChangeArrowheads="1"/>
        </xdr:cNvSpPr>
      </xdr:nvSpPr>
      <xdr:spPr bwMode="auto">
        <a:xfrm>
          <a:off x="0" y="7705725"/>
          <a:ext cx="5486400" cy="3657600"/>
        </a:xfrm>
        <a:prstGeom prst="rect">
          <a:avLst/>
        </a:prstGeom>
        <a:noFill/>
      </xdr:spPr>
    </xdr:sp>
    <xdr:clientData/>
  </xdr:twoCellAnchor>
  <xdr:twoCellAnchor editAs="oneCell">
    <xdr:from>
      <xdr:col>0</xdr:col>
      <xdr:colOff>0</xdr:colOff>
      <xdr:row>48</xdr:row>
      <xdr:rowOff>0</xdr:rowOff>
    </xdr:from>
    <xdr:to>
      <xdr:col>8</xdr:col>
      <xdr:colOff>457200</xdr:colOff>
      <xdr:row>70</xdr:row>
      <xdr:rowOff>9525</xdr:rowOff>
    </xdr:to>
    <xdr:sp macro="" textlink="">
      <xdr:nvSpPr>
        <xdr:cNvPr id="4" name="AutoShape 2" descr="Graph of  Discharge, cubic feet per second">
          <a:extLst>
            <a:ext uri="{FF2B5EF4-FFF2-40B4-BE49-F238E27FC236}">
              <a16:creationId xmlns:a16="http://schemas.microsoft.com/office/drawing/2014/main" id="{00000000-0008-0000-1600-000004000000}"/>
            </a:ext>
          </a:extLst>
        </xdr:cNvPr>
        <xdr:cNvSpPr>
          <a:spLocks noChangeAspect="1" noChangeArrowheads="1"/>
        </xdr:cNvSpPr>
      </xdr:nvSpPr>
      <xdr:spPr bwMode="auto">
        <a:xfrm>
          <a:off x="0" y="8029575"/>
          <a:ext cx="5486400" cy="3657600"/>
        </a:xfrm>
        <a:prstGeom prst="rect">
          <a:avLst/>
        </a:prstGeom>
        <a:noFill/>
      </xdr:spPr>
    </xdr:sp>
    <xdr:clientData/>
  </xdr:twoCellAnchor>
  <xdr:twoCellAnchor editAs="oneCell">
    <xdr:from>
      <xdr:col>0</xdr:col>
      <xdr:colOff>0</xdr:colOff>
      <xdr:row>48</xdr:row>
      <xdr:rowOff>0</xdr:rowOff>
    </xdr:from>
    <xdr:to>
      <xdr:col>8</xdr:col>
      <xdr:colOff>457200</xdr:colOff>
      <xdr:row>70</xdr:row>
      <xdr:rowOff>9525</xdr:rowOff>
    </xdr:to>
    <xdr:sp macro="" textlink="">
      <xdr:nvSpPr>
        <xdr:cNvPr id="5" name="AutoShape 3" descr="Graph of  Discharge, cubic feet per second">
          <a:extLst>
            <a:ext uri="{FF2B5EF4-FFF2-40B4-BE49-F238E27FC236}">
              <a16:creationId xmlns:a16="http://schemas.microsoft.com/office/drawing/2014/main" id="{00000000-0008-0000-1600-000005000000}"/>
            </a:ext>
          </a:extLst>
        </xdr:cNvPr>
        <xdr:cNvSpPr>
          <a:spLocks noChangeAspect="1" noChangeArrowheads="1"/>
        </xdr:cNvSpPr>
      </xdr:nvSpPr>
      <xdr:spPr bwMode="auto">
        <a:xfrm>
          <a:off x="0" y="8029575"/>
          <a:ext cx="5486400" cy="3657600"/>
        </a:xfrm>
        <a:prstGeom prst="rect">
          <a:avLst/>
        </a:prstGeom>
        <a:noFill/>
      </xdr:spPr>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38100</xdr:colOff>
      <xdr:row>6</xdr:row>
      <xdr:rowOff>76200</xdr:rowOff>
    </xdr:from>
    <xdr:to>
      <xdr:col>16</xdr:col>
      <xdr:colOff>371475</xdr:colOff>
      <xdr:row>28</xdr:row>
      <xdr:rowOff>47625</xdr:rowOff>
    </xdr:to>
    <xdr:sp macro="" textlink="">
      <xdr:nvSpPr>
        <xdr:cNvPr id="1026" name="AutoShape 2" descr="Graph of  Discharge, cubic feet per second">
          <a:extLst>
            <a:ext uri="{FF2B5EF4-FFF2-40B4-BE49-F238E27FC236}">
              <a16:creationId xmlns:a16="http://schemas.microsoft.com/office/drawing/2014/main" id="{00000000-0008-0000-1700-000002040000}"/>
            </a:ext>
          </a:extLst>
        </xdr:cNvPr>
        <xdr:cNvSpPr>
          <a:spLocks noChangeAspect="1" noChangeArrowheads="1"/>
        </xdr:cNvSpPr>
      </xdr:nvSpPr>
      <xdr:spPr bwMode="auto">
        <a:xfrm>
          <a:off x="7353300" y="1076325"/>
          <a:ext cx="5486400" cy="3657600"/>
        </a:xfrm>
        <a:prstGeom prst="rect">
          <a:avLst/>
        </a:prstGeom>
        <a:noFill/>
      </xdr:spPr>
    </xdr:sp>
    <xdr:clientData/>
  </xdr:twoCellAnchor>
  <xdr:twoCellAnchor>
    <xdr:from>
      <xdr:col>11</xdr:col>
      <xdr:colOff>333375</xdr:colOff>
      <xdr:row>12</xdr:row>
      <xdr:rowOff>28575</xdr:rowOff>
    </xdr:from>
    <xdr:to>
      <xdr:col>18</xdr:col>
      <xdr:colOff>161925</xdr:colOff>
      <xdr:row>28</xdr:row>
      <xdr:rowOff>95250</xdr:rowOff>
    </xdr:to>
    <xdr:graphicFrame macro="">
      <xdr:nvGraphicFramePr>
        <xdr:cNvPr id="4" name="Chart 3">
          <a:extLst>
            <a:ext uri="{FF2B5EF4-FFF2-40B4-BE49-F238E27FC236}">
              <a16:creationId xmlns:a16="http://schemas.microsoft.com/office/drawing/2014/main" id="{00000000-0008-0000-1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9525</xdr:colOff>
      <xdr:row>2</xdr:row>
      <xdr:rowOff>66675</xdr:rowOff>
    </xdr:from>
    <xdr:to>
      <xdr:col>18</xdr:col>
      <xdr:colOff>314325</xdr:colOff>
      <xdr:row>19</xdr:row>
      <xdr:rowOff>0</xdr:rowOff>
    </xdr:to>
    <xdr:graphicFrame macro="">
      <xdr:nvGraphicFramePr>
        <xdr:cNvPr id="2" name="Chart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438150</xdr:colOff>
      <xdr:row>3</xdr:row>
      <xdr:rowOff>133350</xdr:rowOff>
    </xdr:from>
    <xdr:to>
      <xdr:col>19</xdr:col>
      <xdr:colOff>133350</xdr:colOff>
      <xdr:row>20</xdr:row>
      <xdr:rowOff>95250</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590550</xdr:colOff>
      <xdr:row>4</xdr:row>
      <xdr:rowOff>85725</xdr:rowOff>
    </xdr:from>
    <xdr:to>
      <xdr:col>19</xdr:col>
      <xdr:colOff>285750</xdr:colOff>
      <xdr:row>21</xdr:row>
      <xdr:rowOff>85725</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247650</xdr:colOff>
      <xdr:row>24</xdr:row>
      <xdr:rowOff>114300</xdr:rowOff>
    </xdr:from>
    <xdr:to>
      <xdr:col>18</xdr:col>
      <xdr:colOff>285750</xdr:colOff>
      <xdr:row>45</xdr:row>
      <xdr:rowOff>114300</xdr:rowOff>
    </xdr:to>
    <xdr:graphicFrame macro="">
      <xdr:nvGraphicFramePr>
        <xdr:cNvPr id="6"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428625</xdr:colOff>
      <xdr:row>1</xdr:row>
      <xdr:rowOff>0</xdr:rowOff>
    </xdr:from>
    <xdr:to>
      <xdr:col>18</xdr:col>
      <xdr:colOff>542925</xdr:colOff>
      <xdr:row>21</xdr:row>
      <xdr:rowOff>85725</xdr:rowOff>
    </xdr:to>
    <xdr:graphicFrame macro="">
      <xdr:nvGraphicFramePr>
        <xdr:cNvPr id="7" name="Chart 2">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104775</xdr:colOff>
      <xdr:row>46</xdr:row>
      <xdr:rowOff>57150</xdr:rowOff>
    </xdr:from>
    <xdr:to>
      <xdr:col>18</xdr:col>
      <xdr:colOff>247650</xdr:colOff>
      <xdr:row>65</xdr:row>
      <xdr:rowOff>152400</xdr:rowOff>
    </xdr:to>
    <xdr:graphicFrame macro="">
      <xdr:nvGraphicFramePr>
        <xdr:cNvPr id="8" name="Chart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104775</xdr:colOff>
      <xdr:row>66</xdr:row>
      <xdr:rowOff>123826</xdr:rowOff>
    </xdr:from>
    <xdr:to>
      <xdr:col>18</xdr:col>
      <xdr:colOff>238125</xdr:colOff>
      <xdr:row>87</xdr:row>
      <xdr:rowOff>38101</xdr:rowOff>
    </xdr:to>
    <xdr:graphicFrame macro="">
      <xdr:nvGraphicFramePr>
        <xdr:cNvPr id="9" name="Chart 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95250</xdr:colOff>
      <xdr:row>2</xdr:row>
      <xdr:rowOff>66675</xdr:rowOff>
    </xdr:from>
    <xdr:to>
      <xdr:col>19</xdr:col>
      <xdr:colOff>400050</xdr:colOff>
      <xdr:row>18</xdr:row>
      <xdr:rowOff>114300</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495300</xdr:colOff>
      <xdr:row>3</xdr:row>
      <xdr:rowOff>114300</xdr:rowOff>
    </xdr:from>
    <xdr:to>
      <xdr:col>19</xdr:col>
      <xdr:colOff>190500</xdr:colOff>
      <xdr:row>20</xdr:row>
      <xdr:rowOff>76200</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12</xdr:col>
      <xdr:colOff>304800</xdr:colOff>
      <xdr:row>2</xdr:row>
      <xdr:rowOff>171450</xdr:rowOff>
    </xdr:from>
    <xdr:to>
      <xdr:col>19</xdr:col>
      <xdr:colOff>523875</xdr:colOff>
      <xdr:row>19</xdr:row>
      <xdr:rowOff>104775</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13</xdr:col>
      <xdr:colOff>581025</xdr:colOff>
      <xdr:row>2</xdr:row>
      <xdr:rowOff>28575</xdr:rowOff>
    </xdr:from>
    <xdr:to>
      <xdr:col>21</xdr:col>
      <xdr:colOff>276225</xdr:colOff>
      <xdr:row>17</xdr:row>
      <xdr:rowOff>123825</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14</xdr:col>
      <xdr:colOff>19050</xdr:colOff>
      <xdr:row>2</xdr:row>
      <xdr:rowOff>104775</xdr:rowOff>
    </xdr:from>
    <xdr:to>
      <xdr:col>21</xdr:col>
      <xdr:colOff>323850</xdr:colOff>
      <xdr:row>19</xdr:row>
      <xdr:rowOff>38100</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16</xdr:col>
      <xdr:colOff>323850</xdr:colOff>
      <xdr:row>19</xdr:row>
      <xdr:rowOff>76200</xdr:rowOff>
    </xdr:from>
    <xdr:to>
      <xdr:col>23</xdr:col>
      <xdr:colOff>485775</xdr:colOff>
      <xdr:row>31</xdr:row>
      <xdr:rowOff>285750</xdr:rowOff>
    </xdr:to>
    <xdr:graphicFrame macro="">
      <xdr:nvGraphicFramePr>
        <xdr:cNvPr id="2" name="Chart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381000</xdr:colOff>
      <xdr:row>4</xdr:row>
      <xdr:rowOff>142875</xdr:rowOff>
    </xdr:from>
    <xdr:to>
      <xdr:col>21</xdr:col>
      <xdr:colOff>76200</xdr:colOff>
      <xdr:row>21</xdr:row>
      <xdr:rowOff>104775</xdr:rowOff>
    </xdr:to>
    <xdr:graphicFrame macro="">
      <xdr:nvGraphicFramePr>
        <xdr:cNvPr id="2" name="Chart 1">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628650</xdr:colOff>
      <xdr:row>27</xdr:row>
      <xdr:rowOff>47624</xdr:rowOff>
    </xdr:from>
    <xdr:to>
      <xdr:col>8</xdr:col>
      <xdr:colOff>66675</xdr:colOff>
      <xdr:row>47</xdr:row>
      <xdr:rowOff>38099</xdr:rowOff>
    </xdr:to>
    <xdr:graphicFrame macro="">
      <xdr:nvGraphicFramePr>
        <xdr:cNvPr id="2" name="Chart 1">
          <a:extLst>
            <a:ext uri="{FF2B5EF4-FFF2-40B4-BE49-F238E27FC236}">
              <a16:creationId xmlns:a16="http://schemas.microsoft.com/office/drawing/2014/main" id="{00000000-0008-0000-2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27</xdr:row>
      <xdr:rowOff>38100</xdr:rowOff>
    </xdr:from>
    <xdr:to>
      <xdr:col>18</xdr:col>
      <xdr:colOff>1162050</xdr:colOff>
      <xdr:row>46</xdr:row>
      <xdr:rowOff>104775</xdr:rowOff>
    </xdr:to>
    <xdr:graphicFrame macro="">
      <xdr:nvGraphicFramePr>
        <xdr:cNvPr id="3" name="Chart 2">
          <a:extLst>
            <a:ext uri="{FF2B5EF4-FFF2-40B4-BE49-F238E27FC236}">
              <a16:creationId xmlns:a16="http://schemas.microsoft.com/office/drawing/2014/main" id="{00000000-0008-0000-2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619124</xdr:colOff>
      <xdr:row>47</xdr:row>
      <xdr:rowOff>142874</xdr:rowOff>
    </xdr:from>
    <xdr:to>
      <xdr:col>8</xdr:col>
      <xdr:colOff>104775</xdr:colOff>
      <xdr:row>66</xdr:row>
      <xdr:rowOff>85724</xdr:rowOff>
    </xdr:to>
    <xdr:graphicFrame macro="">
      <xdr:nvGraphicFramePr>
        <xdr:cNvPr id="4" name="Chart 3">
          <a:extLst>
            <a:ext uri="{FF2B5EF4-FFF2-40B4-BE49-F238E27FC236}">
              <a16:creationId xmlns:a16="http://schemas.microsoft.com/office/drawing/2014/main" id="{00000000-0008-0000-2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457200</xdr:colOff>
      <xdr:row>47</xdr:row>
      <xdr:rowOff>152400</xdr:rowOff>
    </xdr:from>
    <xdr:to>
      <xdr:col>18</xdr:col>
      <xdr:colOff>1152525</xdr:colOff>
      <xdr:row>66</xdr:row>
      <xdr:rowOff>85725</xdr:rowOff>
    </xdr:to>
    <xdr:graphicFrame macro="">
      <xdr:nvGraphicFramePr>
        <xdr:cNvPr id="5" name="Chart 4">
          <a:extLst>
            <a:ext uri="{FF2B5EF4-FFF2-40B4-BE49-F238E27FC236}">
              <a16:creationId xmlns:a16="http://schemas.microsoft.com/office/drawing/2014/main" id="{00000000-0008-0000-2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600075</xdr:colOff>
      <xdr:row>67</xdr:row>
      <xdr:rowOff>66674</xdr:rowOff>
    </xdr:from>
    <xdr:to>
      <xdr:col>8</xdr:col>
      <xdr:colOff>314325</xdr:colOff>
      <xdr:row>86</xdr:row>
      <xdr:rowOff>9524</xdr:rowOff>
    </xdr:to>
    <xdr:graphicFrame macro="">
      <xdr:nvGraphicFramePr>
        <xdr:cNvPr id="6" name="Chart 5">
          <a:extLst>
            <a:ext uri="{FF2B5EF4-FFF2-40B4-BE49-F238E27FC236}">
              <a16:creationId xmlns:a16="http://schemas.microsoft.com/office/drawing/2014/main" id="{00000000-0008-0000-2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28573</xdr:colOff>
      <xdr:row>10</xdr:row>
      <xdr:rowOff>161924</xdr:rowOff>
    </xdr:from>
    <xdr:to>
      <xdr:col>17</xdr:col>
      <xdr:colOff>57149</xdr:colOff>
      <xdr:row>29</xdr:row>
      <xdr:rowOff>85724</xdr:rowOff>
    </xdr:to>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295274</xdr:colOff>
      <xdr:row>11</xdr:row>
      <xdr:rowOff>104774</xdr:rowOff>
    </xdr:from>
    <xdr:to>
      <xdr:col>35</xdr:col>
      <xdr:colOff>304800</xdr:colOff>
      <xdr:row>33</xdr:row>
      <xdr:rowOff>19050</xdr:rowOff>
    </xdr:to>
    <xdr:graphicFrame macro="">
      <xdr:nvGraphicFramePr>
        <xdr:cNvPr id="3" name="Chart 2">
          <a:extLst>
            <a:ext uri="{FF2B5EF4-FFF2-40B4-BE49-F238E27FC236}">
              <a16:creationId xmlns:a16="http://schemas.microsoft.com/office/drawing/2014/main" id="{00000000-0008-0000-2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5</xdr:col>
      <xdr:colOff>266699</xdr:colOff>
      <xdr:row>11</xdr:row>
      <xdr:rowOff>95249</xdr:rowOff>
    </xdr:from>
    <xdr:to>
      <xdr:col>17</xdr:col>
      <xdr:colOff>352424</xdr:colOff>
      <xdr:row>31</xdr:row>
      <xdr:rowOff>114300</xdr:rowOff>
    </xdr:to>
    <xdr:graphicFrame macro="">
      <xdr:nvGraphicFramePr>
        <xdr:cNvPr id="3" name="Chart 2">
          <a:extLst>
            <a:ext uri="{FF2B5EF4-FFF2-40B4-BE49-F238E27FC236}">
              <a16:creationId xmlns:a16="http://schemas.microsoft.com/office/drawing/2014/main" id="{00000000-0008-0000-2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36</xdr:row>
      <xdr:rowOff>38100</xdr:rowOff>
    </xdr:from>
    <xdr:to>
      <xdr:col>17</xdr:col>
      <xdr:colOff>66675</xdr:colOff>
      <xdr:row>53</xdr:row>
      <xdr:rowOff>28575</xdr:rowOff>
    </xdr:to>
    <xdr:graphicFrame macro="">
      <xdr:nvGraphicFramePr>
        <xdr:cNvPr id="4" name="Chart 3">
          <a:extLst>
            <a:ext uri="{FF2B5EF4-FFF2-40B4-BE49-F238E27FC236}">
              <a16:creationId xmlns:a16="http://schemas.microsoft.com/office/drawing/2014/main" id="{00000000-0008-0000-2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76199</xdr:colOff>
      <xdr:row>1</xdr:row>
      <xdr:rowOff>57151</xdr:rowOff>
    </xdr:from>
    <xdr:to>
      <xdr:col>18</xdr:col>
      <xdr:colOff>142874</xdr:colOff>
      <xdr:row>19</xdr:row>
      <xdr:rowOff>76201</xdr:rowOff>
    </xdr:to>
    <xdr:graphicFrame macro="">
      <xdr:nvGraphicFramePr>
        <xdr:cNvPr id="3409" name="Chart 1">
          <a:extLst>
            <a:ext uri="{FF2B5EF4-FFF2-40B4-BE49-F238E27FC236}">
              <a16:creationId xmlns:a16="http://schemas.microsoft.com/office/drawing/2014/main" id="{00000000-0008-0000-0400-000051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20</xdr:row>
      <xdr:rowOff>0</xdr:rowOff>
    </xdr:from>
    <xdr:to>
      <xdr:col>18</xdr:col>
      <xdr:colOff>523875</xdr:colOff>
      <xdr:row>40</xdr:row>
      <xdr:rowOff>104775</xdr:rowOff>
    </xdr:to>
    <xdr:graphicFrame macro="">
      <xdr:nvGraphicFramePr>
        <xdr:cNvPr id="3410" name="Chart 2">
          <a:extLst>
            <a:ext uri="{FF2B5EF4-FFF2-40B4-BE49-F238E27FC236}">
              <a16:creationId xmlns:a16="http://schemas.microsoft.com/office/drawing/2014/main" id="{00000000-0008-0000-0400-000052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9525</xdr:colOff>
      <xdr:row>41</xdr:row>
      <xdr:rowOff>76201</xdr:rowOff>
    </xdr:from>
    <xdr:to>
      <xdr:col>18</xdr:col>
      <xdr:colOff>533400</xdr:colOff>
      <xdr:row>61</xdr:row>
      <xdr:rowOff>57151</xdr:rowOff>
    </xdr:to>
    <xdr:graphicFrame macro="">
      <xdr:nvGraphicFramePr>
        <xdr:cNvPr id="3411" name="Chart 3">
          <a:extLst>
            <a:ext uri="{FF2B5EF4-FFF2-40B4-BE49-F238E27FC236}">
              <a16:creationId xmlns:a16="http://schemas.microsoft.com/office/drawing/2014/main" id="{00000000-0008-0000-0400-00005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590550</xdr:colOff>
      <xdr:row>62</xdr:row>
      <xdr:rowOff>57151</xdr:rowOff>
    </xdr:from>
    <xdr:to>
      <xdr:col>19</xdr:col>
      <xdr:colOff>19050</xdr:colOff>
      <xdr:row>80</xdr:row>
      <xdr:rowOff>133351</xdr:rowOff>
    </xdr:to>
    <xdr:graphicFrame macro="">
      <xdr:nvGraphicFramePr>
        <xdr:cNvPr id="3412" name="Chart 4">
          <a:extLst>
            <a:ext uri="{FF2B5EF4-FFF2-40B4-BE49-F238E27FC236}">
              <a16:creationId xmlns:a16="http://schemas.microsoft.com/office/drawing/2014/main" id="{00000000-0008-0000-0400-000054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76199</xdr:colOff>
      <xdr:row>1</xdr:row>
      <xdr:rowOff>57151</xdr:rowOff>
    </xdr:from>
    <xdr:to>
      <xdr:col>19</xdr:col>
      <xdr:colOff>9525</xdr:colOff>
      <xdr:row>19</xdr:row>
      <xdr:rowOff>76201</xdr:rowOff>
    </xdr:to>
    <xdr:graphicFrame macro="">
      <xdr:nvGraphicFramePr>
        <xdr:cNvPr id="6" name="Chart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38100</xdr:colOff>
      <xdr:row>20</xdr:row>
      <xdr:rowOff>0</xdr:rowOff>
    </xdr:from>
    <xdr:to>
      <xdr:col>18</xdr:col>
      <xdr:colOff>523875</xdr:colOff>
      <xdr:row>40</xdr:row>
      <xdr:rowOff>104775</xdr:rowOff>
    </xdr:to>
    <xdr:graphicFrame macro="">
      <xdr:nvGraphicFramePr>
        <xdr:cNvPr id="7" name="Chart 2">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41</xdr:row>
      <xdr:rowOff>76201</xdr:rowOff>
    </xdr:from>
    <xdr:to>
      <xdr:col>18</xdr:col>
      <xdr:colOff>533400</xdr:colOff>
      <xdr:row>61</xdr:row>
      <xdr:rowOff>57151</xdr:rowOff>
    </xdr:to>
    <xdr:graphicFrame macro="">
      <xdr:nvGraphicFramePr>
        <xdr:cNvPr id="8" name="Chart 3">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590550</xdr:colOff>
      <xdr:row>62</xdr:row>
      <xdr:rowOff>57151</xdr:rowOff>
    </xdr:from>
    <xdr:to>
      <xdr:col>19</xdr:col>
      <xdr:colOff>19050</xdr:colOff>
      <xdr:row>80</xdr:row>
      <xdr:rowOff>133351</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13</xdr:col>
      <xdr:colOff>219073</xdr:colOff>
      <xdr:row>12</xdr:row>
      <xdr:rowOff>142875</xdr:rowOff>
    </xdr:from>
    <xdr:to>
      <xdr:col>23</xdr:col>
      <xdr:colOff>352424</xdr:colOff>
      <xdr:row>27</xdr:row>
      <xdr:rowOff>38100</xdr:rowOff>
    </xdr:to>
    <xdr:graphicFrame macro="">
      <xdr:nvGraphicFramePr>
        <xdr:cNvPr id="2" name="Chart 1">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38099</xdr:colOff>
      <xdr:row>31</xdr:row>
      <xdr:rowOff>161925</xdr:rowOff>
    </xdr:from>
    <xdr:to>
      <xdr:col>39</xdr:col>
      <xdr:colOff>1419225</xdr:colOff>
      <xdr:row>46</xdr:row>
      <xdr:rowOff>152400</xdr:rowOff>
    </xdr:to>
    <xdr:graphicFrame macro="">
      <xdr:nvGraphicFramePr>
        <xdr:cNvPr id="3" name="Chart 2">
          <a:extLst>
            <a:ext uri="{FF2B5EF4-FFF2-40B4-BE49-F238E27FC236}">
              <a16:creationId xmlns:a16="http://schemas.microsoft.com/office/drawing/2014/main" id="{00000000-0008-0000-2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314325</xdr:colOff>
      <xdr:row>51</xdr:row>
      <xdr:rowOff>85725</xdr:rowOff>
    </xdr:from>
    <xdr:to>
      <xdr:col>24</xdr:col>
      <xdr:colOff>247650</xdr:colOff>
      <xdr:row>68</xdr:row>
      <xdr:rowOff>76200</xdr:rowOff>
    </xdr:to>
    <xdr:graphicFrame macro="">
      <xdr:nvGraphicFramePr>
        <xdr:cNvPr id="6" name="Chart 5">
          <a:extLst>
            <a:ext uri="{FF2B5EF4-FFF2-40B4-BE49-F238E27FC236}">
              <a16:creationId xmlns:a16="http://schemas.microsoft.com/office/drawing/2014/main" id="{00000000-0008-0000-2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40</xdr:col>
      <xdr:colOff>236219</xdr:colOff>
      <xdr:row>26</xdr:row>
      <xdr:rowOff>45720</xdr:rowOff>
    </xdr:from>
    <xdr:to>
      <xdr:col>45</xdr:col>
      <xdr:colOff>140969</xdr:colOff>
      <xdr:row>41</xdr:row>
      <xdr:rowOff>169544</xdr:rowOff>
    </xdr:to>
    <xdr:graphicFrame macro="">
      <xdr:nvGraphicFramePr>
        <xdr:cNvPr id="7" name="Chart 6">
          <a:extLst>
            <a:ext uri="{FF2B5EF4-FFF2-40B4-BE49-F238E27FC236}">
              <a16:creationId xmlns:a16="http://schemas.microsoft.com/office/drawing/2014/main" id="{00000000-0008-0000-2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40</xdr:col>
      <xdr:colOff>304800</xdr:colOff>
      <xdr:row>43</xdr:row>
      <xdr:rowOff>0</xdr:rowOff>
    </xdr:from>
    <xdr:to>
      <xdr:col>45</xdr:col>
      <xdr:colOff>152400</xdr:colOff>
      <xdr:row>62</xdr:row>
      <xdr:rowOff>161924</xdr:rowOff>
    </xdr:to>
    <xdr:graphicFrame macro="">
      <xdr:nvGraphicFramePr>
        <xdr:cNvPr id="8" name="Chart 7">
          <a:extLst>
            <a:ext uri="{FF2B5EF4-FFF2-40B4-BE49-F238E27FC236}">
              <a16:creationId xmlns:a16="http://schemas.microsoft.com/office/drawing/2014/main" id="{00000000-0008-0000-2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1009650</xdr:colOff>
      <xdr:row>23</xdr:row>
      <xdr:rowOff>9524</xdr:rowOff>
    </xdr:from>
    <xdr:to>
      <xdr:col>17</xdr:col>
      <xdr:colOff>19050</xdr:colOff>
      <xdr:row>41</xdr:row>
      <xdr:rowOff>95249</xdr:rowOff>
    </xdr:to>
    <xdr:graphicFrame macro="">
      <xdr:nvGraphicFramePr>
        <xdr:cNvPr id="2" name="Chart 1">
          <a:extLst>
            <a:ext uri="{FF2B5EF4-FFF2-40B4-BE49-F238E27FC236}">
              <a16:creationId xmlns:a16="http://schemas.microsoft.com/office/drawing/2014/main" id="{00000000-0008-0000-2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390525</xdr:colOff>
      <xdr:row>23</xdr:row>
      <xdr:rowOff>0</xdr:rowOff>
    </xdr:from>
    <xdr:to>
      <xdr:col>25</xdr:col>
      <xdr:colOff>9525</xdr:colOff>
      <xdr:row>41</xdr:row>
      <xdr:rowOff>57150</xdr:rowOff>
    </xdr:to>
    <xdr:graphicFrame macro="">
      <xdr:nvGraphicFramePr>
        <xdr:cNvPr id="3" name="Chart 2">
          <a:extLst>
            <a:ext uri="{FF2B5EF4-FFF2-40B4-BE49-F238E27FC236}">
              <a16:creationId xmlns:a16="http://schemas.microsoft.com/office/drawing/2014/main" id="{00000000-0008-0000-2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333374</xdr:colOff>
      <xdr:row>3</xdr:row>
      <xdr:rowOff>9525</xdr:rowOff>
    </xdr:from>
    <xdr:to>
      <xdr:col>19</xdr:col>
      <xdr:colOff>295275</xdr:colOff>
      <xdr:row>27</xdr:row>
      <xdr:rowOff>142874</xdr:rowOff>
    </xdr:to>
    <xdr:graphicFrame macro="">
      <xdr:nvGraphicFramePr>
        <xdr:cNvPr id="2" name="Chart 1">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257174</xdr:colOff>
      <xdr:row>16</xdr:row>
      <xdr:rowOff>152399</xdr:rowOff>
    </xdr:from>
    <xdr:to>
      <xdr:col>16</xdr:col>
      <xdr:colOff>257174</xdr:colOff>
      <xdr:row>38</xdr:row>
      <xdr:rowOff>66674</xdr:rowOff>
    </xdr:to>
    <xdr:graphicFrame macro="">
      <xdr:nvGraphicFramePr>
        <xdr:cNvPr id="2" name="Chart 1">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523875</xdr:colOff>
      <xdr:row>17</xdr:row>
      <xdr:rowOff>9524</xdr:rowOff>
    </xdr:from>
    <xdr:to>
      <xdr:col>32</xdr:col>
      <xdr:colOff>57150</xdr:colOff>
      <xdr:row>38</xdr:row>
      <xdr:rowOff>0</xdr:rowOff>
    </xdr:to>
    <xdr:graphicFrame macro="">
      <xdr:nvGraphicFramePr>
        <xdr:cNvPr id="3" name="Chart 2">
          <a:extLst>
            <a:ext uri="{FF2B5EF4-FFF2-40B4-BE49-F238E27FC236}">
              <a16:creationId xmlns:a16="http://schemas.microsoft.com/office/drawing/2014/main" id="{00000000-0008-0000-2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171451</xdr:colOff>
      <xdr:row>42</xdr:row>
      <xdr:rowOff>28575</xdr:rowOff>
    </xdr:from>
    <xdr:to>
      <xdr:col>11</xdr:col>
      <xdr:colOff>171451</xdr:colOff>
      <xdr:row>56</xdr:row>
      <xdr:rowOff>19050</xdr:rowOff>
    </xdr:to>
    <xdr:graphicFrame macro="">
      <xdr:nvGraphicFramePr>
        <xdr:cNvPr id="4519" name="Chart 1">
          <a:extLst>
            <a:ext uri="{FF2B5EF4-FFF2-40B4-BE49-F238E27FC236}">
              <a16:creationId xmlns:a16="http://schemas.microsoft.com/office/drawing/2014/main" id="{00000000-0008-0000-0500-0000A7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323850</xdr:colOff>
      <xdr:row>57</xdr:row>
      <xdr:rowOff>114300</xdr:rowOff>
    </xdr:from>
    <xdr:to>
      <xdr:col>13</xdr:col>
      <xdr:colOff>771525</xdr:colOff>
      <xdr:row>71</xdr:row>
      <xdr:rowOff>38100</xdr:rowOff>
    </xdr:to>
    <xdr:graphicFrame macro="">
      <xdr:nvGraphicFramePr>
        <xdr:cNvPr id="4520" name="Chart 2">
          <a:extLst>
            <a:ext uri="{FF2B5EF4-FFF2-40B4-BE49-F238E27FC236}">
              <a16:creationId xmlns:a16="http://schemas.microsoft.com/office/drawing/2014/main" id="{00000000-0008-0000-0500-0000A8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72</xdr:row>
      <xdr:rowOff>9525</xdr:rowOff>
    </xdr:from>
    <xdr:to>
      <xdr:col>6</xdr:col>
      <xdr:colOff>133350</xdr:colOff>
      <xdr:row>85</xdr:row>
      <xdr:rowOff>76200</xdr:rowOff>
    </xdr:to>
    <xdr:graphicFrame macro="">
      <xdr:nvGraphicFramePr>
        <xdr:cNvPr id="4521" name="Chart 3">
          <a:extLst>
            <a:ext uri="{FF2B5EF4-FFF2-40B4-BE49-F238E27FC236}">
              <a16:creationId xmlns:a16="http://schemas.microsoft.com/office/drawing/2014/main" id="{00000000-0008-0000-0500-0000A9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180975</xdr:colOff>
      <xdr:row>57</xdr:row>
      <xdr:rowOff>76200</xdr:rowOff>
    </xdr:from>
    <xdr:to>
      <xdr:col>6</xdr:col>
      <xdr:colOff>171450</xdr:colOff>
      <xdr:row>70</xdr:row>
      <xdr:rowOff>152400</xdr:rowOff>
    </xdr:to>
    <xdr:graphicFrame macro="">
      <xdr:nvGraphicFramePr>
        <xdr:cNvPr id="4522" name="Chart 4">
          <a:extLst>
            <a:ext uri="{FF2B5EF4-FFF2-40B4-BE49-F238E27FC236}">
              <a16:creationId xmlns:a16="http://schemas.microsoft.com/office/drawing/2014/main" id="{00000000-0008-0000-0500-0000AA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285750</xdr:colOff>
      <xdr:row>72</xdr:row>
      <xdr:rowOff>19050</xdr:rowOff>
    </xdr:from>
    <xdr:to>
      <xdr:col>13</xdr:col>
      <xdr:colOff>742950</xdr:colOff>
      <xdr:row>85</xdr:row>
      <xdr:rowOff>57150</xdr:rowOff>
    </xdr:to>
    <xdr:graphicFrame macro="">
      <xdr:nvGraphicFramePr>
        <xdr:cNvPr id="4523" name="Chart 5">
          <a:extLst>
            <a:ext uri="{FF2B5EF4-FFF2-40B4-BE49-F238E27FC236}">
              <a16:creationId xmlns:a16="http://schemas.microsoft.com/office/drawing/2014/main" id="{00000000-0008-0000-0500-0000AB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171451</xdr:colOff>
      <xdr:row>42</xdr:row>
      <xdr:rowOff>28575</xdr:rowOff>
    </xdr:from>
    <xdr:to>
      <xdr:col>11</xdr:col>
      <xdr:colOff>171451</xdr:colOff>
      <xdr:row>56</xdr:row>
      <xdr:rowOff>19050</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323850</xdr:colOff>
      <xdr:row>57</xdr:row>
      <xdr:rowOff>114300</xdr:rowOff>
    </xdr:from>
    <xdr:to>
      <xdr:col>13</xdr:col>
      <xdr:colOff>771525</xdr:colOff>
      <xdr:row>71</xdr:row>
      <xdr:rowOff>38100</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142875</xdr:colOff>
      <xdr:row>72</xdr:row>
      <xdr:rowOff>9525</xdr:rowOff>
    </xdr:from>
    <xdr:to>
      <xdr:col>6</xdr:col>
      <xdr:colOff>133350</xdr:colOff>
      <xdr:row>85</xdr:row>
      <xdr:rowOff>76200</xdr:rowOff>
    </xdr:to>
    <xdr:graphicFrame macro="">
      <xdr:nvGraphicFramePr>
        <xdr:cNvPr id="9" name="Chart 3">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57</xdr:row>
      <xdr:rowOff>76200</xdr:rowOff>
    </xdr:from>
    <xdr:to>
      <xdr:col>6</xdr:col>
      <xdr:colOff>171450</xdr:colOff>
      <xdr:row>70</xdr:row>
      <xdr:rowOff>152400</xdr:rowOff>
    </xdr:to>
    <xdr:graphicFrame macro="">
      <xdr:nvGraphicFramePr>
        <xdr:cNvPr id="10" name="Chart 4">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285750</xdr:colOff>
      <xdr:row>72</xdr:row>
      <xdr:rowOff>19050</xdr:rowOff>
    </xdr:from>
    <xdr:to>
      <xdr:col>13</xdr:col>
      <xdr:colOff>781050</xdr:colOff>
      <xdr:row>85</xdr:row>
      <xdr:rowOff>123825</xdr:rowOff>
    </xdr:to>
    <xdr:graphicFrame macro="">
      <xdr:nvGraphicFramePr>
        <xdr:cNvPr id="11" name="Chart 5">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381000</xdr:colOff>
      <xdr:row>40</xdr:row>
      <xdr:rowOff>47625</xdr:rowOff>
    </xdr:from>
    <xdr:to>
      <xdr:col>20</xdr:col>
      <xdr:colOff>485775</xdr:colOff>
      <xdr:row>59</xdr:row>
      <xdr:rowOff>104775</xdr:rowOff>
    </xdr:to>
    <xdr:graphicFrame macro="">
      <xdr:nvGraphicFramePr>
        <xdr:cNvPr id="8" name="Chart 2">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47625</xdr:colOff>
      <xdr:row>43</xdr:row>
      <xdr:rowOff>19050</xdr:rowOff>
    </xdr:from>
    <xdr:to>
      <xdr:col>20</xdr:col>
      <xdr:colOff>285751</xdr:colOff>
      <xdr:row>46</xdr:row>
      <xdr:rowOff>114300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401050" y="7038975"/>
          <a:ext cx="1457326" cy="609600"/>
        </a:xfrm>
        <a:prstGeom prst="rect">
          <a:avLst/>
        </a:prstGeom>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twoCellAnchor>
    <xdr:from>
      <xdr:col>6</xdr:col>
      <xdr:colOff>352425</xdr:colOff>
      <xdr:row>60</xdr:row>
      <xdr:rowOff>114300</xdr:rowOff>
    </xdr:from>
    <xdr:to>
      <xdr:col>20</xdr:col>
      <xdr:colOff>561975</xdr:colOff>
      <xdr:row>79</xdr:row>
      <xdr:rowOff>28575</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63</xdr:row>
      <xdr:rowOff>38100</xdr:rowOff>
    </xdr:from>
    <xdr:to>
      <xdr:col>20</xdr:col>
      <xdr:colOff>314326</xdr:colOff>
      <xdr:row>67</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8429625" y="10325100"/>
          <a:ext cx="1457326" cy="609600"/>
        </a:xfrm>
        <a:prstGeom prst="rect">
          <a:avLst/>
        </a:prstGeom>
        <a:gradFill>
          <a:gsLst>
            <a:gs pos="34000">
              <a:schemeClr val="bg1">
                <a:lumMod val="95000"/>
              </a:schemeClr>
            </a:gs>
            <a:gs pos="50000">
              <a:srgbClr val="4F81BD">
                <a:tint val="44500"/>
                <a:satMod val="160000"/>
              </a:srgbClr>
            </a:gs>
            <a:gs pos="100000">
              <a:srgbClr val="4F81BD">
                <a:tint val="23500"/>
                <a:satMod val="160000"/>
              </a:srgbClr>
            </a:gs>
          </a:gsLst>
          <a:lin ang="5400000" scaled="0"/>
        </a:gradFill>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0.61617</cdr:x>
      <cdr:y>0.24597</cdr:y>
    </cdr:from>
    <cdr:to>
      <cdr:x>0.61617</cdr:x>
      <cdr:y>0.24597</cdr:y>
    </cdr:to>
    <cdr:sp macro="" textlink="">
      <cdr:nvSpPr>
        <cdr:cNvPr id="7170" name="Text Box 2"/>
        <cdr:cNvSpPr txBox="1">
          <a:spLocks xmlns:a="http://schemas.openxmlformats.org/drawingml/2006/main" noChangeArrowheads="1"/>
        </cdr:cNvSpPr>
      </cdr:nvSpPr>
      <cdr:spPr bwMode="auto">
        <a:xfrm xmlns:a="http://schemas.openxmlformats.org/drawingml/2006/main">
          <a:off x="3336768" y="75055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Eutrophic</a:t>
          </a:r>
        </a:p>
      </cdr:txBody>
    </cdr:sp>
  </cdr:relSizeAnchor>
  <cdr:relSizeAnchor xmlns:cdr="http://schemas.openxmlformats.org/drawingml/2006/chartDrawing">
    <cdr:from>
      <cdr:x>0.47618</cdr:x>
      <cdr:y>0.52397</cdr:y>
    </cdr:from>
    <cdr:to>
      <cdr:x>0.47618</cdr:x>
      <cdr:y>0.52397</cdr:y>
    </cdr:to>
    <cdr:sp macro="" textlink="">
      <cdr:nvSpPr>
        <cdr:cNvPr id="7171" name="Text Box 3"/>
        <cdr:cNvSpPr txBox="1">
          <a:spLocks xmlns:a="http://schemas.openxmlformats.org/drawingml/2006/main" noChangeArrowheads="1"/>
        </cdr:cNvSpPr>
      </cdr:nvSpPr>
      <cdr:spPr bwMode="auto">
        <a:xfrm xmlns:a="http://schemas.openxmlformats.org/drawingml/2006/main">
          <a:off x="2579387" y="159525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Mesotropic</a:t>
          </a:r>
        </a:p>
      </cdr:txBody>
    </cdr:sp>
  </cdr:relSizeAnchor>
</c:userShapes>
</file>

<file path=xl/drawings/drawing8.xml><?xml version="1.0" encoding="utf-8"?>
<c:userShapes xmlns:c="http://schemas.openxmlformats.org/drawingml/2006/chart">
  <cdr:relSizeAnchor xmlns:cdr="http://schemas.openxmlformats.org/drawingml/2006/chartDrawing">
    <cdr:from>
      <cdr:x>0.49607</cdr:x>
      <cdr:y>0.20226</cdr:y>
    </cdr:from>
    <cdr:to>
      <cdr:x>0.49607</cdr:x>
      <cdr:y>0.20226</cdr:y>
    </cdr:to>
    <cdr:sp macro="" textlink="">
      <cdr:nvSpPr>
        <cdr:cNvPr id="6146" name="Text Box 2"/>
        <cdr:cNvSpPr txBox="1">
          <a:spLocks xmlns:a="http://schemas.openxmlformats.org/drawingml/2006/main" noChangeArrowheads="1"/>
        </cdr:cNvSpPr>
      </cdr:nvSpPr>
      <cdr:spPr bwMode="auto">
        <a:xfrm xmlns:a="http://schemas.openxmlformats.org/drawingml/2006/main">
          <a:off x="2757881" y="61003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Eutrophic zone</a:t>
          </a:r>
        </a:p>
      </cdr:txBody>
    </cdr:sp>
  </cdr:relSizeAnchor>
  <cdr:relSizeAnchor xmlns:cdr="http://schemas.openxmlformats.org/drawingml/2006/chartDrawing">
    <cdr:from>
      <cdr:x>0.49607</cdr:x>
      <cdr:y>0.5092</cdr:y>
    </cdr:from>
    <cdr:to>
      <cdr:x>0.49607</cdr:x>
      <cdr:y>0.5092</cdr:y>
    </cdr:to>
    <cdr:sp macro="" textlink="">
      <cdr:nvSpPr>
        <cdr:cNvPr id="6147" name="Text Box 3"/>
        <cdr:cNvSpPr txBox="1">
          <a:spLocks xmlns:a="http://schemas.openxmlformats.org/drawingml/2006/main" noChangeArrowheads="1"/>
        </cdr:cNvSpPr>
      </cdr:nvSpPr>
      <cdr:spPr bwMode="auto">
        <a:xfrm xmlns:a="http://schemas.openxmlformats.org/drawingml/2006/main">
          <a:off x="2757881" y="1530961"/>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Mesotrophic zone</a:t>
          </a:r>
        </a:p>
      </cdr:txBody>
    </cdr:sp>
  </cdr:relSizeAnchor>
  <cdr:relSizeAnchor xmlns:cdr="http://schemas.openxmlformats.org/drawingml/2006/chartDrawing">
    <cdr:from>
      <cdr:x>0.48698</cdr:x>
      <cdr:y>0.65976</cdr:y>
    </cdr:from>
    <cdr:to>
      <cdr:x>0.48698</cdr:x>
      <cdr:y>0.65976</cdr:y>
    </cdr:to>
    <cdr:sp macro="" textlink="">
      <cdr:nvSpPr>
        <cdr:cNvPr id="6148" name="Text Box 4"/>
        <cdr:cNvSpPr txBox="1">
          <a:spLocks xmlns:a="http://schemas.openxmlformats.org/drawingml/2006/main" noChangeArrowheads="1"/>
        </cdr:cNvSpPr>
      </cdr:nvSpPr>
      <cdr:spPr bwMode="auto">
        <a:xfrm xmlns:a="http://schemas.openxmlformats.org/drawingml/2006/main">
          <a:off x="2707396" y="198270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Oligotropic zone</a:t>
          </a:r>
        </a:p>
      </cdr:txBody>
    </cdr:sp>
  </cdr:relSizeAnchor>
</c:userShapes>
</file>

<file path=xl/drawings/drawing9.xml><?xml version="1.0" encoding="utf-8"?>
<xdr:wsDr xmlns:xdr="http://schemas.openxmlformats.org/drawingml/2006/spreadsheetDrawing" xmlns:a="http://schemas.openxmlformats.org/drawingml/2006/main">
  <xdr:twoCellAnchor>
    <xdr:from>
      <xdr:col>15</xdr:col>
      <xdr:colOff>342900</xdr:colOff>
      <xdr:row>32</xdr:row>
      <xdr:rowOff>0</xdr:rowOff>
    </xdr:from>
    <xdr:to>
      <xdr:col>37</xdr:col>
      <xdr:colOff>19050</xdr:colOff>
      <xdr:row>48</xdr:row>
      <xdr:rowOff>142875</xdr:rowOff>
    </xdr:to>
    <xdr:graphicFrame macro="">
      <xdr:nvGraphicFramePr>
        <xdr:cNvPr id="5" name="Chart 1">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361950</xdr:colOff>
      <xdr:row>70</xdr:row>
      <xdr:rowOff>66675</xdr:rowOff>
    </xdr:from>
    <xdr:to>
      <xdr:col>37</xdr:col>
      <xdr:colOff>38100</xdr:colOff>
      <xdr:row>87</xdr:row>
      <xdr:rowOff>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342900</xdr:colOff>
      <xdr:row>50</xdr:row>
      <xdr:rowOff>85725</xdr:rowOff>
    </xdr:from>
    <xdr:to>
      <xdr:col>37</xdr:col>
      <xdr:colOff>47625</xdr:colOff>
      <xdr:row>69</xdr:row>
      <xdr:rowOff>85725</xdr:rowOff>
    </xdr:to>
    <xdr:graphicFrame macro="">
      <xdr:nvGraphicFramePr>
        <xdr:cNvPr id="7" name="Chart 3">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2B3\Users\Russell\Documents\Bear%20Creek%20Association\Watershed%202009\2009%20Bear%20Creek%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Trophic"/>
      <sheetName val="Annual Reservoir Trends"/>
      <sheetName val="Nitrate Trends"/>
      <sheetName val="Phosphorus Trends"/>
      <sheetName val="Loading"/>
      <sheetName val="Carlson"/>
      <sheetName val="Walker"/>
      <sheetName val="Monthly Discharge"/>
      <sheetName val="Temperature"/>
      <sheetName val="Conductance"/>
      <sheetName val="pH"/>
      <sheetName val="Oxygen"/>
      <sheetName val="T &amp; Diss Phosphorus"/>
      <sheetName val="Nitrate &amp; T Nitrogen"/>
      <sheetName val="TSS"/>
      <sheetName val="Chlsecchi"/>
      <sheetName val="Phytoplankton"/>
      <sheetName val="Monthly Chemistry"/>
      <sheetName val="1-26-09"/>
      <sheetName val="2-23-09"/>
      <sheetName val="3-16-09"/>
      <sheetName val="4-27-09"/>
      <sheetName val="Aeration Tests"/>
      <sheetName val="5-18-09"/>
      <sheetName val="6-22-09"/>
      <sheetName val="7-6-09"/>
      <sheetName val="7-20-09"/>
      <sheetName val="8-3-09"/>
      <sheetName val="8-17-09"/>
      <sheetName val="9-16-09"/>
      <sheetName val="9-28-09"/>
      <sheetName val="10-19-09"/>
      <sheetName val="11-16-09"/>
      <sheetName val="12-14-09"/>
      <sheetName val="Field Sheet"/>
      <sheetName val="Temp DO Comp"/>
      <sheetName val="Aeartion Log"/>
      <sheetName val="Flow"/>
      <sheetName val="Fishery Data"/>
      <sheetName val="Sheet1"/>
    </sheetNames>
    <sheetDataSet>
      <sheetData sheetId="0"/>
      <sheetData sheetId="1"/>
      <sheetData sheetId="2"/>
      <sheetData sheetId="3"/>
      <sheetData sheetId="4">
        <row r="4">
          <cell r="A4" t="str">
            <v>Turkey Creek Inflow</v>
          </cell>
        </row>
        <row r="5">
          <cell r="A5" t="str">
            <v>Bear Creek Inflow</v>
          </cell>
        </row>
        <row r="14">
          <cell r="A14" t="str">
            <v>Turkey Creek</v>
          </cell>
        </row>
        <row r="15">
          <cell r="A15" t="str">
            <v xml:space="preserve">Bear Creek </v>
          </cell>
        </row>
        <row r="23">
          <cell r="A23" t="str">
            <v xml:space="preserve">Turkey Creek </v>
          </cell>
        </row>
        <row r="24">
          <cell r="A24" t="str">
            <v xml:space="preserve">Bear Creek </v>
          </cell>
        </row>
        <row r="31">
          <cell r="B31" t="str">
            <v>Jan</v>
          </cell>
          <cell r="C31" t="str">
            <v>Feb</v>
          </cell>
          <cell r="D31" t="str">
            <v>Mar</v>
          </cell>
          <cell r="E31" t="str">
            <v>Apr</v>
          </cell>
          <cell r="F31" t="str">
            <v>May</v>
          </cell>
          <cell r="G31" t="str">
            <v>Jun</v>
          </cell>
          <cell r="H31" t="str">
            <v>Jul</v>
          </cell>
          <cell r="I31" t="str">
            <v>Aug</v>
          </cell>
          <cell r="J31" t="str">
            <v>Sep</v>
          </cell>
          <cell r="K31" t="str">
            <v>Oct</v>
          </cell>
          <cell r="L31" t="str">
            <v>Nov</v>
          </cell>
          <cell r="M31" t="str">
            <v>Dec</v>
          </cell>
        </row>
        <row r="32">
          <cell r="A32" t="str">
            <v xml:space="preserve">Turkey Creek </v>
          </cell>
        </row>
        <row r="33">
          <cell r="A33" t="str">
            <v xml:space="preserve">Bear Creek </v>
          </cell>
        </row>
      </sheetData>
      <sheetData sheetId="5"/>
      <sheetData sheetId="6">
        <row r="2">
          <cell r="X2">
            <v>1988</v>
          </cell>
          <cell r="Y2">
            <v>1991</v>
          </cell>
          <cell r="Z2">
            <v>1992</v>
          </cell>
          <cell r="AA2">
            <v>1993</v>
          </cell>
          <cell r="AB2">
            <v>1994</v>
          </cell>
          <cell r="AC2">
            <v>1995</v>
          </cell>
          <cell r="AD2">
            <v>1996</v>
          </cell>
          <cell r="AE2">
            <v>1997</v>
          </cell>
          <cell r="AF2">
            <v>1998</v>
          </cell>
          <cell r="AG2">
            <v>1999</v>
          </cell>
          <cell r="AH2">
            <v>2000</v>
          </cell>
          <cell r="AI2">
            <v>2001</v>
          </cell>
          <cell r="AJ2">
            <v>2002</v>
          </cell>
          <cell r="AK2">
            <v>2003</v>
          </cell>
          <cell r="AL2">
            <v>2004</v>
          </cell>
          <cell r="AM2">
            <v>2005</v>
          </cell>
          <cell r="AN2">
            <v>2006</v>
          </cell>
          <cell r="AO2">
            <v>2007</v>
          </cell>
          <cell r="AP2">
            <v>2008</v>
          </cell>
          <cell r="AQ2">
            <v>2009</v>
          </cell>
        </row>
        <row r="4">
          <cell r="X4">
            <v>48.999863321464431</v>
          </cell>
          <cell r="Y4">
            <v>64.052294400539765</v>
          </cell>
          <cell r="Z4">
            <v>62.466397556734869</v>
          </cell>
          <cell r="AA4">
            <v>51.522859410563314</v>
          </cell>
          <cell r="AB4">
            <v>63.505203575321829</v>
          </cell>
          <cell r="AC4">
            <v>43.46534631671026</v>
          </cell>
          <cell r="AD4">
            <v>60.939511443794217</v>
          </cell>
          <cell r="AE4">
            <v>50.341614504576391</v>
          </cell>
          <cell r="AF4">
            <v>41.033228627327034</v>
          </cell>
          <cell r="AG4">
            <v>45.348311171105223</v>
          </cell>
          <cell r="AH4">
            <v>58.15784057827905</v>
          </cell>
          <cell r="AI4">
            <v>66.183603707170533</v>
          </cell>
          <cell r="AJ4">
            <v>59.429579485830395</v>
          </cell>
          <cell r="AK4">
            <v>58.856523946704399</v>
          </cell>
          <cell r="AL4">
            <v>47.211544339046917</v>
          </cell>
          <cell r="AM4">
            <v>59.429579485830395</v>
          </cell>
          <cell r="AN4">
            <v>51.843317042998834</v>
          </cell>
          <cell r="AO4">
            <v>52.156807650295811</v>
          </cell>
          <cell r="AP4">
            <v>61.107187751683838</v>
          </cell>
          <cell r="AQ4">
            <v>56.421007050925049</v>
          </cell>
        </row>
        <row r="7">
          <cell r="X7">
            <v>102.341995522898</v>
          </cell>
          <cell r="Y7">
            <v>104.42041499837092</v>
          </cell>
          <cell r="Z7">
            <v>101.88578373907771</v>
          </cell>
          <cell r="AA7">
            <v>102.57103099385897</v>
          </cell>
          <cell r="AB7">
            <v>89.414382793764474</v>
          </cell>
          <cell r="AC7">
            <v>74.301718129464973</v>
          </cell>
          <cell r="AD7">
            <v>67.714732963090725</v>
          </cell>
          <cell r="AE7">
            <v>72.665795090968373</v>
          </cell>
          <cell r="AF7">
            <v>72.018191456980688</v>
          </cell>
          <cell r="AG7">
            <v>74.6365653486897</v>
          </cell>
          <cell r="AH7">
            <v>81.968778135686449</v>
          </cell>
          <cell r="AI7">
            <v>78.23845998029276</v>
          </cell>
          <cell r="AJ7">
            <v>78.398620834487616</v>
          </cell>
          <cell r="AK7">
            <v>78.117492844884381</v>
          </cell>
          <cell r="AL7">
            <v>69.321372316011789</v>
          </cell>
          <cell r="AM7">
            <v>73.446908470864258</v>
          </cell>
          <cell r="AN7">
            <v>63.624637683565872</v>
          </cell>
          <cell r="AO7">
            <v>68.553738344954894</v>
          </cell>
          <cell r="AP7">
            <v>78.557510557394266</v>
          </cell>
          <cell r="AQ7">
            <v>71.063340083344173</v>
          </cell>
        </row>
        <row r="10">
          <cell r="X10">
            <v>63.181978074578048</v>
          </cell>
          <cell r="Y10">
            <v>56.553247330932173</v>
          </cell>
          <cell r="Z10">
            <v>57.322760840954651</v>
          </cell>
          <cell r="AA10">
            <v>50.012050120919881</v>
          </cell>
          <cell r="AB10">
            <v>61.00252625101345</v>
          </cell>
          <cell r="AC10">
            <v>56.880589677502201</v>
          </cell>
          <cell r="AD10">
            <v>53.045211075543435</v>
          </cell>
          <cell r="AE10">
            <v>62.169262586264708</v>
          </cell>
          <cell r="AF10">
            <v>61.385869091157957</v>
          </cell>
          <cell r="AG10">
            <v>60.875935291730684</v>
          </cell>
          <cell r="AH10">
            <v>54.154638300921235</v>
          </cell>
          <cell r="AI10">
            <v>55.174574086292012</v>
          </cell>
          <cell r="AJ10">
            <v>48.620463845162334</v>
          </cell>
          <cell r="AK10">
            <v>62.169262586264708</v>
          </cell>
          <cell r="AL10">
            <v>52.207794235482424</v>
          </cell>
          <cell r="AM10">
            <v>57.322760840954651</v>
          </cell>
          <cell r="AN10">
            <v>54.154638300921235</v>
          </cell>
          <cell r="AO10">
            <v>62.169262586264708</v>
          </cell>
          <cell r="AP10">
            <v>54.154638300921235</v>
          </cell>
          <cell r="AQ10">
            <v>51.27580230424644</v>
          </cell>
        </row>
        <row r="12">
          <cell r="X12">
            <v>71.50794563964682</v>
          </cell>
          <cell r="Y12">
            <v>75.008652243280963</v>
          </cell>
          <cell r="Z12">
            <v>73.891647378922414</v>
          </cell>
          <cell r="AA12">
            <v>68.035313508447373</v>
          </cell>
          <cell r="AB12">
            <v>71.30737087336658</v>
          </cell>
          <cell r="AC12">
            <v>58.215884707892478</v>
          </cell>
          <cell r="AD12">
            <v>60.566485160809464</v>
          </cell>
          <cell r="AE12">
            <v>61.725557393936491</v>
          </cell>
          <cell r="AF12">
            <v>58.145763058488562</v>
          </cell>
          <cell r="AG12">
            <v>60.286937270508531</v>
          </cell>
          <cell r="AH12">
            <v>64.760419004962259</v>
          </cell>
          <cell r="AI12">
            <v>66.532212591251763</v>
          </cell>
          <cell r="AJ12">
            <v>62.149554721826782</v>
          </cell>
          <cell r="AK12">
            <v>66.381093125951168</v>
          </cell>
          <cell r="AL12">
            <v>56.246903630180377</v>
          </cell>
          <cell r="AM12">
            <v>63.399749599216442</v>
          </cell>
          <cell r="AN12">
            <v>56.540864342495318</v>
          </cell>
          <cell r="AO12">
            <v>60.959936193838473</v>
          </cell>
          <cell r="AP12">
            <v>64.606445536666456</v>
          </cell>
          <cell r="AQ12">
            <v>59.58671647950522</v>
          </cell>
        </row>
        <row r="52">
          <cell r="G52" t="str">
            <v>Chlorophyll-a</v>
          </cell>
        </row>
        <row r="53">
          <cell r="G53" t="str">
            <v>Total Phosphorus</v>
          </cell>
        </row>
        <row r="54">
          <cell r="G54" t="str">
            <v>Sechhi</v>
          </cell>
        </row>
        <row r="55">
          <cell r="G55" t="str">
            <v>TSI Index</v>
          </cell>
        </row>
      </sheetData>
      <sheetData sheetId="7">
        <row r="23">
          <cell r="B23" t="str">
            <v>Jan</v>
          </cell>
          <cell r="C23" t="str">
            <v>Feb</v>
          </cell>
          <cell r="D23" t="str">
            <v>Mar</v>
          </cell>
          <cell r="E23" t="str">
            <v>Apr</v>
          </cell>
          <cell r="F23" t="str">
            <v>May</v>
          </cell>
          <cell r="G23" t="str">
            <v>Jun</v>
          </cell>
          <cell r="H23" t="str">
            <v>Jul</v>
          </cell>
          <cell r="I23" t="str">
            <v>Aug</v>
          </cell>
          <cell r="J23" t="str">
            <v>Sep</v>
          </cell>
          <cell r="K23" t="str">
            <v>Oct</v>
          </cell>
          <cell r="L23" t="str">
            <v>Nov</v>
          </cell>
          <cell r="M23" t="str">
            <v>Dec</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S30" sqref="S30"/>
    </sheetView>
  </sheetViews>
  <sheetFormatPr defaultRowHeight="12.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S21"/>
  <sheetViews>
    <sheetView topLeftCell="A2" zoomScale="75" zoomScaleNormal="75" workbookViewId="0">
      <selection activeCell="B8" sqref="B8:P8"/>
    </sheetView>
  </sheetViews>
  <sheetFormatPr defaultRowHeight="13" x14ac:dyDescent="0.3"/>
  <cols>
    <col min="1" max="1" width="25.08984375" style="1" bestFit="1" customWidth="1"/>
    <col min="2" max="2" width="9.36328125" style="1" bestFit="1" customWidth="1"/>
    <col min="3" max="3" width="9.453125" style="1" bestFit="1" customWidth="1"/>
    <col min="4" max="4" width="9.36328125" style="1"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8.36328125" bestFit="1" customWidth="1"/>
    <col min="11" max="11" width="9.6328125" bestFit="1" customWidth="1"/>
    <col min="12" max="12" width="8.36328125" bestFit="1" customWidth="1"/>
    <col min="13" max="13" width="9.6328125" bestFit="1" customWidth="1"/>
    <col min="14" max="14" width="9.36328125" bestFit="1" customWidth="1"/>
    <col min="15" max="15" width="9.08984375" bestFit="1" customWidth="1"/>
    <col min="16" max="16" width="8.36328125" bestFit="1" customWidth="1"/>
    <col min="17" max="17" width="10.453125" bestFit="1" customWidth="1"/>
    <col min="18" max="18" width="7" bestFit="1" customWidth="1"/>
    <col min="19" max="19" width="11.54296875" bestFit="1" customWidth="1"/>
    <col min="20" max="20" width="9.6328125" bestFit="1" customWidth="1"/>
    <col min="21" max="21" width="10.90625" bestFit="1" customWidth="1"/>
    <col min="22" max="22" width="9.90625" bestFit="1" customWidth="1"/>
    <col min="23" max="23" width="10.36328125" bestFit="1" customWidth="1"/>
    <col min="24" max="24" width="10.90625" bestFit="1" customWidth="1"/>
    <col min="25" max="25" width="11.08984375" bestFit="1" customWidth="1"/>
    <col min="26" max="26" width="11.36328125" customWidth="1"/>
    <col min="27" max="27" width="11" customWidth="1"/>
    <col min="28" max="28" width="10.453125" customWidth="1"/>
    <col min="29" max="29" width="12.54296875" customWidth="1"/>
    <col min="30" max="30" width="10.90625" bestFit="1" customWidth="1"/>
  </cols>
  <sheetData>
    <row r="1" spans="1:19" x14ac:dyDescent="0.3">
      <c r="A1" s="832" t="s">
        <v>212</v>
      </c>
      <c r="B1" s="832"/>
      <c r="C1" s="832"/>
      <c r="D1" s="832"/>
      <c r="E1" s="832"/>
      <c r="F1" s="832"/>
      <c r="G1" s="832"/>
      <c r="H1" s="832"/>
      <c r="I1" s="832"/>
      <c r="J1" s="832"/>
      <c r="K1" s="832"/>
      <c r="L1" s="832"/>
      <c r="M1" s="832"/>
      <c r="N1" s="832"/>
      <c r="O1" s="832"/>
      <c r="P1" s="832"/>
    </row>
    <row r="2" spans="1:19" ht="17.5" x14ac:dyDescent="0.35">
      <c r="A2" s="812" t="s">
        <v>793</v>
      </c>
      <c r="B2" s="812"/>
      <c r="C2" s="812"/>
      <c r="D2" s="812"/>
      <c r="E2" s="812"/>
      <c r="F2" s="812"/>
      <c r="G2" s="812"/>
      <c r="H2" s="812"/>
      <c r="I2" s="812"/>
      <c r="J2" s="812"/>
      <c r="K2" s="812"/>
      <c r="L2" s="812"/>
      <c r="M2" s="812"/>
      <c r="N2" s="812"/>
      <c r="O2" s="812"/>
      <c r="P2" s="812"/>
    </row>
    <row r="5" spans="1:19" s="7" customFormat="1" ht="26" x14ac:dyDescent="0.3">
      <c r="A5" s="145" t="s">
        <v>2</v>
      </c>
      <c r="B5" s="534">
        <v>40203</v>
      </c>
      <c r="C5" s="534">
        <v>40231</v>
      </c>
      <c r="D5" s="534">
        <v>40266</v>
      </c>
      <c r="E5" s="534">
        <v>40294</v>
      </c>
      <c r="F5" s="534">
        <v>40322</v>
      </c>
      <c r="G5" s="534">
        <v>40358</v>
      </c>
      <c r="H5" s="535">
        <v>40372</v>
      </c>
      <c r="I5" s="535">
        <v>40385</v>
      </c>
      <c r="J5" s="535">
        <v>40399</v>
      </c>
      <c r="K5" s="534">
        <v>40413</v>
      </c>
      <c r="L5" s="534">
        <v>40428</v>
      </c>
      <c r="M5" s="536">
        <v>40448</v>
      </c>
      <c r="N5" s="536">
        <v>40477</v>
      </c>
      <c r="O5" s="536">
        <v>40497</v>
      </c>
      <c r="P5" s="535">
        <v>40514</v>
      </c>
      <c r="Q5" s="146" t="s">
        <v>106</v>
      </c>
      <c r="R5" s="147" t="s">
        <v>95</v>
      </c>
      <c r="S5" s="147" t="s">
        <v>124</v>
      </c>
    </row>
    <row r="6" spans="1:19" s="3" customFormat="1" ht="14" x14ac:dyDescent="0.3">
      <c r="A6" s="148" t="s">
        <v>31</v>
      </c>
      <c r="B6" s="84">
        <v>0.84</v>
      </c>
      <c r="C6" s="84">
        <v>0.7</v>
      </c>
      <c r="D6" s="431">
        <v>2.4</v>
      </c>
      <c r="E6" s="84">
        <v>3</v>
      </c>
      <c r="F6" s="431">
        <v>9.4</v>
      </c>
      <c r="G6" s="431">
        <v>14.1</v>
      </c>
      <c r="H6" s="84">
        <v>16.739999999999998</v>
      </c>
      <c r="I6" s="84">
        <v>15.4</v>
      </c>
      <c r="J6" s="84">
        <v>16.3</v>
      </c>
      <c r="K6" s="84">
        <v>19.600000000000001</v>
      </c>
      <c r="L6" s="84">
        <v>11.3</v>
      </c>
      <c r="M6" s="84">
        <v>13</v>
      </c>
      <c r="N6" s="84">
        <v>5.5</v>
      </c>
      <c r="O6" s="84">
        <v>5.5</v>
      </c>
      <c r="P6" s="84">
        <v>3.2</v>
      </c>
      <c r="Q6" s="305">
        <f>AVERAGE(E6:P6)</f>
        <v>11.086666666666664</v>
      </c>
      <c r="R6" s="306">
        <f>MAX(E6:Q6)</f>
        <v>19.600000000000001</v>
      </c>
      <c r="S6" s="306">
        <f>AVERAGE(H6:M6)</f>
        <v>15.389999999999999</v>
      </c>
    </row>
    <row r="7" spans="1:19" s="3" customFormat="1" ht="14" x14ac:dyDescent="0.3">
      <c r="A7" s="149" t="s">
        <v>32</v>
      </c>
      <c r="B7" s="84">
        <v>-0.03</v>
      </c>
      <c r="C7" s="84">
        <v>0.1</v>
      </c>
      <c r="D7" s="431">
        <v>3.4</v>
      </c>
      <c r="E7" s="84">
        <v>4.7</v>
      </c>
      <c r="F7" s="431">
        <v>10.6</v>
      </c>
      <c r="G7" s="431">
        <v>15</v>
      </c>
      <c r="H7" s="84">
        <v>16.87</v>
      </c>
      <c r="I7" s="84">
        <v>16.96</v>
      </c>
      <c r="J7" s="84">
        <v>16.8</v>
      </c>
      <c r="K7" s="84">
        <v>17.899999999999999</v>
      </c>
      <c r="L7" s="84">
        <v>11.5</v>
      </c>
      <c r="M7" s="84">
        <v>12.4</v>
      </c>
      <c r="N7" s="84">
        <v>3.3</v>
      </c>
      <c r="O7" s="84">
        <v>2.5</v>
      </c>
      <c r="P7" s="84">
        <v>3.4</v>
      </c>
      <c r="Q7" s="305">
        <f>AVERAGE(E7:P7)</f>
        <v>10.994166666666665</v>
      </c>
      <c r="R7" s="306">
        <f t="shared" ref="R7:R20" si="0">MAX(E7:Q7)</f>
        <v>17.899999999999999</v>
      </c>
      <c r="S7" s="306">
        <f t="shared" ref="S7:S20" si="1">AVERAGE(H7:M7)</f>
        <v>15.405000000000001</v>
      </c>
    </row>
    <row r="8" spans="1:19" s="3" customFormat="1" ht="14" x14ac:dyDescent="0.3">
      <c r="A8" s="149" t="s">
        <v>159</v>
      </c>
      <c r="B8" s="84">
        <v>3.3</v>
      </c>
      <c r="C8" s="84">
        <v>2.1</v>
      </c>
      <c r="D8" s="6">
        <v>5.5</v>
      </c>
      <c r="E8" s="84">
        <v>7.8</v>
      </c>
      <c r="F8" s="431">
        <v>13.7</v>
      </c>
      <c r="G8" s="431">
        <v>19.3</v>
      </c>
      <c r="H8" s="84">
        <v>22.48</v>
      </c>
      <c r="I8" s="84">
        <v>22.74</v>
      </c>
      <c r="J8" s="84">
        <v>22.1</v>
      </c>
      <c r="K8" s="84">
        <v>22</v>
      </c>
      <c r="L8" s="84">
        <v>18.8</v>
      </c>
      <c r="M8" s="84">
        <v>17.399999999999999</v>
      </c>
      <c r="N8" s="84">
        <v>11.3</v>
      </c>
      <c r="O8" s="84">
        <v>7.5</v>
      </c>
      <c r="P8" s="84">
        <v>4.2</v>
      </c>
      <c r="Q8" s="305">
        <f>AVERAGE(E8:P8)</f>
        <v>15.776666666666669</v>
      </c>
      <c r="R8" s="306">
        <f t="shared" si="0"/>
        <v>22.74</v>
      </c>
      <c r="S8" s="306">
        <f t="shared" si="1"/>
        <v>20.919999999999998</v>
      </c>
    </row>
    <row r="9" spans="1:19" s="3" customFormat="1" ht="14" x14ac:dyDescent="0.3">
      <c r="A9" s="158"/>
      <c r="B9" s="319"/>
      <c r="C9" s="319"/>
      <c r="D9" s="319"/>
      <c r="E9" s="84"/>
      <c r="F9" s="84"/>
      <c r="G9" s="319"/>
      <c r="H9" s="319"/>
      <c r="I9" s="502"/>
      <c r="J9" s="322"/>
      <c r="K9" s="322"/>
      <c r="L9" s="319"/>
      <c r="M9" s="319"/>
      <c r="N9" s="319"/>
      <c r="O9" s="319"/>
      <c r="P9" s="319"/>
      <c r="Q9" s="305"/>
      <c r="R9" s="306"/>
      <c r="S9" s="306"/>
    </row>
    <row r="10" spans="1:19" s="3" customFormat="1" ht="14" x14ac:dyDescent="0.3">
      <c r="A10" s="111" t="s">
        <v>782</v>
      </c>
      <c r="B10" s="84">
        <v>2.79</v>
      </c>
      <c r="C10" s="84">
        <v>1.9</v>
      </c>
      <c r="D10" s="84">
        <v>5.6</v>
      </c>
      <c r="E10" s="84">
        <v>7.5</v>
      </c>
      <c r="F10" s="431">
        <v>12.3</v>
      </c>
      <c r="G10" s="431">
        <v>19</v>
      </c>
      <c r="H10" s="84">
        <v>21.24</v>
      </c>
      <c r="I10" s="84">
        <v>22.52</v>
      </c>
      <c r="J10" s="84">
        <v>21.8</v>
      </c>
      <c r="K10" s="84">
        <v>21.4</v>
      </c>
      <c r="L10" s="84">
        <v>20</v>
      </c>
      <c r="M10" s="84">
        <v>18.100000000000001</v>
      </c>
      <c r="N10" s="84">
        <v>10</v>
      </c>
      <c r="O10" s="431">
        <v>7.3</v>
      </c>
      <c r="P10" s="84">
        <v>3.1</v>
      </c>
      <c r="Q10" s="305">
        <f t="shared" ref="Q10:Q20" si="2">AVERAGE(E10:P10)</f>
        <v>15.354999999999999</v>
      </c>
      <c r="R10" s="306">
        <f t="shared" si="0"/>
        <v>22.52</v>
      </c>
      <c r="S10" s="306">
        <f t="shared" si="1"/>
        <v>20.843333333333334</v>
      </c>
    </row>
    <row r="11" spans="1:19" s="3" customFormat="1" ht="14" x14ac:dyDescent="0.3">
      <c r="A11" s="111" t="s">
        <v>783</v>
      </c>
      <c r="B11" s="84">
        <v>3.26</v>
      </c>
      <c r="C11" s="84">
        <v>2.7</v>
      </c>
      <c r="D11" s="84">
        <v>5.3</v>
      </c>
      <c r="E11" s="84">
        <v>7.5</v>
      </c>
      <c r="F11" s="431">
        <v>12.3</v>
      </c>
      <c r="G11" s="431">
        <v>18.399999999999999</v>
      </c>
      <c r="H11" s="84">
        <v>21.13</v>
      </c>
      <c r="I11" s="84">
        <v>22.44</v>
      </c>
      <c r="J11" s="84">
        <v>21.4</v>
      </c>
      <c r="K11" s="84">
        <v>21.4</v>
      </c>
      <c r="L11" s="84">
        <v>20</v>
      </c>
      <c r="M11" s="84">
        <v>17.8</v>
      </c>
      <c r="N11" s="84">
        <v>9.9</v>
      </c>
      <c r="O11" s="431">
        <v>7.1</v>
      </c>
      <c r="P11" s="84">
        <v>3.2</v>
      </c>
      <c r="Q11" s="305">
        <f t="shared" si="2"/>
        <v>15.214166666666666</v>
      </c>
      <c r="R11" s="306">
        <f t="shared" si="0"/>
        <v>22.44</v>
      </c>
      <c r="S11" s="306">
        <f t="shared" si="1"/>
        <v>20.695</v>
      </c>
    </row>
    <row r="12" spans="1:19" s="3" customFormat="1" ht="14" x14ac:dyDescent="0.3">
      <c r="A12" s="111" t="s">
        <v>784</v>
      </c>
      <c r="B12" s="84">
        <v>3.41</v>
      </c>
      <c r="C12" s="84">
        <v>3.6</v>
      </c>
      <c r="D12" s="84">
        <v>5.2</v>
      </c>
      <c r="E12" s="84">
        <v>7.3</v>
      </c>
      <c r="F12" s="431">
        <v>12.1</v>
      </c>
      <c r="G12" s="431">
        <v>18.7</v>
      </c>
      <c r="H12" s="84">
        <v>19.760000000000002</v>
      </c>
      <c r="I12" s="84">
        <v>22.31</v>
      </c>
      <c r="J12" s="84">
        <v>21.2</v>
      </c>
      <c r="K12" s="84">
        <v>21.3</v>
      </c>
      <c r="L12" s="84">
        <v>19.899999999999999</v>
      </c>
      <c r="M12" s="84">
        <v>17.8</v>
      </c>
      <c r="N12" s="84">
        <v>9.9</v>
      </c>
      <c r="O12" s="431">
        <v>7.1</v>
      </c>
      <c r="P12" s="84">
        <v>3.2</v>
      </c>
      <c r="Q12" s="305">
        <f t="shared" si="2"/>
        <v>15.047499999999999</v>
      </c>
      <c r="R12" s="306">
        <f t="shared" si="0"/>
        <v>22.31</v>
      </c>
      <c r="S12" s="306">
        <f t="shared" si="1"/>
        <v>20.378333333333334</v>
      </c>
    </row>
    <row r="13" spans="1:19" s="3" customFormat="1" ht="14" x14ac:dyDescent="0.3">
      <c r="A13" s="111" t="s">
        <v>785</v>
      </c>
      <c r="B13" s="84">
        <v>3.1</v>
      </c>
      <c r="C13" s="84">
        <v>3.7</v>
      </c>
      <c r="D13" s="84">
        <v>5.0999999999999996</v>
      </c>
      <c r="E13" s="84">
        <v>7.2</v>
      </c>
      <c r="F13" s="431">
        <v>12.1</v>
      </c>
      <c r="G13" s="431">
        <v>18.399999999999999</v>
      </c>
      <c r="H13" s="84">
        <v>19.46</v>
      </c>
      <c r="I13" s="84">
        <v>22.28</v>
      </c>
      <c r="J13" s="84">
        <v>21</v>
      </c>
      <c r="K13" s="84">
        <v>21.3</v>
      </c>
      <c r="L13" s="84">
        <v>19.8</v>
      </c>
      <c r="M13" s="84">
        <v>17.7</v>
      </c>
      <c r="N13" s="84">
        <v>9.9</v>
      </c>
      <c r="O13" s="431">
        <v>7.1</v>
      </c>
      <c r="P13" s="84">
        <v>3.2</v>
      </c>
      <c r="Q13" s="305">
        <f t="shared" si="2"/>
        <v>14.953333333333331</v>
      </c>
      <c r="R13" s="306">
        <f t="shared" si="0"/>
        <v>22.28</v>
      </c>
      <c r="S13" s="306">
        <f t="shared" si="1"/>
        <v>20.256666666666668</v>
      </c>
    </row>
    <row r="14" spans="1:19" s="3" customFormat="1" ht="14" x14ac:dyDescent="0.3">
      <c r="A14" s="111" t="s">
        <v>786</v>
      </c>
      <c r="B14" s="84">
        <v>3.22</v>
      </c>
      <c r="C14" s="84">
        <v>3.4</v>
      </c>
      <c r="D14" s="84">
        <v>5</v>
      </c>
      <c r="E14" s="84">
        <v>7.1</v>
      </c>
      <c r="F14" s="431">
        <v>12</v>
      </c>
      <c r="G14" s="431">
        <v>18.3</v>
      </c>
      <c r="H14" s="84">
        <v>19.14</v>
      </c>
      <c r="I14" s="84">
        <v>22.25</v>
      </c>
      <c r="J14" s="84">
        <v>20.9</v>
      </c>
      <c r="K14" s="84">
        <v>21.3</v>
      </c>
      <c r="L14" s="84">
        <v>19.8</v>
      </c>
      <c r="M14" s="89">
        <v>17.7</v>
      </c>
      <c r="N14" s="84">
        <v>9.9</v>
      </c>
      <c r="O14" s="431">
        <v>7.1</v>
      </c>
      <c r="P14" s="84">
        <v>3.2</v>
      </c>
      <c r="Q14" s="305">
        <f t="shared" si="2"/>
        <v>14.890833333333331</v>
      </c>
      <c r="R14" s="306">
        <f t="shared" si="0"/>
        <v>22.25</v>
      </c>
      <c r="S14" s="306">
        <f t="shared" si="1"/>
        <v>20.181666666666668</v>
      </c>
    </row>
    <row r="15" spans="1:19" s="3" customFormat="1" ht="14" x14ac:dyDescent="0.3">
      <c r="A15" s="111" t="s">
        <v>787</v>
      </c>
      <c r="B15" s="84">
        <v>4.34</v>
      </c>
      <c r="C15" s="84">
        <v>3.4</v>
      </c>
      <c r="D15" s="84">
        <v>4.7</v>
      </c>
      <c r="E15" s="84">
        <v>7.1</v>
      </c>
      <c r="F15" s="431">
        <v>12</v>
      </c>
      <c r="G15" s="431">
        <v>18.2</v>
      </c>
      <c r="H15" s="84">
        <v>18.829999999999998</v>
      </c>
      <c r="I15" s="84">
        <v>22.23</v>
      </c>
      <c r="J15" s="84">
        <v>20.8</v>
      </c>
      <c r="K15" s="84">
        <v>21.3</v>
      </c>
      <c r="L15" s="84">
        <v>19.8</v>
      </c>
      <c r="M15" s="84">
        <v>17.7</v>
      </c>
      <c r="N15" s="84">
        <v>9.9</v>
      </c>
      <c r="O15" s="431">
        <v>7</v>
      </c>
      <c r="P15" s="84">
        <v>3.3</v>
      </c>
      <c r="Q15" s="305">
        <f t="shared" si="2"/>
        <v>14.846666666666666</v>
      </c>
      <c r="R15" s="306">
        <f t="shared" si="0"/>
        <v>22.23</v>
      </c>
      <c r="S15" s="306">
        <f t="shared" si="1"/>
        <v>20.11</v>
      </c>
    </row>
    <row r="16" spans="1:19" s="3" customFormat="1" ht="14" x14ac:dyDescent="0.3">
      <c r="A16" s="111" t="s">
        <v>788</v>
      </c>
      <c r="B16" s="84">
        <v>3.39</v>
      </c>
      <c r="C16" s="84">
        <v>3.6</v>
      </c>
      <c r="D16" s="84">
        <v>4.7</v>
      </c>
      <c r="E16" s="84">
        <v>7</v>
      </c>
      <c r="F16" s="431">
        <v>11.1</v>
      </c>
      <c r="G16" s="431">
        <v>18.100000000000001</v>
      </c>
      <c r="H16" s="84">
        <v>18.77</v>
      </c>
      <c r="I16" s="84">
        <v>22.22</v>
      </c>
      <c r="J16" s="84">
        <v>20.7</v>
      </c>
      <c r="K16" s="84">
        <v>21.2</v>
      </c>
      <c r="L16" s="84">
        <v>19.8</v>
      </c>
      <c r="M16" s="84">
        <v>17.600000000000001</v>
      </c>
      <c r="N16" s="84">
        <v>9.9</v>
      </c>
      <c r="O16" s="431">
        <v>7</v>
      </c>
      <c r="P16" s="84">
        <v>3.4</v>
      </c>
      <c r="Q16" s="305">
        <f t="shared" si="2"/>
        <v>14.732500000000002</v>
      </c>
      <c r="R16" s="306">
        <f t="shared" si="0"/>
        <v>22.22</v>
      </c>
      <c r="S16" s="306">
        <f t="shared" si="1"/>
        <v>20.048333333333332</v>
      </c>
    </row>
    <row r="17" spans="1:19" s="3" customFormat="1" ht="14" x14ac:dyDescent="0.3">
      <c r="A17" s="111" t="s">
        <v>789</v>
      </c>
      <c r="B17" s="84">
        <v>3.6</v>
      </c>
      <c r="C17" s="84">
        <v>3.8</v>
      </c>
      <c r="D17" s="84">
        <v>4.7</v>
      </c>
      <c r="E17" s="84">
        <v>6.9</v>
      </c>
      <c r="F17" s="304"/>
      <c r="G17" s="431">
        <v>17.899999999999999</v>
      </c>
      <c r="H17" s="84">
        <v>18.71</v>
      </c>
      <c r="I17" s="84">
        <v>22.15</v>
      </c>
      <c r="J17" s="84">
        <v>20.7</v>
      </c>
      <c r="K17" s="84">
        <v>21.1</v>
      </c>
      <c r="L17" s="84">
        <v>19.7</v>
      </c>
      <c r="M17" s="84">
        <v>17.600000000000001</v>
      </c>
      <c r="N17" s="84">
        <v>9.9</v>
      </c>
      <c r="O17" s="431">
        <v>6.9</v>
      </c>
      <c r="P17" s="84">
        <v>3.4</v>
      </c>
      <c r="Q17" s="305">
        <f t="shared" si="2"/>
        <v>14.99636363636364</v>
      </c>
      <c r="R17" s="306">
        <f t="shared" si="0"/>
        <v>22.15</v>
      </c>
      <c r="S17" s="306">
        <f t="shared" si="1"/>
        <v>19.993333333333336</v>
      </c>
    </row>
    <row r="18" spans="1:19" s="3" customFormat="1" ht="14" x14ac:dyDescent="0.3">
      <c r="A18" s="111" t="s">
        <v>790</v>
      </c>
      <c r="B18" s="308"/>
      <c r="C18" s="84">
        <v>4</v>
      </c>
      <c r="D18" s="84">
        <v>4.7</v>
      </c>
      <c r="E18" s="84">
        <v>6.8</v>
      </c>
      <c r="F18" s="304"/>
      <c r="G18" s="547">
        <v>17.8</v>
      </c>
      <c r="H18" s="84">
        <v>18.54</v>
      </c>
      <c r="I18" s="84">
        <v>22.04</v>
      </c>
      <c r="J18" s="84">
        <v>20.7</v>
      </c>
      <c r="K18" s="84">
        <v>21</v>
      </c>
      <c r="L18" s="84">
        <v>19.600000000000001</v>
      </c>
      <c r="M18" s="84">
        <v>17.600000000000001</v>
      </c>
      <c r="N18" s="84">
        <v>9.9</v>
      </c>
      <c r="O18" s="431">
        <v>6.6</v>
      </c>
      <c r="P18" s="84">
        <v>3.4</v>
      </c>
      <c r="Q18" s="305">
        <f t="shared" si="2"/>
        <v>14.907272727272728</v>
      </c>
      <c r="R18" s="306">
        <f t="shared" si="0"/>
        <v>22.04</v>
      </c>
      <c r="S18" s="306">
        <f t="shared" si="1"/>
        <v>19.91333333333333</v>
      </c>
    </row>
    <row r="19" spans="1:19" s="3" customFormat="1" ht="14" x14ac:dyDescent="0.3">
      <c r="A19" s="111" t="s">
        <v>791</v>
      </c>
      <c r="B19" s="308"/>
      <c r="C19" s="84">
        <v>4.0999999999999996</v>
      </c>
      <c r="D19" s="84">
        <v>4.8</v>
      </c>
      <c r="E19" s="84">
        <v>6.3</v>
      </c>
      <c r="F19" s="304"/>
      <c r="G19" s="431">
        <v>17.5</v>
      </c>
      <c r="H19" s="84">
        <v>18.41</v>
      </c>
      <c r="I19" s="84">
        <v>21.66</v>
      </c>
      <c r="J19" s="84">
        <v>20.2</v>
      </c>
      <c r="K19" s="84">
        <v>20.7</v>
      </c>
      <c r="L19" s="84">
        <v>18.8</v>
      </c>
      <c r="M19" s="84">
        <v>17.7</v>
      </c>
      <c r="N19" s="84">
        <v>9.9</v>
      </c>
      <c r="O19" s="431">
        <v>6.6</v>
      </c>
      <c r="P19" s="84">
        <v>3.6</v>
      </c>
      <c r="Q19" s="305">
        <f t="shared" si="2"/>
        <v>14.67</v>
      </c>
      <c r="R19" s="306">
        <f>MAX(E19:Q19)</f>
        <v>21.66</v>
      </c>
      <c r="S19" s="306">
        <f t="shared" si="1"/>
        <v>19.578333333333333</v>
      </c>
    </row>
    <row r="20" spans="1:19" ht="14" x14ac:dyDescent="0.3">
      <c r="A20" s="111" t="s">
        <v>792</v>
      </c>
      <c r="B20" s="308"/>
      <c r="C20" s="84">
        <v>4.0999999999999996</v>
      </c>
      <c r="D20" s="84">
        <v>4.8</v>
      </c>
      <c r="E20" s="84">
        <v>6.3</v>
      </c>
      <c r="F20" s="154"/>
      <c r="G20" s="431">
        <v>17</v>
      </c>
      <c r="H20" s="84">
        <v>18.27</v>
      </c>
      <c r="I20" s="84">
        <v>21.48</v>
      </c>
      <c r="J20" s="84">
        <v>20.5</v>
      </c>
      <c r="K20" s="84">
        <v>20.6</v>
      </c>
      <c r="L20" s="84">
        <v>18.7</v>
      </c>
      <c r="M20" s="309"/>
      <c r="N20" s="309"/>
      <c r="O20" s="431">
        <v>6.6</v>
      </c>
      <c r="P20" s="304"/>
      <c r="Q20" s="305">
        <f t="shared" si="2"/>
        <v>16.181250000000002</v>
      </c>
      <c r="R20" s="306">
        <f t="shared" si="0"/>
        <v>21.48</v>
      </c>
      <c r="S20" s="306">
        <f t="shared" si="1"/>
        <v>19.91</v>
      </c>
    </row>
    <row r="21" spans="1:19" x14ac:dyDescent="0.3">
      <c r="C21"/>
      <c r="E21" s="840"/>
      <c r="F21" s="840"/>
      <c r="G21" s="840"/>
      <c r="H21" s="840"/>
      <c r="I21" s="840"/>
      <c r="J21" s="840"/>
      <c r="K21" s="840"/>
      <c r="L21" s="840"/>
    </row>
  </sheetData>
  <mergeCells count="3">
    <mergeCell ref="E21:L21"/>
    <mergeCell ref="A1:P1"/>
    <mergeCell ref="A2:P2"/>
  </mergeCells>
  <phoneticPr fontId="0" type="noConversion"/>
  <pageMargins left="0.75" right="0.75" top="1" bottom="1" header="0.5" footer="0.5"/>
  <pageSetup scale="4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S22"/>
  <sheetViews>
    <sheetView zoomScale="75" zoomScaleNormal="75" workbookViewId="0">
      <selection activeCell="B22" sqref="B22:P22"/>
    </sheetView>
  </sheetViews>
  <sheetFormatPr defaultColWidth="14.08984375" defaultRowHeight="13" x14ac:dyDescent="0.3"/>
  <cols>
    <col min="1" max="1" width="23.453125" style="1" bestFit="1" customWidth="1"/>
    <col min="2" max="2" width="10" customWidth="1"/>
    <col min="3" max="3" width="10.90625" bestFit="1" customWidth="1"/>
    <col min="4" max="4" width="11.08984375" bestFit="1" customWidth="1"/>
    <col min="5" max="5" width="12" bestFit="1" customWidth="1"/>
    <col min="6" max="6" width="11.6328125" bestFit="1" customWidth="1"/>
    <col min="7" max="7" width="12.08984375" bestFit="1" customWidth="1"/>
    <col min="8" max="8" width="12.36328125" bestFit="1" customWidth="1"/>
    <col min="9" max="9" width="12" bestFit="1" customWidth="1"/>
    <col min="10" max="10" width="12.08984375" bestFit="1" customWidth="1"/>
    <col min="11" max="11" width="12" bestFit="1" customWidth="1"/>
    <col min="12" max="12" width="10.36328125" bestFit="1" customWidth="1"/>
    <col min="13" max="13" width="11.453125" bestFit="1" customWidth="1"/>
    <col min="14" max="14" width="10.90625" bestFit="1" customWidth="1"/>
    <col min="15" max="15" width="12.36328125" bestFit="1" customWidth="1"/>
    <col min="16" max="16" width="11" bestFit="1" customWidth="1"/>
    <col min="17" max="17" width="13.36328125" customWidth="1"/>
    <col min="18" max="18" width="6.54296875" bestFit="1" customWidth="1"/>
    <col min="19" max="19" width="11.54296875" bestFit="1" customWidth="1"/>
  </cols>
  <sheetData>
    <row r="1" spans="1:19" x14ac:dyDescent="0.3">
      <c r="A1" s="832" t="s">
        <v>4</v>
      </c>
      <c r="B1" s="832"/>
      <c r="C1" s="832"/>
      <c r="D1" s="832"/>
      <c r="E1" s="832"/>
      <c r="F1" s="832"/>
      <c r="G1" s="832"/>
      <c r="H1" s="832"/>
      <c r="I1" s="832"/>
      <c r="J1" s="832"/>
      <c r="K1" s="832"/>
      <c r="L1" s="832"/>
      <c r="M1" s="832"/>
      <c r="N1" s="832"/>
      <c r="O1" s="832"/>
      <c r="P1" s="832"/>
    </row>
    <row r="4" spans="1:19" s="7" customFormat="1" ht="26" x14ac:dyDescent="0.3">
      <c r="A4" s="150" t="s">
        <v>2</v>
      </c>
      <c r="B4" s="534">
        <v>40203</v>
      </c>
      <c r="C4" s="534">
        <v>40231</v>
      </c>
      <c r="D4" s="534">
        <v>40266</v>
      </c>
      <c r="E4" s="534">
        <v>40294</v>
      </c>
      <c r="F4" s="534">
        <v>40322</v>
      </c>
      <c r="G4" s="534">
        <v>40358</v>
      </c>
      <c r="H4" s="535">
        <v>40372</v>
      </c>
      <c r="I4" s="535">
        <v>40385</v>
      </c>
      <c r="J4" s="535">
        <v>40399</v>
      </c>
      <c r="K4" s="534">
        <v>40413</v>
      </c>
      <c r="L4" s="534">
        <v>40428</v>
      </c>
      <c r="M4" s="536">
        <v>40448</v>
      </c>
      <c r="N4" s="536">
        <v>40477</v>
      </c>
      <c r="O4" s="536">
        <v>40497</v>
      </c>
      <c r="P4" s="535">
        <v>40514</v>
      </c>
      <c r="Q4" s="151" t="s">
        <v>106</v>
      </c>
      <c r="R4" s="152" t="s">
        <v>95</v>
      </c>
      <c r="S4" s="152" t="s">
        <v>124</v>
      </c>
    </row>
    <row r="5" spans="1:19" x14ac:dyDescent="0.3">
      <c r="A5" s="97" t="s">
        <v>31</v>
      </c>
      <c r="B5" s="84">
        <v>1.19</v>
      </c>
      <c r="C5" s="84">
        <v>1.24</v>
      </c>
      <c r="D5" s="431">
        <v>0.9</v>
      </c>
      <c r="E5" s="84">
        <v>0.34799999999999998</v>
      </c>
      <c r="F5" s="431">
        <v>0.34</v>
      </c>
      <c r="G5" s="431">
        <v>0.71</v>
      </c>
      <c r="H5" s="84">
        <v>1.1439999999999999</v>
      </c>
      <c r="I5" s="84">
        <v>1.1200000000000001</v>
      </c>
      <c r="J5" s="84">
        <v>0.99</v>
      </c>
      <c r="K5" s="84">
        <v>1.6</v>
      </c>
      <c r="L5" s="84">
        <v>2.0499999999999998</v>
      </c>
      <c r="M5" s="84">
        <v>2.42</v>
      </c>
      <c r="N5" s="84">
        <v>1.3</v>
      </c>
      <c r="O5" s="84">
        <v>1.67</v>
      </c>
      <c r="P5" s="84">
        <v>1.85</v>
      </c>
      <c r="Q5" s="113">
        <f>AVERAGE(D5:P5)</f>
        <v>1.2647692307692311</v>
      </c>
      <c r="R5" s="112">
        <f>MAX(D5:P5)</f>
        <v>2.42</v>
      </c>
      <c r="S5" s="112">
        <f>AVERAGE(G5:N5)</f>
        <v>1.41675</v>
      </c>
    </row>
    <row r="6" spans="1:19" x14ac:dyDescent="0.3">
      <c r="A6" s="97" t="s">
        <v>32</v>
      </c>
      <c r="B6" s="84">
        <v>0.24129999999999999</v>
      </c>
      <c r="C6" s="84">
        <v>0.432</v>
      </c>
      <c r="D6" s="84">
        <v>0.46100000000000002</v>
      </c>
      <c r="E6" s="84">
        <v>0.28799999999999998</v>
      </c>
      <c r="F6" s="431">
        <v>0.17100000000000001</v>
      </c>
      <c r="G6" s="431">
        <v>0.19</v>
      </c>
      <c r="H6" s="84">
        <v>0.247</v>
      </c>
      <c r="I6" s="84">
        <v>0.26910000000000001</v>
      </c>
      <c r="J6" s="84">
        <v>0.157</v>
      </c>
      <c r="K6" s="84">
        <v>0.21099999999999999</v>
      </c>
      <c r="L6" s="84">
        <v>0.219</v>
      </c>
      <c r="M6" s="84">
        <v>0.219</v>
      </c>
      <c r="N6" s="84">
        <v>0.17599999999999999</v>
      </c>
      <c r="O6" s="84">
        <v>0.28899999999999998</v>
      </c>
      <c r="P6" s="84">
        <v>0.59799999999999998</v>
      </c>
      <c r="Q6" s="113">
        <f>AVERAGE(D6:P6)</f>
        <v>0.26885384615384617</v>
      </c>
      <c r="R6" s="112">
        <f>MAX(D6:P6)</f>
        <v>0.59799999999999998</v>
      </c>
      <c r="S6" s="112">
        <f>AVERAGE(G6:N6)</f>
        <v>0.21101250000000002</v>
      </c>
    </row>
    <row r="7" spans="1:19" x14ac:dyDescent="0.3">
      <c r="A7" s="97" t="s">
        <v>159</v>
      </c>
      <c r="B7" s="84">
        <v>0.48899999999999999</v>
      </c>
      <c r="C7" s="84">
        <v>0.51900000000000002</v>
      </c>
      <c r="D7" s="84">
        <v>0.65900000000000003</v>
      </c>
      <c r="E7" s="84">
        <v>0.35899999999999999</v>
      </c>
      <c r="F7" s="431">
        <v>0.28599999999999998</v>
      </c>
      <c r="G7" s="431">
        <v>0.27400000000000002</v>
      </c>
      <c r="H7" s="84">
        <v>0.29299999999999998</v>
      </c>
      <c r="I7" s="84">
        <v>0.31509999999999999</v>
      </c>
      <c r="J7" s="84">
        <v>0.28499999999999998</v>
      </c>
      <c r="K7" s="84">
        <v>0.25800000000000001</v>
      </c>
      <c r="L7" s="84">
        <v>0.254</v>
      </c>
      <c r="M7" s="84">
        <v>0.27400000000000002</v>
      </c>
      <c r="N7" s="84">
        <v>0.309</v>
      </c>
      <c r="O7" s="84">
        <v>0.34499999999999997</v>
      </c>
      <c r="P7" s="84">
        <v>0.36</v>
      </c>
      <c r="Q7" s="113">
        <f>AVERAGE(D7:P7)</f>
        <v>0.32854615384615388</v>
      </c>
      <c r="R7" s="112">
        <f>MAX(D7:P7)</f>
        <v>0.65900000000000003</v>
      </c>
      <c r="S7" s="112">
        <f>AVERAGE(G7:N7)</f>
        <v>0.28276249999999997</v>
      </c>
    </row>
    <row r="8" spans="1:19" x14ac:dyDescent="0.3">
      <c r="A8" s="110"/>
      <c r="B8" s="319"/>
      <c r="C8" s="319"/>
      <c r="D8" s="319"/>
      <c r="E8" s="84"/>
      <c r="F8" s="84"/>
      <c r="G8" s="319"/>
      <c r="H8" s="319"/>
      <c r="I8" s="502"/>
      <c r="J8" s="322"/>
      <c r="K8" s="322"/>
      <c r="L8" s="319"/>
      <c r="M8" s="319"/>
      <c r="N8" s="319"/>
      <c r="O8" s="319"/>
      <c r="P8" s="319"/>
      <c r="Q8" s="113"/>
      <c r="R8" s="112"/>
      <c r="S8" s="112"/>
    </row>
    <row r="9" spans="1:19" x14ac:dyDescent="0.3">
      <c r="A9" s="111" t="s">
        <v>782</v>
      </c>
      <c r="B9" s="84">
        <v>0.52229999999999999</v>
      </c>
      <c r="C9" s="84">
        <v>0.52</v>
      </c>
      <c r="D9" s="84">
        <v>0.65200000000000002</v>
      </c>
      <c r="E9" s="84">
        <v>0.35699999999999998</v>
      </c>
      <c r="F9" s="84">
        <v>0.28199999999999997</v>
      </c>
      <c r="G9" s="431">
        <v>0.27400000000000002</v>
      </c>
      <c r="H9" s="84">
        <v>0.28799999999999998</v>
      </c>
      <c r="I9" s="84">
        <v>0.31559999999999999</v>
      </c>
      <c r="J9" s="84">
        <v>0.28399999999999997</v>
      </c>
      <c r="K9" s="84">
        <v>0.25700000000000001</v>
      </c>
      <c r="L9" s="84">
        <v>0.25700000000000001</v>
      </c>
      <c r="M9" s="84">
        <v>0.26800000000000002</v>
      </c>
      <c r="N9" s="84">
        <v>0.311</v>
      </c>
      <c r="O9" s="84">
        <v>0.34699999999999998</v>
      </c>
      <c r="P9" s="84">
        <v>0.38100000000000001</v>
      </c>
      <c r="Q9" s="113">
        <f>AVERAGE(D9:P9)</f>
        <v>0.32873846153846153</v>
      </c>
      <c r="R9" s="112">
        <f>MAX(D9:P9)</f>
        <v>0.65200000000000002</v>
      </c>
      <c r="S9" s="112">
        <f t="shared" ref="S9:S18" si="0">AVERAGE(G9:N9)</f>
        <v>0.28182500000000005</v>
      </c>
    </row>
    <row r="10" spans="1:19" x14ac:dyDescent="0.3">
      <c r="A10" s="111" t="s">
        <v>783</v>
      </c>
      <c r="B10" s="84">
        <v>0.55159999999999998</v>
      </c>
      <c r="C10" s="84">
        <v>0.55400000000000005</v>
      </c>
      <c r="D10" s="84">
        <v>0.65300000000000002</v>
      </c>
      <c r="E10" s="84">
        <v>0.35699999999999998</v>
      </c>
      <c r="F10" s="84">
        <v>0.27700000000000002</v>
      </c>
      <c r="G10" s="431">
        <v>0.27300000000000002</v>
      </c>
      <c r="H10" s="84">
        <v>0.28799999999999998</v>
      </c>
      <c r="I10" s="84">
        <v>0.31569999999999998</v>
      </c>
      <c r="J10" s="84">
        <v>0.27800000000000002</v>
      </c>
      <c r="K10" s="84">
        <v>0.25600000000000001</v>
      </c>
      <c r="L10" s="84">
        <v>0.25700000000000001</v>
      </c>
      <c r="M10" s="84">
        <v>0.26800000000000002</v>
      </c>
      <c r="N10" s="84">
        <v>0.317</v>
      </c>
      <c r="O10" s="84">
        <v>0.34899999999999998</v>
      </c>
      <c r="P10" s="84">
        <v>0.38100000000000001</v>
      </c>
      <c r="Q10" s="113">
        <f>AVERAGE(D10:P10)</f>
        <v>0.32843846153846162</v>
      </c>
      <c r="R10" s="112">
        <f>MAX(D10:P10)</f>
        <v>0.65300000000000002</v>
      </c>
      <c r="S10" s="112">
        <f t="shared" si="0"/>
        <v>0.28158749999999999</v>
      </c>
    </row>
    <row r="11" spans="1:19" x14ac:dyDescent="0.3">
      <c r="A11" s="111" t="s">
        <v>784</v>
      </c>
      <c r="B11" s="84">
        <v>0.622</v>
      </c>
      <c r="C11" s="84">
        <v>0.64700000000000002</v>
      </c>
      <c r="D11" s="84">
        <v>0.65400000000000003</v>
      </c>
      <c r="E11" s="84">
        <v>0.35899999999999999</v>
      </c>
      <c r="F11" s="84">
        <v>0.27800000000000002</v>
      </c>
      <c r="G11" s="431">
        <v>0.27300000000000002</v>
      </c>
      <c r="H11" s="84">
        <v>0.29499999999999998</v>
      </c>
      <c r="I11" s="84">
        <v>0.31559999999999999</v>
      </c>
      <c r="J11" s="84">
        <v>0.28000000000000003</v>
      </c>
      <c r="K11" s="84">
        <v>0.25700000000000001</v>
      </c>
      <c r="L11" s="84">
        <v>0.25700000000000001</v>
      </c>
      <c r="M11" s="84">
        <v>0.26800000000000002</v>
      </c>
      <c r="N11" s="84">
        <v>0.311</v>
      </c>
      <c r="O11" s="84">
        <v>0.35099999999999998</v>
      </c>
      <c r="P11" s="84">
        <v>0.38200000000000001</v>
      </c>
      <c r="Q11" s="113">
        <f t="shared" ref="Q11:Q18" si="1">AVERAGE(C11:P11)</f>
        <v>0.35197142857142855</v>
      </c>
      <c r="R11" s="112">
        <f t="shared" ref="R11:R18" si="2">MAX(C11:P11)</f>
        <v>0.65400000000000003</v>
      </c>
      <c r="S11" s="112">
        <f t="shared" si="0"/>
        <v>0.28207500000000008</v>
      </c>
    </row>
    <row r="12" spans="1:19" x14ac:dyDescent="0.3">
      <c r="A12" s="111" t="s">
        <v>785</v>
      </c>
      <c r="B12" s="84">
        <v>0.65290000000000004</v>
      </c>
      <c r="C12" s="84">
        <v>0.67400000000000004</v>
      </c>
      <c r="D12" s="84">
        <v>0.65400000000000003</v>
      </c>
      <c r="E12" s="84">
        <v>0.35899999999999999</v>
      </c>
      <c r="F12" s="84">
        <v>0.27700000000000002</v>
      </c>
      <c r="G12" s="431">
        <v>0.249</v>
      </c>
      <c r="H12" s="84">
        <v>0.29199999999999998</v>
      </c>
      <c r="I12" s="84">
        <v>0.31569999999999998</v>
      </c>
      <c r="J12" s="84">
        <v>0.27800000000000002</v>
      </c>
      <c r="K12" s="84">
        <v>0.255</v>
      </c>
      <c r="L12" s="84">
        <v>0.25700000000000001</v>
      </c>
      <c r="M12" s="84">
        <v>0.26700000000000002</v>
      </c>
      <c r="N12" s="84">
        <v>0.311</v>
      </c>
      <c r="O12" s="84">
        <v>0.35</v>
      </c>
      <c r="P12" s="84">
        <v>0.38200000000000001</v>
      </c>
      <c r="Q12" s="113">
        <f t="shared" si="1"/>
        <v>0.35147857142857136</v>
      </c>
      <c r="R12" s="112">
        <f t="shared" si="2"/>
        <v>0.67400000000000004</v>
      </c>
      <c r="S12" s="112">
        <f t="shared" si="0"/>
        <v>0.27808749999999999</v>
      </c>
    </row>
    <row r="13" spans="1:19" x14ac:dyDescent="0.3">
      <c r="A13" s="111" t="s">
        <v>786</v>
      </c>
      <c r="B13" s="84">
        <v>0.68610000000000004</v>
      </c>
      <c r="C13" s="84">
        <v>0.69799999999999995</v>
      </c>
      <c r="D13" s="84">
        <v>0.65400000000000003</v>
      </c>
      <c r="E13" s="84">
        <v>0.36299999999999999</v>
      </c>
      <c r="F13" s="221">
        <v>0.27700000000000002</v>
      </c>
      <c r="G13" s="431">
        <v>0.27400000000000002</v>
      </c>
      <c r="H13" s="84">
        <v>0.29299999999999998</v>
      </c>
      <c r="I13" s="84">
        <v>0.31640000000000001</v>
      </c>
      <c r="J13" s="84">
        <v>0.27700000000000002</v>
      </c>
      <c r="K13" s="84">
        <v>0.25600000000000001</v>
      </c>
      <c r="L13" s="84">
        <v>0.25700000000000001</v>
      </c>
      <c r="M13" s="84">
        <v>0.26700000000000002</v>
      </c>
      <c r="N13" s="84">
        <v>0.312</v>
      </c>
      <c r="O13" s="84">
        <v>0.34799999999999998</v>
      </c>
      <c r="P13" s="84">
        <v>0.38300000000000001</v>
      </c>
      <c r="Q13" s="113">
        <f t="shared" si="1"/>
        <v>0.3553857142857143</v>
      </c>
      <c r="R13" s="112">
        <f t="shared" si="2"/>
        <v>0.69799999999999995</v>
      </c>
      <c r="S13" s="112">
        <f t="shared" si="0"/>
        <v>0.28154999999999997</v>
      </c>
    </row>
    <row r="14" spans="1:19" x14ac:dyDescent="0.3">
      <c r="A14" s="111" t="s">
        <v>787</v>
      </c>
      <c r="B14" s="84">
        <v>0.69399999999999995</v>
      </c>
      <c r="C14" s="84">
        <v>0.71299999999999997</v>
      </c>
      <c r="D14" s="84">
        <v>0.65400000000000003</v>
      </c>
      <c r="E14" s="84">
        <v>0.36599999999999999</v>
      </c>
      <c r="F14" s="84">
        <v>0.27800000000000002</v>
      </c>
      <c r="G14" s="431">
        <v>0.27500000000000002</v>
      </c>
      <c r="H14" s="84">
        <v>0.29099999999999998</v>
      </c>
      <c r="I14" s="84">
        <v>0.31209999999999999</v>
      </c>
      <c r="J14" s="84">
        <v>0.27600000000000002</v>
      </c>
      <c r="K14" s="84">
        <v>0.25700000000000001</v>
      </c>
      <c r="L14" s="84">
        <v>0.25700000000000001</v>
      </c>
      <c r="M14" s="84">
        <v>0.26700000000000002</v>
      </c>
      <c r="N14" s="84">
        <v>0.312</v>
      </c>
      <c r="O14" s="84">
        <v>0.34899999999999998</v>
      </c>
      <c r="P14" s="84">
        <v>0.38200000000000001</v>
      </c>
      <c r="Q14" s="113">
        <f t="shared" si="1"/>
        <v>0.35636428571428569</v>
      </c>
      <c r="R14" s="112">
        <f t="shared" si="2"/>
        <v>0.71299999999999997</v>
      </c>
      <c r="S14" s="112">
        <f t="shared" si="0"/>
        <v>0.28088750000000001</v>
      </c>
    </row>
    <row r="15" spans="1:19" x14ac:dyDescent="0.3">
      <c r="A15" s="111" t="s">
        <v>788</v>
      </c>
      <c r="B15" s="84">
        <v>0.71030000000000004</v>
      </c>
      <c r="C15" s="84">
        <v>0.73099999999999998</v>
      </c>
      <c r="D15" s="84">
        <v>0.68500000000000005</v>
      </c>
      <c r="E15" s="84">
        <v>0.36599999999999999</v>
      </c>
      <c r="F15" s="84">
        <v>0.27800000000000002</v>
      </c>
      <c r="G15" s="431">
        <v>0.28199999999999997</v>
      </c>
      <c r="H15" s="84">
        <v>0.29099999999999998</v>
      </c>
      <c r="I15" s="84">
        <v>0.31559999999999999</v>
      </c>
      <c r="J15" s="84">
        <v>0.27600000000000002</v>
      </c>
      <c r="K15" s="84">
        <v>0.254</v>
      </c>
      <c r="L15" s="84">
        <v>0.25700000000000001</v>
      </c>
      <c r="M15" s="84">
        <v>0.26700000000000002</v>
      </c>
      <c r="N15" s="84">
        <v>0.312</v>
      </c>
      <c r="O15" s="84">
        <v>0.34899999999999998</v>
      </c>
      <c r="P15" s="84">
        <v>0.38500000000000001</v>
      </c>
      <c r="Q15" s="113">
        <f t="shared" si="1"/>
        <v>0.36061428571428572</v>
      </c>
      <c r="R15" s="112">
        <f t="shared" si="2"/>
        <v>0.73099999999999998</v>
      </c>
      <c r="S15" s="112">
        <f t="shared" si="0"/>
        <v>0.28182499999999999</v>
      </c>
    </row>
    <row r="16" spans="1:19" x14ac:dyDescent="0.3">
      <c r="A16" s="111" t="s">
        <v>789</v>
      </c>
      <c r="B16" s="84">
        <v>0.71530000000000005</v>
      </c>
      <c r="C16" s="84">
        <v>0.746</v>
      </c>
      <c r="D16" s="84">
        <v>0.69299999999999995</v>
      </c>
      <c r="E16" s="84">
        <v>0.376</v>
      </c>
      <c r="F16" s="84"/>
      <c r="G16" s="431">
        <v>0.27800000000000002</v>
      </c>
      <c r="H16" s="84">
        <v>0.29099999999999998</v>
      </c>
      <c r="I16" s="84">
        <v>0.31669999999999998</v>
      </c>
      <c r="J16" s="84">
        <v>0.27700000000000002</v>
      </c>
      <c r="K16" s="84">
        <v>0.255</v>
      </c>
      <c r="L16" s="84">
        <v>0.25700000000000001</v>
      </c>
      <c r="M16" s="84">
        <v>0.26700000000000002</v>
      </c>
      <c r="N16" s="84">
        <v>0.311</v>
      </c>
      <c r="O16" s="84">
        <v>0.34899999999999998</v>
      </c>
      <c r="P16" s="84">
        <v>0.38900000000000001</v>
      </c>
      <c r="Q16" s="113">
        <f t="shared" si="1"/>
        <v>0.36966923076923081</v>
      </c>
      <c r="R16" s="112">
        <f t="shared" si="2"/>
        <v>0.746</v>
      </c>
      <c r="S16" s="112">
        <f t="shared" si="0"/>
        <v>0.28158749999999999</v>
      </c>
    </row>
    <row r="17" spans="1:19" x14ac:dyDescent="0.3">
      <c r="A17" s="111" t="s">
        <v>790</v>
      </c>
      <c r="B17" s="84"/>
      <c r="C17" s="84">
        <v>0.76500000000000001</v>
      </c>
      <c r="D17" s="84">
        <v>0.73899999999999999</v>
      </c>
      <c r="E17" s="84">
        <v>0.372</v>
      </c>
      <c r="F17" s="84"/>
      <c r="G17" s="431">
        <v>0.28100000000000003</v>
      </c>
      <c r="H17" s="84">
        <v>0.29199999999999998</v>
      </c>
      <c r="I17" s="84">
        <v>0.31509999999999999</v>
      </c>
      <c r="J17" s="84">
        <v>0.27600000000000002</v>
      </c>
      <c r="K17" s="84">
        <v>0.25600000000000001</v>
      </c>
      <c r="L17" s="84">
        <v>0.25700000000000001</v>
      </c>
      <c r="M17" s="84">
        <v>0.26700000000000002</v>
      </c>
      <c r="N17" s="84">
        <v>0.311</v>
      </c>
      <c r="O17" s="84">
        <v>0.34899999999999998</v>
      </c>
      <c r="P17" s="84">
        <v>0.39400000000000002</v>
      </c>
      <c r="Q17" s="113">
        <f t="shared" si="1"/>
        <v>0.37493076923076923</v>
      </c>
      <c r="R17" s="112">
        <f t="shared" si="2"/>
        <v>0.76500000000000001</v>
      </c>
      <c r="S17" s="112">
        <f t="shared" si="0"/>
        <v>0.28188749999999996</v>
      </c>
    </row>
    <row r="18" spans="1:19" x14ac:dyDescent="0.3">
      <c r="A18" s="111" t="s">
        <v>791</v>
      </c>
      <c r="B18" s="84"/>
      <c r="C18" s="84">
        <v>0.79800000000000004</v>
      </c>
      <c r="D18" s="84">
        <v>0.80500000000000005</v>
      </c>
      <c r="E18" s="84">
        <v>0.35799999999999998</v>
      </c>
      <c r="F18" s="84"/>
      <c r="G18" s="431">
        <v>0.28399999999999997</v>
      </c>
      <c r="H18" s="84">
        <v>0.29599999999999999</v>
      </c>
      <c r="I18" s="84">
        <v>0.31109999999999999</v>
      </c>
      <c r="J18" s="84">
        <v>0.27100000000000002</v>
      </c>
      <c r="K18" s="84">
        <v>0.255</v>
      </c>
      <c r="L18" s="84">
        <v>0.255</v>
      </c>
      <c r="M18" s="84">
        <v>0.26500000000000001</v>
      </c>
      <c r="N18" s="84">
        <v>0.311</v>
      </c>
      <c r="O18" s="84">
        <v>0.34899999999999998</v>
      </c>
      <c r="P18" s="84">
        <v>0.44400000000000001</v>
      </c>
      <c r="Q18" s="113">
        <f t="shared" si="1"/>
        <v>0.38477692307692313</v>
      </c>
      <c r="R18" s="112">
        <f t="shared" si="2"/>
        <v>0.80500000000000005</v>
      </c>
      <c r="S18" s="112">
        <f t="shared" si="0"/>
        <v>0.2810125</v>
      </c>
    </row>
    <row r="19" spans="1:19" x14ac:dyDescent="0.3">
      <c r="A19" s="111" t="s">
        <v>792</v>
      </c>
      <c r="B19" s="101"/>
      <c r="C19" s="84">
        <v>0.82299999999999995</v>
      </c>
      <c r="D19" s="84">
        <v>0.81</v>
      </c>
      <c r="E19" s="84">
        <v>0.35799999999999998</v>
      </c>
      <c r="F19" s="101"/>
      <c r="G19" s="431">
        <v>0.28799999999999998</v>
      </c>
      <c r="H19" s="84">
        <v>0.30099999999999999</v>
      </c>
      <c r="I19" s="84">
        <v>0.3095</v>
      </c>
      <c r="J19" s="84">
        <v>0.27500000000000002</v>
      </c>
      <c r="K19" s="84">
        <v>0.26300000000000001</v>
      </c>
      <c r="L19" s="84">
        <v>0.254</v>
      </c>
      <c r="M19" s="84"/>
      <c r="N19" s="84"/>
      <c r="O19" s="84">
        <v>0.35</v>
      </c>
      <c r="P19" s="84"/>
      <c r="Q19" s="113">
        <f>AVERAGE(B19:P19)</f>
        <v>0.40314999999999995</v>
      </c>
      <c r="R19" s="112">
        <f>MAX(B19:P19)</f>
        <v>0.82299999999999995</v>
      </c>
      <c r="S19" s="112"/>
    </row>
    <row r="20" spans="1:19" x14ac:dyDescent="0.3">
      <c r="A20" s="1" t="s">
        <v>10</v>
      </c>
    </row>
    <row r="22" spans="1:19" x14ac:dyDescent="0.3">
      <c r="B22">
        <f>B7*1000</f>
        <v>489</v>
      </c>
      <c r="C22">
        <f t="shared" ref="C22:P22" si="3">C7*1000</f>
        <v>519</v>
      </c>
      <c r="D22">
        <f t="shared" si="3"/>
        <v>659</v>
      </c>
      <c r="E22">
        <f t="shared" si="3"/>
        <v>359</v>
      </c>
      <c r="F22">
        <f t="shared" si="3"/>
        <v>286</v>
      </c>
      <c r="G22">
        <f t="shared" si="3"/>
        <v>274</v>
      </c>
      <c r="H22">
        <f t="shared" si="3"/>
        <v>293</v>
      </c>
      <c r="I22">
        <f t="shared" si="3"/>
        <v>315.09999999999997</v>
      </c>
      <c r="J22">
        <f t="shared" si="3"/>
        <v>285</v>
      </c>
      <c r="K22">
        <f t="shared" si="3"/>
        <v>258</v>
      </c>
      <c r="L22">
        <f t="shared" si="3"/>
        <v>254</v>
      </c>
      <c r="M22">
        <f t="shared" si="3"/>
        <v>274</v>
      </c>
      <c r="N22">
        <f t="shared" si="3"/>
        <v>309</v>
      </c>
      <c r="O22">
        <f t="shared" si="3"/>
        <v>345</v>
      </c>
      <c r="P22">
        <f t="shared" si="3"/>
        <v>360</v>
      </c>
    </row>
  </sheetData>
  <mergeCells count="1">
    <mergeCell ref="A1:P1"/>
  </mergeCells>
  <phoneticPr fontId="0" type="noConversion"/>
  <pageMargins left="0.75" right="0.75" top="1" bottom="1" header="0.5" footer="0.5"/>
  <pageSetup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Y19"/>
  <sheetViews>
    <sheetView zoomScale="75" zoomScaleNormal="75" workbookViewId="0">
      <selection activeCell="B7" sqref="B7:P7"/>
    </sheetView>
  </sheetViews>
  <sheetFormatPr defaultRowHeight="13" x14ac:dyDescent="0.3"/>
  <cols>
    <col min="1" max="1" width="21.90625" style="1" bestFit="1" customWidth="1"/>
    <col min="2" max="2" width="9.36328125" bestFit="1" customWidth="1"/>
    <col min="3" max="3" width="9.453125" bestFit="1" customWidth="1"/>
    <col min="4" max="4" width="9.36328125"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8.36328125" bestFit="1" customWidth="1"/>
    <col min="11" max="11" width="9.6328125" bestFit="1" customWidth="1"/>
    <col min="12" max="12" width="8.36328125" bestFit="1" customWidth="1"/>
    <col min="13" max="13" width="9.6328125" bestFit="1" customWidth="1"/>
    <col min="14" max="14" width="9.36328125" bestFit="1" customWidth="1"/>
    <col min="15" max="15" width="9.08984375" bestFit="1" customWidth="1"/>
    <col min="16" max="16" width="8.36328125" bestFit="1" customWidth="1"/>
    <col min="17" max="17" width="17.36328125" bestFit="1" customWidth="1"/>
    <col min="18" max="18" width="7" bestFit="1" customWidth="1"/>
    <col min="19" max="19" width="10.54296875" bestFit="1" customWidth="1"/>
    <col min="20" max="20" width="10.90625" customWidth="1"/>
    <col min="21" max="21" width="11.36328125" customWidth="1"/>
    <col min="22" max="22" width="10.90625" customWidth="1"/>
    <col min="23" max="23" width="11.36328125" customWidth="1"/>
    <col min="24" max="24" width="10.36328125" customWidth="1"/>
    <col min="25" max="25" width="10.90625" bestFit="1" customWidth="1"/>
  </cols>
  <sheetData>
    <row r="1" spans="1:25" x14ac:dyDescent="0.3">
      <c r="A1" s="832" t="s">
        <v>9</v>
      </c>
      <c r="B1" s="832"/>
      <c r="C1" s="832"/>
      <c r="D1" s="832"/>
      <c r="E1" s="832"/>
      <c r="F1" s="832"/>
      <c r="G1" s="832"/>
      <c r="H1" s="832"/>
      <c r="I1" s="832"/>
      <c r="J1" s="832"/>
      <c r="K1" s="832"/>
      <c r="L1" s="832"/>
      <c r="M1" s="832"/>
      <c r="N1" s="832"/>
      <c r="O1" s="832"/>
    </row>
    <row r="4" spans="1:25" s="7" customFormat="1" x14ac:dyDescent="0.3">
      <c r="A4" s="116" t="s">
        <v>2</v>
      </c>
      <c r="B4" s="534">
        <v>40203</v>
      </c>
      <c r="C4" s="534">
        <v>40231</v>
      </c>
      <c r="D4" s="534">
        <v>40266</v>
      </c>
      <c r="E4" s="534">
        <v>40294</v>
      </c>
      <c r="F4" s="534">
        <v>40322</v>
      </c>
      <c r="G4" s="534">
        <v>40358</v>
      </c>
      <c r="H4" s="535">
        <v>40372</v>
      </c>
      <c r="I4" s="535">
        <v>40385</v>
      </c>
      <c r="J4" s="535">
        <v>40399</v>
      </c>
      <c r="K4" s="534">
        <v>40413</v>
      </c>
      <c r="L4" s="534">
        <v>40428</v>
      </c>
      <c r="M4" s="536">
        <v>40448</v>
      </c>
      <c r="N4" s="536">
        <v>40477</v>
      </c>
      <c r="O4" s="536">
        <v>40497</v>
      </c>
      <c r="P4" s="535">
        <v>40514</v>
      </c>
      <c r="Q4" s="118" t="s">
        <v>160</v>
      </c>
      <c r="R4" s="119" t="s">
        <v>95</v>
      </c>
      <c r="S4" s="117" t="s">
        <v>134</v>
      </c>
    </row>
    <row r="5" spans="1:25" ht="14" x14ac:dyDescent="0.3">
      <c r="A5" s="310" t="s">
        <v>31</v>
      </c>
      <c r="B5" s="324">
        <v>7.64</v>
      </c>
      <c r="C5" s="324">
        <v>8.17</v>
      </c>
      <c r="D5" s="712">
        <v>8.3800000000000008</v>
      </c>
      <c r="E5" s="324">
        <v>7.83</v>
      </c>
      <c r="F5" s="712">
        <v>8</v>
      </c>
      <c r="G5" s="712">
        <v>8.14</v>
      </c>
      <c r="H5" s="324">
        <v>8.3000000000000007</v>
      </c>
      <c r="I5" s="324">
        <v>8.42</v>
      </c>
      <c r="J5" s="324">
        <v>8.6300000000000008</v>
      </c>
      <c r="K5" s="324">
        <v>8.23</v>
      </c>
      <c r="L5" s="324">
        <v>7.89</v>
      </c>
      <c r="M5" s="324">
        <v>7.63</v>
      </c>
      <c r="N5" s="324">
        <v>8.3699999999999992</v>
      </c>
      <c r="O5" s="324">
        <v>7.95</v>
      </c>
      <c r="P5" s="324">
        <v>7.15</v>
      </c>
      <c r="Q5" s="99">
        <f>AVERAGE(B5:P5)</f>
        <v>8.0486666666666675</v>
      </c>
      <c r="R5" s="100">
        <f>MAX(B5:P5)</f>
        <v>8.6300000000000008</v>
      </c>
      <c r="S5" s="100">
        <f>MIN(B5:P5)</f>
        <v>7.15</v>
      </c>
      <c r="T5" s="6"/>
      <c r="U5" s="6"/>
      <c r="V5" s="6"/>
      <c r="W5" s="6"/>
      <c r="X5" s="6"/>
      <c r="Y5" s="6"/>
    </row>
    <row r="6" spans="1:25" ht="14" x14ac:dyDescent="0.3">
      <c r="A6" s="310" t="s">
        <v>32</v>
      </c>
      <c r="B6" s="324">
        <v>7.85</v>
      </c>
      <c r="C6" s="324">
        <v>8.14</v>
      </c>
      <c r="D6" s="712">
        <v>8.8800000000000008</v>
      </c>
      <c r="E6" s="324">
        <v>8.07</v>
      </c>
      <c r="F6" s="712">
        <v>7.89</v>
      </c>
      <c r="G6" s="712">
        <v>8.42</v>
      </c>
      <c r="H6" s="324">
        <v>8.1199999999999992</v>
      </c>
      <c r="I6" s="324">
        <v>8.3000000000000007</v>
      </c>
      <c r="J6" s="324">
        <v>8.7100000000000009</v>
      </c>
      <c r="K6" s="324">
        <v>8.2799999999999994</v>
      </c>
      <c r="L6" s="324">
        <v>8.5</v>
      </c>
      <c r="M6" s="324">
        <v>7.99</v>
      </c>
      <c r="N6" s="324">
        <v>8.5399999999999991</v>
      </c>
      <c r="O6" s="324">
        <v>8.31</v>
      </c>
      <c r="P6" s="324">
        <v>7.5</v>
      </c>
      <c r="Q6" s="99">
        <f>AVERAGE(B6:P6)</f>
        <v>8.2333333333333325</v>
      </c>
      <c r="R6" s="100">
        <f>MAX(B6:P6)</f>
        <v>8.8800000000000008</v>
      </c>
      <c r="S6" s="100">
        <f>MIN(B6:P6)</f>
        <v>7.5</v>
      </c>
      <c r="T6" s="6"/>
      <c r="U6" s="6"/>
      <c r="V6" s="6"/>
      <c r="W6" s="6"/>
      <c r="X6" s="6"/>
      <c r="Y6" s="6"/>
    </row>
    <row r="7" spans="1:25" ht="14" x14ac:dyDescent="0.3">
      <c r="A7" s="311" t="s">
        <v>100</v>
      </c>
      <c r="B7" s="324">
        <v>7.66</v>
      </c>
      <c r="C7" s="324">
        <v>8.35</v>
      </c>
      <c r="D7" s="712">
        <v>8.3699999999999992</v>
      </c>
      <c r="E7" s="324">
        <v>8.09</v>
      </c>
      <c r="F7" s="712">
        <v>8.18</v>
      </c>
      <c r="G7" s="712">
        <v>8.25</v>
      </c>
      <c r="H7" s="324">
        <v>8.5399999999999991</v>
      </c>
      <c r="I7" s="324">
        <v>8.4499999999999993</v>
      </c>
      <c r="J7" s="324">
        <v>8.6300000000000008</v>
      </c>
      <c r="K7" s="324">
        <v>8.57</v>
      </c>
      <c r="L7" s="324">
        <v>9.0399999999999991</v>
      </c>
      <c r="M7" s="324">
        <v>8.25</v>
      </c>
      <c r="N7" s="324">
        <v>8.77</v>
      </c>
      <c r="O7" s="324">
        <v>8.5</v>
      </c>
      <c r="P7" s="324">
        <v>8.1999999999999993</v>
      </c>
      <c r="Q7" s="99">
        <f>AVERAGE(B7:P7)</f>
        <v>8.3899999999999988</v>
      </c>
      <c r="R7" s="100">
        <f>MAX(B7:P7)</f>
        <v>9.0399999999999991</v>
      </c>
      <c r="S7" s="100">
        <f>MIN(B7:P7)</f>
        <v>7.66</v>
      </c>
      <c r="T7" s="6"/>
      <c r="U7" s="6"/>
      <c r="V7" s="6"/>
      <c r="W7" s="6"/>
      <c r="X7" s="6"/>
      <c r="Y7" s="6"/>
    </row>
    <row r="8" spans="1:25" ht="14" x14ac:dyDescent="0.3">
      <c r="A8" s="111"/>
      <c r="B8" s="730"/>
      <c r="C8" s="730"/>
      <c r="D8" s="730"/>
      <c r="E8" s="324"/>
      <c r="F8" s="324"/>
      <c r="G8" s="730"/>
      <c r="H8" s="730"/>
      <c r="I8" s="730"/>
      <c r="J8" s="329"/>
      <c r="K8" s="329"/>
      <c r="L8" s="730"/>
      <c r="M8" s="730"/>
      <c r="N8" s="730"/>
      <c r="O8" s="730"/>
      <c r="P8" s="730"/>
      <c r="Q8" s="99"/>
      <c r="R8" s="100"/>
      <c r="S8" s="100"/>
      <c r="T8" s="6"/>
      <c r="U8" s="6"/>
      <c r="V8" s="6"/>
      <c r="W8" s="6"/>
      <c r="X8" s="6"/>
      <c r="Y8" s="6"/>
    </row>
    <row r="9" spans="1:25" ht="14" x14ac:dyDescent="0.3">
      <c r="A9" s="111" t="s">
        <v>782</v>
      </c>
      <c r="B9" s="324">
        <v>8.02</v>
      </c>
      <c r="C9" s="324">
        <v>8.23</v>
      </c>
      <c r="D9" s="712">
        <v>7.93</v>
      </c>
      <c r="E9" s="324">
        <v>8.3699999999999992</v>
      </c>
      <c r="F9" s="712">
        <v>8.58</v>
      </c>
      <c r="G9" s="712">
        <v>8.09</v>
      </c>
      <c r="H9" s="324">
        <v>8.23</v>
      </c>
      <c r="I9" s="324">
        <v>8.42</v>
      </c>
      <c r="J9" s="324">
        <v>8.5</v>
      </c>
      <c r="K9" s="324">
        <v>8.65</v>
      </c>
      <c r="L9" s="324">
        <v>9.09</v>
      </c>
      <c r="M9" s="324">
        <v>8.36</v>
      </c>
      <c r="N9" s="324">
        <v>8.44</v>
      </c>
      <c r="O9" s="324">
        <v>8.4700000000000006</v>
      </c>
      <c r="P9" s="324">
        <v>8.35</v>
      </c>
      <c r="Q9" s="99">
        <f t="shared" ref="Q9:Q19" si="0">AVERAGE(B9:P9)</f>
        <v>8.3819999999999997</v>
      </c>
      <c r="R9" s="100">
        <f t="shared" ref="R9:R19" si="1">MAX(B9:P9)</f>
        <v>9.09</v>
      </c>
      <c r="S9" s="100">
        <f t="shared" ref="S9:S19" si="2">MIN(B9:P9)</f>
        <v>7.93</v>
      </c>
      <c r="T9" s="6"/>
      <c r="U9" s="6"/>
      <c r="V9" s="6"/>
      <c r="W9" s="6"/>
      <c r="X9" s="6"/>
      <c r="Y9" s="6"/>
    </row>
    <row r="10" spans="1:25" ht="14" x14ac:dyDescent="0.3">
      <c r="A10" s="111" t="s">
        <v>783</v>
      </c>
      <c r="B10" s="324">
        <v>8.0299999999999994</v>
      </c>
      <c r="C10" s="324">
        <v>8.0500000000000007</v>
      </c>
      <c r="D10" s="712">
        <v>7.84</v>
      </c>
      <c r="E10" s="324">
        <v>8.08</v>
      </c>
      <c r="F10" s="712">
        <v>8.34</v>
      </c>
      <c r="G10" s="712">
        <v>8.0399999999999991</v>
      </c>
      <c r="H10" s="324">
        <v>8.25</v>
      </c>
      <c r="I10" s="324">
        <v>8.34</v>
      </c>
      <c r="J10" s="324">
        <v>8.26</v>
      </c>
      <c r="K10" s="324">
        <v>8.64</v>
      </c>
      <c r="L10" s="324">
        <v>9.1199999999999992</v>
      </c>
      <c r="M10" s="324">
        <v>8.35</v>
      </c>
      <c r="N10" s="324">
        <v>8.36</v>
      </c>
      <c r="O10" s="324">
        <v>8.4</v>
      </c>
      <c r="P10" s="324">
        <v>8.31</v>
      </c>
      <c r="Q10" s="99">
        <f t="shared" si="0"/>
        <v>8.2940000000000005</v>
      </c>
      <c r="R10" s="100">
        <f t="shared" si="1"/>
        <v>9.1199999999999992</v>
      </c>
      <c r="S10" s="100">
        <f t="shared" si="2"/>
        <v>7.84</v>
      </c>
    </row>
    <row r="11" spans="1:25" ht="14" x14ac:dyDescent="0.3">
      <c r="A11" s="111" t="s">
        <v>784</v>
      </c>
      <c r="B11" s="324">
        <v>8.02</v>
      </c>
      <c r="C11" s="324">
        <v>7.82</v>
      </c>
      <c r="D11" s="712">
        <v>7.81</v>
      </c>
      <c r="E11" s="324">
        <v>7.93</v>
      </c>
      <c r="F11" s="712">
        <v>8.2100000000000009</v>
      </c>
      <c r="G11" s="712">
        <v>8.01</v>
      </c>
      <c r="H11" s="324">
        <v>7.89</v>
      </c>
      <c r="I11" s="324">
        <v>8.2899999999999991</v>
      </c>
      <c r="J11" s="324">
        <v>8.15</v>
      </c>
      <c r="K11" s="324">
        <v>8.64</v>
      </c>
      <c r="L11" s="324">
        <v>9.14</v>
      </c>
      <c r="M11" s="324">
        <v>8.32</v>
      </c>
      <c r="N11" s="324">
        <v>8.24</v>
      </c>
      <c r="O11" s="324">
        <v>8.35</v>
      </c>
      <c r="P11" s="324">
        <v>8.27</v>
      </c>
      <c r="Q11" s="99">
        <f t="shared" si="0"/>
        <v>8.2059999999999977</v>
      </c>
      <c r="R11" s="100">
        <f t="shared" si="1"/>
        <v>9.14</v>
      </c>
      <c r="S11" s="100">
        <f t="shared" si="2"/>
        <v>7.81</v>
      </c>
    </row>
    <row r="12" spans="1:25" ht="14" x14ac:dyDescent="0.3">
      <c r="A12" s="111" t="s">
        <v>785</v>
      </c>
      <c r="B12" s="324">
        <v>7.94</v>
      </c>
      <c r="C12" s="324">
        <v>7.67</v>
      </c>
      <c r="D12" s="712">
        <v>7.82</v>
      </c>
      <c r="E12" s="324">
        <v>7.91</v>
      </c>
      <c r="F12" s="731">
        <v>8</v>
      </c>
      <c r="G12" s="712">
        <v>7.93</v>
      </c>
      <c r="H12" s="324">
        <v>7.67</v>
      </c>
      <c r="I12" s="324">
        <v>8.26</v>
      </c>
      <c r="J12" s="324">
        <v>8.07</v>
      </c>
      <c r="K12" s="324">
        <v>8.6300000000000008</v>
      </c>
      <c r="L12" s="324">
        <v>9.1</v>
      </c>
      <c r="M12" s="324">
        <v>8.3000000000000007</v>
      </c>
      <c r="N12" s="324">
        <v>8.24</v>
      </c>
      <c r="O12" s="324">
        <v>8.2200000000000006</v>
      </c>
      <c r="P12" s="324">
        <v>8.26</v>
      </c>
      <c r="Q12" s="99">
        <f t="shared" si="0"/>
        <v>8.134666666666666</v>
      </c>
      <c r="R12" s="100">
        <f t="shared" si="1"/>
        <v>9.1</v>
      </c>
      <c r="S12" s="100">
        <f t="shared" si="2"/>
        <v>7.67</v>
      </c>
    </row>
    <row r="13" spans="1:25" ht="14" x14ac:dyDescent="0.3">
      <c r="A13" s="111" t="s">
        <v>786</v>
      </c>
      <c r="B13" s="324">
        <v>7.9</v>
      </c>
      <c r="C13" s="324">
        <v>7.61</v>
      </c>
      <c r="D13" s="712">
        <v>7.78</v>
      </c>
      <c r="E13" s="324">
        <v>7.87</v>
      </c>
      <c r="F13" s="712">
        <v>7.99</v>
      </c>
      <c r="G13" s="712">
        <v>7.92</v>
      </c>
      <c r="H13" s="324">
        <v>7.63</v>
      </c>
      <c r="I13" s="324">
        <v>8.23</v>
      </c>
      <c r="J13" s="324">
        <v>8.02</v>
      </c>
      <c r="K13" s="324">
        <v>8.61</v>
      </c>
      <c r="L13" s="324">
        <v>9.09</v>
      </c>
      <c r="M13" s="324">
        <v>8.2899999999999991</v>
      </c>
      <c r="N13" s="324">
        <v>8.18</v>
      </c>
      <c r="O13" s="324">
        <v>8.2799999999999994</v>
      </c>
      <c r="P13" s="324">
        <v>8.33</v>
      </c>
      <c r="Q13" s="99">
        <f t="shared" si="0"/>
        <v>8.115333333333334</v>
      </c>
      <c r="R13" s="100">
        <f t="shared" si="1"/>
        <v>9.09</v>
      </c>
      <c r="S13" s="100">
        <f t="shared" si="2"/>
        <v>7.61</v>
      </c>
    </row>
    <row r="14" spans="1:25" ht="14" x14ac:dyDescent="0.3">
      <c r="A14" s="111" t="s">
        <v>787</v>
      </c>
      <c r="B14" s="324">
        <v>7.87</v>
      </c>
      <c r="C14" s="324">
        <v>7.65</v>
      </c>
      <c r="D14" s="712">
        <v>7.73</v>
      </c>
      <c r="E14" s="324">
        <v>7.84</v>
      </c>
      <c r="F14" s="712">
        <v>7.96</v>
      </c>
      <c r="G14" s="712">
        <v>7.91</v>
      </c>
      <c r="H14" s="324">
        <v>7.55</v>
      </c>
      <c r="I14" s="324">
        <v>8.2100000000000009</v>
      </c>
      <c r="J14" s="324">
        <v>7.94</v>
      </c>
      <c r="K14" s="324">
        <v>8.6</v>
      </c>
      <c r="L14" s="324">
        <v>9.11</v>
      </c>
      <c r="M14" s="324">
        <v>8.3000000000000007</v>
      </c>
      <c r="N14" s="324">
        <v>8.17</v>
      </c>
      <c r="O14" s="324">
        <v>8.24</v>
      </c>
      <c r="P14" s="324">
        <v>8.34</v>
      </c>
      <c r="Q14" s="99">
        <f t="shared" si="0"/>
        <v>8.0946666666666651</v>
      </c>
      <c r="R14" s="100">
        <f t="shared" si="1"/>
        <v>9.11</v>
      </c>
      <c r="S14" s="100">
        <f t="shared" si="2"/>
        <v>7.55</v>
      </c>
    </row>
    <row r="15" spans="1:25" ht="14" x14ac:dyDescent="0.3">
      <c r="A15" s="111" t="s">
        <v>788</v>
      </c>
      <c r="B15" s="324">
        <v>7.85</v>
      </c>
      <c r="C15" s="324">
        <v>7.64</v>
      </c>
      <c r="D15" s="712">
        <v>7.71</v>
      </c>
      <c r="E15" s="324">
        <v>7.81</v>
      </c>
      <c r="F15" s="712">
        <v>7.88</v>
      </c>
      <c r="G15" s="712">
        <v>7.88</v>
      </c>
      <c r="H15" s="324">
        <v>7.51</v>
      </c>
      <c r="I15" s="324">
        <v>8.19</v>
      </c>
      <c r="J15" s="324">
        <v>7.9</v>
      </c>
      <c r="K15" s="324">
        <v>8.57</v>
      </c>
      <c r="L15" s="324">
        <v>9.1199999999999992</v>
      </c>
      <c r="M15" s="324">
        <v>8.2899999999999991</v>
      </c>
      <c r="N15" s="324">
        <v>8.15</v>
      </c>
      <c r="O15" s="324">
        <v>8.2200000000000006</v>
      </c>
      <c r="P15" s="324">
        <v>8.35</v>
      </c>
      <c r="Q15" s="99">
        <f t="shared" si="0"/>
        <v>8.0713333333333335</v>
      </c>
      <c r="R15" s="100">
        <f t="shared" si="1"/>
        <v>9.1199999999999992</v>
      </c>
      <c r="S15" s="100">
        <f t="shared" si="2"/>
        <v>7.51</v>
      </c>
    </row>
    <row r="16" spans="1:25" ht="14" x14ac:dyDescent="0.3">
      <c r="A16" s="111" t="s">
        <v>789</v>
      </c>
      <c r="B16" s="369">
        <v>7.82</v>
      </c>
      <c r="C16" s="324">
        <v>7.58</v>
      </c>
      <c r="D16" s="712">
        <v>7.67</v>
      </c>
      <c r="E16" s="324">
        <v>7.78</v>
      </c>
      <c r="F16" s="324"/>
      <c r="G16" s="712">
        <v>7.86</v>
      </c>
      <c r="H16" s="324">
        <v>7.49</v>
      </c>
      <c r="I16" s="324">
        <v>8.14</v>
      </c>
      <c r="J16" s="324">
        <v>7.89</v>
      </c>
      <c r="K16" s="324">
        <v>8.52</v>
      </c>
      <c r="L16" s="324">
        <v>9.1199999999999992</v>
      </c>
      <c r="M16" s="324">
        <v>8.2899999999999991</v>
      </c>
      <c r="N16" s="324">
        <v>8.1300000000000008</v>
      </c>
      <c r="O16" s="324">
        <v>8.19</v>
      </c>
      <c r="P16" s="324">
        <v>8.3699999999999992</v>
      </c>
      <c r="Q16" s="99">
        <f t="shared" si="0"/>
        <v>8.0607142857142851</v>
      </c>
      <c r="R16" s="100">
        <f t="shared" si="1"/>
        <v>9.1199999999999992</v>
      </c>
      <c r="S16" s="100">
        <f t="shared" si="2"/>
        <v>7.49</v>
      </c>
    </row>
    <row r="17" spans="1:19" ht="14" x14ac:dyDescent="0.3">
      <c r="A17" s="111" t="s">
        <v>790</v>
      </c>
      <c r="B17" s="324"/>
      <c r="C17" s="324">
        <v>7.51</v>
      </c>
      <c r="D17" s="712">
        <v>7.57</v>
      </c>
      <c r="E17" s="324">
        <v>7.8</v>
      </c>
      <c r="F17" s="324"/>
      <c r="G17" s="712">
        <v>7.84</v>
      </c>
      <c r="H17" s="324">
        <v>7.46</v>
      </c>
      <c r="I17" s="324">
        <v>8.11</v>
      </c>
      <c r="J17" s="324">
        <v>7.86</v>
      </c>
      <c r="K17" s="324">
        <v>8.44</v>
      </c>
      <c r="L17" s="324">
        <v>9.1199999999999992</v>
      </c>
      <c r="M17" s="324">
        <v>8.25</v>
      </c>
      <c r="N17" s="324">
        <v>8.1199999999999992</v>
      </c>
      <c r="O17" s="324">
        <v>8.1999999999999993</v>
      </c>
      <c r="P17" s="324">
        <v>8.34</v>
      </c>
      <c r="Q17" s="99">
        <f t="shared" si="0"/>
        <v>8.0476923076923086</v>
      </c>
      <c r="R17" s="100">
        <f t="shared" si="1"/>
        <v>9.1199999999999992</v>
      </c>
      <c r="S17" s="100">
        <f t="shared" si="2"/>
        <v>7.46</v>
      </c>
    </row>
    <row r="18" spans="1:19" ht="14" x14ac:dyDescent="0.3">
      <c r="A18" s="111" t="s">
        <v>791</v>
      </c>
      <c r="B18" s="324"/>
      <c r="C18" s="324">
        <v>7.4</v>
      </c>
      <c r="D18" s="712">
        <v>7.31</v>
      </c>
      <c r="E18" s="324">
        <v>7.79</v>
      </c>
      <c r="F18" s="324"/>
      <c r="G18" s="712">
        <v>7.83</v>
      </c>
      <c r="H18" s="324">
        <v>7.41</v>
      </c>
      <c r="I18" s="324">
        <v>7.98</v>
      </c>
      <c r="J18" s="324">
        <v>7.86</v>
      </c>
      <c r="K18" s="324">
        <v>8.24</v>
      </c>
      <c r="L18" s="324">
        <v>9.02</v>
      </c>
      <c r="M18" s="732">
        <v>8.17</v>
      </c>
      <c r="N18" s="324">
        <v>8.11</v>
      </c>
      <c r="O18" s="324">
        <v>8.16</v>
      </c>
      <c r="P18" s="324">
        <v>8.17</v>
      </c>
      <c r="Q18" s="99">
        <f t="shared" si="0"/>
        <v>7.9576923076923078</v>
      </c>
      <c r="R18" s="100">
        <f t="shared" si="1"/>
        <v>9.02</v>
      </c>
      <c r="S18" s="100">
        <f t="shared" si="2"/>
        <v>7.31</v>
      </c>
    </row>
    <row r="19" spans="1:19" ht="14" x14ac:dyDescent="0.3">
      <c r="A19" s="111" t="s">
        <v>792</v>
      </c>
      <c r="B19" s="701"/>
      <c r="C19" s="324">
        <v>7.49</v>
      </c>
      <c r="D19" s="712">
        <v>7.25</v>
      </c>
      <c r="E19" s="324">
        <v>7.79</v>
      </c>
      <c r="F19" s="324"/>
      <c r="G19" s="712">
        <v>7.74</v>
      </c>
      <c r="H19" s="324">
        <v>7.33</v>
      </c>
      <c r="I19" s="324">
        <v>7.98</v>
      </c>
      <c r="J19" s="324">
        <v>7.76</v>
      </c>
      <c r="K19" s="324">
        <v>8.07</v>
      </c>
      <c r="L19" s="324">
        <v>8.73</v>
      </c>
      <c r="M19" s="324"/>
      <c r="N19" s="324"/>
      <c r="O19" s="324">
        <v>8.15</v>
      </c>
      <c r="P19" s="324"/>
      <c r="Q19" s="99">
        <f t="shared" si="0"/>
        <v>7.8290000000000006</v>
      </c>
      <c r="R19" s="100">
        <f t="shared" si="1"/>
        <v>8.73</v>
      </c>
      <c r="S19" s="100">
        <f t="shared" si="2"/>
        <v>7.25</v>
      </c>
    </row>
  </sheetData>
  <mergeCells count="1">
    <mergeCell ref="A1:O1"/>
  </mergeCells>
  <phoneticPr fontId="0" type="noConversion"/>
  <pageMargins left="0.75" right="0.75" top="1" bottom="1" header="0.5" footer="0.5"/>
  <pageSetup scale="5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Y23"/>
  <sheetViews>
    <sheetView zoomScale="75" zoomScaleNormal="75" workbookViewId="0">
      <selection activeCell="B8" sqref="B8:P8"/>
    </sheetView>
  </sheetViews>
  <sheetFormatPr defaultRowHeight="13" x14ac:dyDescent="0.3"/>
  <cols>
    <col min="1" max="1" width="24.54296875" style="1" bestFit="1" customWidth="1"/>
    <col min="2" max="2" width="12" bestFit="1" customWidth="1"/>
    <col min="3" max="3" width="12.08984375" bestFit="1" customWidth="1"/>
    <col min="4" max="5" width="12.36328125" bestFit="1" customWidth="1"/>
    <col min="6" max="6" width="12.54296875" bestFit="1" customWidth="1"/>
    <col min="7" max="7" width="12.08984375" bestFit="1" customWidth="1"/>
    <col min="8" max="8" width="12.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12" bestFit="1" customWidth="1"/>
    <col min="15" max="15" width="12.08984375" bestFit="1" customWidth="1"/>
    <col min="16" max="16" width="12" bestFit="1" customWidth="1"/>
    <col min="17" max="17" width="10.90625" customWidth="1"/>
    <col min="18" max="19" width="10.90625" bestFit="1" customWidth="1"/>
    <col min="20" max="20" width="11.08984375" bestFit="1" customWidth="1"/>
    <col min="21" max="21" width="11.36328125" customWidth="1"/>
    <col min="22" max="22" width="12.54296875" customWidth="1"/>
    <col min="23" max="23" width="11.90625" customWidth="1"/>
    <col min="24" max="24" width="11.453125" customWidth="1"/>
    <col min="25" max="25" width="10.90625" bestFit="1" customWidth="1"/>
  </cols>
  <sheetData>
    <row r="1" spans="1:25" x14ac:dyDescent="0.3">
      <c r="A1" s="832" t="s">
        <v>3</v>
      </c>
      <c r="B1" s="832"/>
      <c r="C1" s="832"/>
      <c r="D1" s="832"/>
      <c r="E1" s="832"/>
      <c r="F1" s="832"/>
      <c r="G1" s="832"/>
      <c r="H1" s="832"/>
      <c r="I1" s="832"/>
      <c r="J1" s="832"/>
      <c r="K1" s="832"/>
      <c r="L1" s="832"/>
      <c r="M1" s="832"/>
      <c r="N1" s="832"/>
      <c r="O1" s="832"/>
      <c r="P1" s="832"/>
    </row>
    <row r="2" spans="1:25" x14ac:dyDescent="0.3">
      <c r="A2" s="832" t="s">
        <v>6</v>
      </c>
      <c r="B2" s="832"/>
      <c r="C2" s="832"/>
      <c r="D2" s="832"/>
      <c r="E2" s="832"/>
      <c r="F2" s="832"/>
      <c r="G2" s="832"/>
      <c r="H2" s="832"/>
      <c r="I2" s="832"/>
      <c r="J2" s="832"/>
      <c r="K2" s="832"/>
      <c r="L2" s="832"/>
      <c r="M2" s="832"/>
      <c r="N2" s="832"/>
      <c r="O2" s="832"/>
      <c r="P2" s="832"/>
    </row>
    <row r="5" spans="1:25" s="7" customFormat="1" ht="26" x14ac:dyDescent="0.3">
      <c r="A5" s="122" t="s">
        <v>2</v>
      </c>
      <c r="B5" s="534">
        <v>40203</v>
      </c>
      <c r="C5" s="534">
        <v>40231</v>
      </c>
      <c r="D5" s="534">
        <v>40266</v>
      </c>
      <c r="E5" s="534">
        <v>40294</v>
      </c>
      <c r="F5" s="534">
        <v>40322</v>
      </c>
      <c r="G5" s="534">
        <v>40358</v>
      </c>
      <c r="H5" s="535">
        <v>40372</v>
      </c>
      <c r="I5" s="535">
        <v>40385</v>
      </c>
      <c r="J5" s="535">
        <v>40399</v>
      </c>
      <c r="K5" s="534">
        <v>40413</v>
      </c>
      <c r="L5" s="534">
        <v>40428</v>
      </c>
      <c r="M5" s="536">
        <v>40448</v>
      </c>
      <c r="N5" s="536">
        <v>40477</v>
      </c>
      <c r="O5" s="536">
        <v>40497</v>
      </c>
      <c r="P5" s="535">
        <v>40514</v>
      </c>
      <c r="Q5" s="124" t="s">
        <v>106</v>
      </c>
      <c r="R5" s="121" t="s">
        <v>134</v>
      </c>
    </row>
    <row r="6" spans="1:25" ht="14" x14ac:dyDescent="0.3">
      <c r="A6" s="123" t="s">
        <v>31</v>
      </c>
      <c r="B6" s="324">
        <v>12.13</v>
      </c>
      <c r="C6" s="324">
        <v>12.42</v>
      </c>
      <c r="D6" s="712">
        <v>12.41</v>
      </c>
      <c r="E6" s="324">
        <v>11.44</v>
      </c>
      <c r="F6" s="712">
        <v>9.7100000000000009</v>
      </c>
      <c r="G6" s="712">
        <v>8.5500000000000007</v>
      </c>
      <c r="H6" s="324">
        <v>7.98</v>
      </c>
      <c r="I6" s="324">
        <v>8.16</v>
      </c>
      <c r="J6" s="324">
        <v>8.06</v>
      </c>
      <c r="K6" s="324">
        <v>7.88</v>
      </c>
      <c r="L6" s="324">
        <v>8.7200000000000006</v>
      </c>
      <c r="M6" s="324">
        <v>8.41</v>
      </c>
      <c r="N6" s="324">
        <v>9.64</v>
      </c>
      <c r="O6" s="324">
        <v>9.6</v>
      </c>
      <c r="P6" s="324">
        <v>10.41</v>
      </c>
      <c r="Q6" s="325">
        <f>AVERAGE(C6:P6)</f>
        <v>9.5278571428571421</v>
      </c>
      <c r="R6" s="326">
        <f>MIN(C6:P6)</f>
        <v>7.88</v>
      </c>
      <c r="S6" s="6"/>
      <c r="T6" s="6"/>
      <c r="U6" s="6"/>
      <c r="V6" s="6"/>
      <c r="W6" s="6"/>
      <c r="X6" s="6"/>
      <c r="Y6" s="6"/>
    </row>
    <row r="7" spans="1:25" ht="14" x14ac:dyDescent="0.3">
      <c r="A7" s="123" t="s">
        <v>32</v>
      </c>
      <c r="B7" s="324">
        <v>11.4</v>
      </c>
      <c r="C7" s="324">
        <v>12.14</v>
      </c>
      <c r="D7" s="712">
        <v>12.2</v>
      </c>
      <c r="E7" s="324">
        <v>10.65</v>
      </c>
      <c r="F7" s="712">
        <v>9.16</v>
      </c>
      <c r="G7" s="712">
        <v>9.11</v>
      </c>
      <c r="H7" s="324">
        <v>7.96</v>
      </c>
      <c r="I7" s="324">
        <v>7.67</v>
      </c>
      <c r="J7" s="324">
        <v>7.66</v>
      </c>
      <c r="K7" s="324">
        <v>7.48</v>
      </c>
      <c r="L7" s="324">
        <v>8.8800000000000008</v>
      </c>
      <c r="M7" s="324">
        <v>8.82</v>
      </c>
      <c r="N7" s="324">
        <v>10.28</v>
      </c>
      <c r="O7" s="324">
        <v>10.29</v>
      </c>
      <c r="P7" s="324">
        <v>10.38</v>
      </c>
      <c r="Q7" s="325">
        <f>AVERAGE(D7:P7)</f>
        <v>9.2723076923076917</v>
      </c>
      <c r="R7" s="326">
        <f>MIN(D7:P7)</f>
        <v>7.48</v>
      </c>
      <c r="S7" s="6"/>
      <c r="T7" s="6"/>
      <c r="U7" s="6"/>
      <c r="V7" s="6"/>
      <c r="W7" s="6"/>
      <c r="X7" s="6"/>
      <c r="Y7" s="6"/>
    </row>
    <row r="8" spans="1:25" ht="14" x14ac:dyDescent="0.3">
      <c r="A8" s="123" t="s">
        <v>159</v>
      </c>
      <c r="B8" s="324">
        <v>11.2</v>
      </c>
      <c r="C8" s="324">
        <v>12.38</v>
      </c>
      <c r="D8" s="712">
        <v>11.17</v>
      </c>
      <c r="E8" s="324">
        <v>10.36</v>
      </c>
      <c r="F8" s="712">
        <v>8.59</v>
      </c>
      <c r="G8" s="712">
        <v>7.27</v>
      </c>
      <c r="H8" s="324">
        <v>7.71</v>
      </c>
      <c r="I8" s="324">
        <v>7.31</v>
      </c>
      <c r="J8" s="324">
        <v>6.52</v>
      </c>
      <c r="K8" s="324">
        <v>6.24</v>
      </c>
      <c r="L8" s="324">
        <v>6.17</v>
      </c>
      <c r="M8" s="324">
        <v>7.21</v>
      </c>
      <c r="N8" s="324">
        <v>9.1199999999999992</v>
      </c>
      <c r="O8" s="324">
        <v>9.09</v>
      </c>
      <c r="P8" s="324">
        <v>11.6</v>
      </c>
      <c r="Q8" s="325">
        <f>AVERAGE(C8:P8)</f>
        <v>8.6242857142857137</v>
      </c>
      <c r="R8" s="326">
        <f>MIN(C8:P8)</f>
        <v>6.17</v>
      </c>
      <c r="S8" s="6"/>
      <c r="T8" s="6"/>
      <c r="U8" s="6"/>
      <c r="V8" s="6"/>
      <c r="W8" s="6"/>
      <c r="X8" s="6"/>
      <c r="Y8" s="6"/>
    </row>
    <row r="9" spans="1:25" ht="14" x14ac:dyDescent="0.3">
      <c r="A9" s="125"/>
      <c r="B9" s="330"/>
      <c r="C9" s="330"/>
      <c r="D9" s="330"/>
      <c r="E9" s="324"/>
      <c r="F9" s="324"/>
      <c r="G9" s="330"/>
      <c r="H9" s="330"/>
      <c r="I9" s="330"/>
      <c r="J9" s="329"/>
      <c r="K9" s="329"/>
      <c r="L9" s="330"/>
      <c r="M9" s="330"/>
      <c r="N9" s="330"/>
      <c r="O9" s="330"/>
      <c r="P9" s="330"/>
      <c r="Q9" s="327"/>
      <c r="R9" s="328"/>
      <c r="S9" s="6"/>
      <c r="T9" s="6"/>
      <c r="U9" s="6"/>
      <c r="V9" s="6"/>
      <c r="W9" s="6"/>
    </row>
    <row r="10" spans="1:25" ht="14" x14ac:dyDescent="0.3">
      <c r="A10" s="111" t="s">
        <v>782</v>
      </c>
      <c r="B10" s="324">
        <v>11.23</v>
      </c>
      <c r="C10" s="324">
        <v>12.1</v>
      </c>
      <c r="D10" s="324">
        <v>10.24</v>
      </c>
      <c r="E10" s="324">
        <v>8.75</v>
      </c>
      <c r="F10" s="713">
        <v>8.4</v>
      </c>
      <c r="G10" s="712">
        <v>6.7</v>
      </c>
      <c r="H10" s="712">
        <v>8.0299999999999994</v>
      </c>
      <c r="I10" s="324">
        <v>7.76</v>
      </c>
      <c r="J10" s="324">
        <v>6.79</v>
      </c>
      <c r="K10" s="324">
        <v>7.63</v>
      </c>
      <c r="L10" s="324">
        <v>8.64</v>
      </c>
      <c r="M10" s="324">
        <v>7.16</v>
      </c>
      <c r="N10" s="324">
        <v>8.6199999999999992</v>
      </c>
      <c r="O10" s="712">
        <v>7.92</v>
      </c>
      <c r="P10" s="324">
        <v>10.62</v>
      </c>
      <c r="Q10" s="325">
        <f t="shared" ref="Q10:Q19" si="0">AVERAGE(C10:P10)</f>
        <v>8.5257142857142867</v>
      </c>
      <c r="R10" s="326">
        <f t="shared" ref="R10:R19" si="1">MIN(C10:P10)</f>
        <v>6.7</v>
      </c>
      <c r="S10" s="6"/>
      <c r="T10" s="6"/>
      <c r="U10" s="6"/>
      <c r="V10" s="6"/>
      <c r="W10" s="6"/>
      <c r="X10" s="6"/>
    </row>
    <row r="11" spans="1:25" ht="14" x14ac:dyDescent="0.3">
      <c r="A11" s="111" t="s">
        <v>783</v>
      </c>
      <c r="B11" s="324">
        <v>10.36</v>
      </c>
      <c r="C11" s="324">
        <v>10.9</v>
      </c>
      <c r="D11" s="324">
        <v>9.86</v>
      </c>
      <c r="E11" s="324">
        <v>8.68</v>
      </c>
      <c r="F11" s="713">
        <v>8.64</v>
      </c>
      <c r="G11" s="712">
        <v>6.47</v>
      </c>
      <c r="H11" s="712">
        <v>8</v>
      </c>
      <c r="I11" s="324">
        <v>7.52</v>
      </c>
      <c r="J11" s="324">
        <v>4.37</v>
      </c>
      <c r="K11" s="324">
        <v>7.74</v>
      </c>
      <c r="L11" s="324">
        <v>8.82</v>
      </c>
      <c r="M11" s="324">
        <v>6.46</v>
      </c>
      <c r="N11" s="324">
        <v>8.52</v>
      </c>
      <c r="O11" s="712">
        <v>7.44</v>
      </c>
      <c r="P11" s="324">
        <v>10.55</v>
      </c>
      <c r="Q11" s="325">
        <f t="shared" si="0"/>
        <v>8.1407142857142851</v>
      </c>
      <c r="R11" s="326">
        <f t="shared" si="1"/>
        <v>4.37</v>
      </c>
      <c r="S11" s="6"/>
      <c r="T11" s="6"/>
      <c r="U11" s="6"/>
      <c r="V11" s="6"/>
      <c r="W11" s="6"/>
      <c r="X11" s="6"/>
    </row>
    <row r="12" spans="1:25" ht="14" x14ac:dyDescent="0.3">
      <c r="A12" s="111" t="s">
        <v>784</v>
      </c>
      <c r="B12" s="324">
        <v>10.01</v>
      </c>
      <c r="C12" s="324">
        <v>8.6</v>
      </c>
      <c r="D12" s="324">
        <v>9.52</v>
      </c>
      <c r="E12" s="324">
        <v>8.66</v>
      </c>
      <c r="F12" s="713">
        <v>8.67</v>
      </c>
      <c r="G12" s="712">
        <v>6.41</v>
      </c>
      <c r="H12" s="712">
        <v>6.74</v>
      </c>
      <c r="I12" s="324">
        <v>7.36</v>
      </c>
      <c r="J12" s="324">
        <v>4.3099999999999996</v>
      </c>
      <c r="K12" s="324">
        <v>7.37</v>
      </c>
      <c r="L12" s="324">
        <v>8.48</v>
      </c>
      <c r="M12" s="324">
        <v>6.65</v>
      </c>
      <c r="N12" s="324">
        <v>8.42</v>
      </c>
      <c r="O12" s="712">
        <v>7.44</v>
      </c>
      <c r="P12" s="324">
        <v>10.5</v>
      </c>
      <c r="Q12" s="325">
        <f t="shared" si="0"/>
        <v>7.7950000000000008</v>
      </c>
      <c r="R12" s="326">
        <f t="shared" si="1"/>
        <v>4.3099999999999996</v>
      </c>
      <c r="S12" s="6"/>
      <c r="T12" s="6"/>
      <c r="U12" s="6"/>
      <c r="V12" s="6"/>
      <c r="W12" s="6"/>
      <c r="X12" s="6"/>
    </row>
    <row r="13" spans="1:25" ht="14" x14ac:dyDescent="0.3">
      <c r="A13" s="111" t="s">
        <v>785</v>
      </c>
      <c r="B13" s="324">
        <v>9.15</v>
      </c>
      <c r="C13" s="324">
        <v>8.15</v>
      </c>
      <c r="D13" s="324">
        <v>9.5500000000000007</v>
      </c>
      <c r="E13" s="324">
        <v>8.61</v>
      </c>
      <c r="F13" s="713">
        <v>8.67</v>
      </c>
      <c r="G13" s="712">
        <v>6.42</v>
      </c>
      <c r="H13" s="712">
        <v>5.69</v>
      </c>
      <c r="I13" s="324">
        <v>7.31</v>
      </c>
      <c r="J13" s="324">
        <v>3.64</v>
      </c>
      <c r="K13" s="324">
        <v>7.11</v>
      </c>
      <c r="L13" s="324">
        <v>8.0399999999999991</v>
      </c>
      <c r="M13" s="324">
        <v>6.75</v>
      </c>
      <c r="N13" s="324">
        <v>8.34</v>
      </c>
      <c r="O13" s="712">
        <v>7.2</v>
      </c>
      <c r="P13" s="733">
        <v>10.4</v>
      </c>
      <c r="Q13" s="325">
        <f t="shared" si="0"/>
        <v>7.5628571428571432</v>
      </c>
      <c r="R13" s="326">
        <f t="shared" si="1"/>
        <v>3.64</v>
      </c>
      <c r="S13" s="6"/>
      <c r="T13" s="6"/>
      <c r="U13" s="6"/>
      <c r="V13" s="6"/>
      <c r="W13" s="6"/>
      <c r="X13" s="6"/>
    </row>
    <row r="14" spans="1:25" ht="14" x14ac:dyDescent="0.3">
      <c r="A14" s="111" t="s">
        <v>786</v>
      </c>
      <c r="B14" s="324">
        <v>8.49</v>
      </c>
      <c r="C14" s="324">
        <v>8.06</v>
      </c>
      <c r="D14" s="324">
        <v>9.67</v>
      </c>
      <c r="E14" s="324">
        <v>8.7799999999999994</v>
      </c>
      <c r="F14" s="713">
        <v>8.59</v>
      </c>
      <c r="G14" s="712">
        <v>6.2</v>
      </c>
      <c r="H14" s="712">
        <v>5.55</v>
      </c>
      <c r="I14" s="324">
        <v>7.18</v>
      </c>
      <c r="J14" s="324">
        <v>3.3</v>
      </c>
      <c r="K14" s="324">
        <v>7</v>
      </c>
      <c r="L14" s="324">
        <v>8</v>
      </c>
      <c r="M14" s="324">
        <v>6.54</v>
      </c>
      <c r="N14" s="324">
        <v>8.3000000000000007</v>
      </c>
      <c r="O14" s="712">
        <v>7.36</v>
      </c>
      <c r="P14" s="324">
        <v>10.210000000000001</v>
      </c>
      <c r="Q14" s="325">
        <f t="shared" si="0"/>
        <v>7.4814285714285704</v>
      </c>
      <c r="R14" s="326">
        <f t="shared" si="1"/>
        <v>3.3</v>
      </c>
      <c r="S14" s="6"/>
      <c r="T14" s="6"/>
      <c r="U14" s="6"/>
      <c r="V14" s="6"/>
      <c r="W14" s="6"/>
      <c r="X14" s="6"/>
    </row>
    <row r="15" spans="1:25" ht="14" x14ac:dyDescent="0.3">
      <c r="A15" s="111" t="s">
        <v>787</v>
      </c>
      <c r="B15" s="324">
        <v>7.75</v>
      </c>
      <c r="C15" s="324">
        <v>7.45</v>
      </c>
      <c r="D15" s="324">
        <v>9.3699999999999992</v>
      </c>
      <c r="E15" s="324">
        <v>8.66</v>
      </c>
      <c r="F15" s="713">
        <v>8.51</v>
      </c>
      <c r="G15" s="712">
        <v>5.92</v>
      </c>
      <c r="H15" s="712">
        <v>4.7699999999999996</v>
      </c>
      <c r="I15" s="324">
        <v>7.14</v>
      </c>
      <c r="J15" s="324">
        <v>3.21</v>
      </c>
      <c r="K15" s="324">
        <v>7.04</v>
      </c>
      <c r="L15" s="324">
        <v>7.78</v>
      </c>
      <c r="M15" s="324">
        <v>6.45</v>
      </c>
      <c r="N15" s="324">
        <v>8.2799999999999994</v>
      </c>
      <c r="O15" s="712">
        <v>7.31</v>
      </c>
      <c r="P15" s="324">
        <v>10.11</v>
      </c>
      <c r="Q15" s="325">
        <f t="shared" si="0"/>
        <v>7.2857142857142865</v>
      </c>
      <c r="R15" s="326">
        <f t="shared" si="1"/>
        <v>3.21</v>
      </c>
      <c r="S15" s="6"/>
      <c r="T15" s="6"/>
      <c r="U15" s="6"/>
      <c r="V15" s="6"/>
      <c r="W15" s="6"/>
      <c r="X15" s="6"/>
    </row>
    <row r="16" spans="1:25" ht="14" x14ac:dyDescent="0.3">
      <c r="A16" s="111" t="s">
        <v>788</v>
      </c>
      <c r="B16" s="324">
        <v>7.2</v>
      </c>
      <c r="C16" s="324">
        <v>6.59</v>
      </c>
      <c r="D16" s="324">
        <v>9.0500000000000007</v>
      </c>
      <c r="E16" s="324">
        <v>8.67</v>
      </c>
      <c r="F16" s="712">
        <v>8.2899999999999991</v>
      </c>
      <c r="G16" s="712">
        <v>5.94</v>
      </c>
      <c r="H16" s="712">
        <v>4.6100000000000003</v>
      </c>
      <c r="I16" s="324">
        <v>7.11</v>
      </c>
      <c r="J16" s="324">
        <v>3.11</v>
      </c>
      <c r="K16" s="324">
        <v>6.72</v>
      </c>
      <c r="L16" s="324">
        <v>7.7</v>
      </c>
      <c r="M16" s="324">
        <v>6.59</v>
      </c>
      <c r="N16" s="324">
        <v>8.19</v>
      </c>
      <c r="O16" s="712">
        <v>7.34</v>
      </c>
      <c r="P16" s="324">
        <v>10.119999999999999</v>
      </c>
      <c r="Q16" s="325">
        <f t="shared" si="0"/>
        <v>7.1450000000000005</v>
      </c>
      <c r="R16" s="326">
        <f t="shared" si="1"/>
        <v>3.11</v>
      </c>
      <c r="S16" s="6"/>
      <c r="T16" s="6"/>
      <c r="U16" s="6"/>
      <c r="V16" s="6"/>
      <c r="W16" s="6"/>
      <c r="X16" s="6"/>
    </row>
    <row r="17" spans="1:24" ht="14" x14ac:dyDescent="0.3">
      <c r="A17" s="111" t="s">
        <v>789</v>
      </c>
      <c r="B17" s="324">
        <v>6</v>
      </c>
      <c r="C17" s="324">
        <v>5.95</v>
      </c>
      <c r="D17" s="324">
        <v>8.7769999999999992</v>
      </c>
      <c r="E17" s="324">
        <v>8.7799999999999994</v>
      </c>
      <c r="F17" s="324"/>
      <c r="G17" s="712">
        <v>5.9</v>
      </c>
      <c r="H17" s="712">
        <v>4.29</v>
      </c>
      <c r="I17" s="324">
        <v>6.81</v>
      </c>
      <c r="J17" s="324">
        <v>3.07</v>
      </c>
      <c r="K17" s="324">
        <v>6.56</v>
      </c>
      <c r="L17" s="324">
        <v>8</v>
      </c>
      <c r="M17" s="324">
        <v>6.55</v>
      </c>
      <c r="N17" s="324">
        <v>8.24</v>
      </c>
      <c r="O17" s="712">
        <v>7.07</v>
      </c>
      <c r="P17" s="324">
        <v>10.02</v>
      </c>
      <c r="Q17" s="325">
        <f t="shared" si="0"/>
        <v>6.9243846153846142</v>
      </c>
      <c r="R17" s="326">
        <f t="shared" si="1"/>
        <v>3.07</v>
      </c>
      <c r="S17" s="6"/>
      <c r="T17" s="6"/>
      <c r="U17" s="6"/>
      <c r="V17" s="6"/>
      <c r="W17" s="6"/>
      <c r="X17" s="6"/>
    </row>
    <row r="18" spans="1:24" ht="14" x14ac:dyDescent="0.3">
      <c r="A18" s="111" t="s">
        <v>790</v>
      </c>
      <c r="B18" s="324"/>
      <c r="C18" s="324">
        <v>4.5199999999999996</v>
      </c>
      <c r="D18" s="324">
        <v>4.8</v>
      </c>
      <c r="E18" s="324">
        <v>8.56</v>
      </c>
      <c r="F18" s="324"/>
      <c r="G18" s="712">
        <v>5.65</v>
      </c>
      <c r="H18" s="712">
        <v>3.88</v>
      </c>
      <c r="I18" s="324">
        <v>6.55</v>
      </c>
      <c r="J18" s="324">
        <v>2.91</v>
      </c>
      <c r="K18" s="324">
        <v>6.12</v>
      </c>
      <c r="L18" s="324">
        <v>7.84</v>
      </c>
      <c r="M18" s="324">
        <v>6.08</v>
      </c>
      <c r="N18" s="324">
        <v>8.32</v>
      </c>
      <c r="O18" s="712">
        <v>7.07</v>
      </c>
      <c r="P18" s="324">
        <v>9.9600000000000009</v>
      </c>
      <c r="Q18" s="325">
        <f t="shared" si="0"/>
        <v>6.3276923076923071</v>
      </c>
      <c r="R18" s="326">
        <f t="shared" si="1"/>
        <v>2.91</v>
      </c>
      <c r="S18" s="6"/>
      <c r="T18" s="6"/>
      <c r="U18" s="6"/>
      <c r="V18" s="6"/>
      <c r="W18" s="6"/>
      <c r="X18" s="6"/>
    </row>
    <row r="19" spans="1:24" ht="14" x14ac:dyDescent="0.3">
      <c r="A19" s="111" t="s">
        <v>791</v>
      </c>
      <c r="B19" s="324"/>
      <c r="C19" s="324">
        <v>4.46</v>
      </c>
      <c r="D19" s="324">
        <v>2.23</v>
      </c>
      <c r="E19" s="324">
        <v>8.75</v>
      </c>
      <c r="F19" s="324"/>
      <c r="G19" s="712">
        <v>5.47</v>
      </c>
      <c r="H19" s="712">
        <v>2.92</v>
      </c>
      <c r="I19" s="324">
        <v>5.87</v>
      </c>
      <c r="J19" s="324">
        <v>2.88</v>
      </c>
      <c r="K19" s="324">
        <v>5.43</v>
      </c>
      <c r="L19" s="324">
        <v>7.71</v>
      </c>
      <c r="M19" s="324">
        <v>5.86</v>
      </c>
      <c r="N19" s="324">
        <v>8.11</v>
      </c>
      <c r="O19" s="712">
        <v>7.22</v>
      </c>
      <c r="P19" s="324">
        <v>8.3000000000000007</v>
      </c>
      <c r="Q19" s="325">
        <f t="shared" si="0"/>
        <v>5.7853846153846149</v>
      </c>
      <c r="R19" s="326">
        <f t="shared" si="1"/>
        <v>2.23</v>
      </c>
      <c r="S19" s="6"/>
      <c r="T19" s="6"/>
      <c r="U19" s="6"/>
      <c r="V19" s="6"/>
      <c r="W19" s="6"/>
      <c r="X19" s="6"/>
    </row>
    <row r="20" spans="1:24" ht="14" x14ac:dyDescent="0.3">
      <c r="A20" s="111" t="s">
        <v>792</v>
      </c>
      <c r="B20" s="323"/>
      <c r="C20" s="324">
        <v>4.92</v>
      </c>
      <c r="D20" s="324">
        <v>1.54</v>
      </c>
      <c r="E20" s="324">
        <v>8.66</v>
      </c>
      <c r="F20" s="323"/>
      <c r="G20" s="734">
        <v>4.95</v>
      </c>
      <c r="H20" s="712">
        <v>1.69</v>
      </c>
      <c r="I20" s="324">
        <v>6</v>
      </c>
      <c r="J20" s="324">
        <v>1.8</v>
      </c>
      <c r="K20" s="324">
        <v>3.57</v>
      </c>
      <c r="L20" s="324">
        <v>5.4</v>
      </c>
      <c r="M20" s="324"/>
      <c r="N20" s="324"/>
      <c r="O20" s="712">
        <v>7.14</v>
      </c>
      <c r="P20" s="324"/>
      <c r="Q20" s="325">
        <f>AVERAGE(B20:P20)</f>
        <v>4.5670000000000002</v>
      </c>
      <c r="R20" s="326">
        <f>MIN(B20:P20)</f>
        <v>1.54</v>
      </c>
      <c r="S20" s="6"/>
      <c r="T20" s="6"/>
      <c r="U20" s="6"/>
      <c r="V20" s="6"/>
      <c r="W20" s="6"/>
      <c r="X20" s="6"/>
    </row>
    <row r="21" spans="1:24" x14ac:dyDescent="0.3">
      <c r="B21" s="3"/>
      <c r="C21" s="3"/>
      <c r="D21" s="3"/>
      <c r="E21" s="3"/>
      <c r="F21" s="3"/>
      <c r="G21" s="3"/>
      <c r="H21" s="3"/>
      <c r="I21" s="3"/>
      <c r="J21" s="3"/>
      <c r="K21" s="3"/>
      <c r="L21" s="3"/>
      <c r="M21" s="3"/>
      <c r="N21" s="3"/>
      <c r="O21" s="3"/>
      <c r="Q21" s="6"/>
      <c r="R21" s="6"/>
      <c r="S21" s="6"/>
      <c r="T21" s="6"/>
      <c r="U21" s="6"/>
      <c r="V21" s="6"/>
      <c r="W21" s="6"/>
    </row>
    <row r="22" spans="1:24" x14ac:dyDescent="0.3">
      <c r="B22" s="83"/>
      <c r="C22" s="83"/>
      <c r="D22" s="83"/>
      <c r="E22" s="83"/>
      <c r="F22" s="83"/>
      <c r="G22" s="83"/>
      <c r="H22" s="3"/>
      <c r="I22" s="3"/>
      <c r="J22" s="3"/>
      <c r="K22" s="3"/>
      <c r="L22" s="3"/>
      <c r="M22" s="3"/>
      <c r="N22" s="3"/>
    </row>
    <row r="23" spans="1:24" x14ac:dyDescent="0.3">
      <c r="B23" s="77"/>
      <c r="C23" s="77"/>
      <c r="D23" s="77"/>
      <c r="E23" s="77"/>
      <c r="F23" s="77"/>
      <c r="G23" s="77"/>
    </row>
  </sheetData>
  <mergeCells count="2">
    <mergeCell ref="A1:P1"/>
    <mergeCell ref="A2:P2"/>
  </mergeCells>
  <phoneticPr fontId="0" type="noConversion"/>
  <pageMargins left="0.75" right="0.75" top="1" bottom="1" header="0.5" footer="0.5"/>
  <pageSetup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U59"/>
  <sheetViews>
    <sheetView zoomScale="75" zoomScaleNormal="75" workbookViewId="0">
      <selection activeCell="B17" sqref="B17:M17"/>
    </sheetView>
  </sheetViews>
  <sheetFormatPr defaultRowHeight="13" x14ac:dyDescent="0.3"/>
  <cols>
    <col min="1" max="1" width="25.36328125" style="1" bestFit="1" customWidth="1"/>
    <col min="2" max="2" width="9.36328125" bestFit="1" customWidth="1"/>
    <col min="3" max="3" width="9.453125" customWidth="1"/>
    <col min="4" max="4" width="9.36328125"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8.36328125" bestFit="1" customWidth="1"/>
    <col min="11" max="11" width="9.6328125" bestFit="1" customWidth="1"/>
    <col min="12" max="12" width="8.36328125" bestFit="1" customWidth="1"/>
    <col min="13" max="13" width="9.6328125" bestFit="1" customWidth="1"/>
    <col min="14" max="14" width="9.36328125" bestFit="1" customWidth="1"/>
    <col min="15" max="15" width="9.08984375" bestFit="1" customWidth="1"/>
    <col min="16" max="16" width="8.36328125" bestFit="1" customWidth="1"/>
    <col min="17" max="17" width="9.6328125" bestFit="1" customWidth="1"/>
    <col min="18" max="18" width="6.54296875" bestFit="1" customWidth="1"/>
    <col min="19" max="19" width="12.54296875" customWidth="1"/>
    <col min="20" max="20" width="13.08984375" customWidth="1"/>
    <col min="21" max="21" width="14" customWidth="1"/>
    <col min="22" max="22" width="9.90625" bestFit="1" customWidth="1"/>
    <col min="23" max="23" width="10.36328125" bestFit="1" customWidth="1"/>
    <col min="24" max="24" width="10.90625" bestFit="1" customWidth="1"/>
    <col min="25" max="25" width="11.08984375" bestFit="1" customWidth="1"/>
    <col min="26" max="26" width="10.453125" customWidth="1"/>
    <col min="27" max="27" width="10.90625" customWidth="1"/>
    <col min="28" max="29" width="11.36328125" customWidth="1"/>
    <col min="30" max="30" width="10.90625" bestFit="1" customWidth="1"/>
  </cols>
  <sheetData>
    <row r="1" spans="1:21" ht="15.5" x14ac:dyDescent="0.35">
      <c r="A1" s="812" t="s">
        <v>3</v>
      </c>
      <c r="B1" s="812"/>
      <c r="C1" s="812"/>
      <c r="D1" s="812"/>
      <c r="E1" s="812"/>
      <c r="F1" s="812"/>
      <c r="G1" s="812"/>
      <c r="H1" s="812"/>
      <c r="I1" s="812"/>
      <c r="J1" s="812"/>
      <c r="K1" s="812"/>
      <c r="L1" s="812"/>
      <c r="M1" s="812"/>
      <c r="N1" s="812"/>
      <c r="O1" s="812"/>
      <c r="P1" s="812"/>
    </row>
    <row r="2" spans="1:21" ht="15.5" x14ac:dyDescent="0.35">
      <c r="A2" s="812" t="s">
        <v>263</v>
      </c>
      <c r="B2" s="812"/>
      <c r="C2" s="812"/>
      <c r="D2" s="812"/>
      <c r="E2" s="812"/>
      <c r="F2" s="812"/>
      <c r="G2" s="812"/>
      <c r="H2" s="812"/>
      <c r="I2" s="812"/>
      <c r="J2" s="812"/>
      <c r="K2" s="812"/>
      <c r="L2" s="812"/>
      <c r="M2" s="812"/>
      <c r="N2" s="812"/>
      <c r="O2" s="812"/>
      <c r="P2" s="812"/>
    </row>
    <row r="4" spans="1:21" s="7" customFormat="1" ht="42" x14ac:dyDescent="0.3">
      <c r="A4" s="332" t="s">
        <v>2</v>
      </c>
      <c r="B4" s="534">
        <v>40203</v>
      </c>
      <c r="C4" s="534">
        <v>40231</v>
      </c>
      <c r="D4" s="534">
        <v>40266</v>
      </c>
      <c r="E4" s="534">
        <v>40294</v>
      </c>
      <c r="F4" s="534">
        <v>40322</v>
      </c>
      <c r="G4" s="534">
        <v>40358</v>
      </c>
      <c r="H4" s="535">
        <v>40372</v>
      </c>
      <c r="I4" s="535">
        <v>40385</v>
      </c>
      <c r="J4" s="535">
        <v>40399</v>
      </c>
      <c r="K4" s="534">
        <v>40413</v>
      </c>
      <c r="L4" s="534">
        <v>40428</v>
      </c>
      <c r="M4" s="536">
        <v>40448</v>
      </c>
      <c r="N4" s="536">
        <v>40477</v>
      </c>
      <c r="O4" s="536">
        <v>40497</v>
      </c>
      <c r="P4" s="535">
        <v>40514</v>
      </c>
      <c r="Q4" s="347" t="s">
        <v>106</v>
      </c>
      <c r="R4" s="332" t="s">
        <v>95</v>
      </c>
      <c r="S4" s="348" t="s">
        <v>107</v>
      </c>
      <c r="T4" s="348" t="s">
        <v>108</v>
      </c>
      <c r="U4" s="348" t="s">
        <v>109</v>
      </c>
    </row>
    <row r="5" spans="1:21" s="3" customFormat="1" ht="14" x14ac:dyDescent="0.3">
      <c r="A5" s="344" t="s">
        <v>31</v>
      </c>
      <c r="B5" s="373">
        <v>11</v>
      </c>
      <c r="C5" s="374">
        <v>16</v>
      </c>
      <c r="D5" s="374">
        <v>46</v>
      </c>
      <c r="E5" s="374">
        <v>81</v>
      </c>
      <c r="F5" s="374">
        <v>22</v>
      </c>
      <c r="G5" s="705">
        <v>39</v>
      </c>
      <c r="H5" s="373">
        <v>17</v>
      </c>
      <c r="I5" s="373">
        <v>15</v>
      </c>
      <c r="J5" s="376">
        <v>11</v>
      </c>
      <c r="K5" s="705">
        <v>11</v>
      </c>
      <c r="L5" s="705">
        <v>7</v>
      </c>
      <c r="M5" s="377">
        <v>0</v>
      </c>
      <c r="N5" s="372">
        <v>3</v>
      </c>
      <c r="O5" s="377">
        <v>7</v>
      </c>
      <c r="P5" s="378">
        <v>3</v>
      </c>
      <c r="Q5" s="343">
        <f>AVERAGE(B5:P5)</f>
        <v>19.266666666666666</v>
      </c>
      <c r="R5" s="343">
        <f>MAX(B5:P5)</f>
        <v>81</v>
      </c>
      <c r="S5" s="343">
        <f>AVERAGE(H5:M5)</f>
        <v>10.166666666666666</v>
      </c>
      <c r="T5" s="343">
        <f>AVERAGE(B8:P9)</f>
        <v>33.56666666666667</v>
      </c>
      <c r="U5" s="343">
        <f>AVERAGE(H8:M9)</f>
        <v>38.75</v>
      </c>
    </row>
    <row r="6" spans="1:21" s="3" customFormat="1" ht="14" x14ac:dyDescent="0.3">
      <c r="A6" s="345" t="s">
        <v>32</v>
      </c>
      <c r="B6" s="192">
        <v>45</v>
      </c>
      <c r="C6" s="703">
        <v>41</v>
      </c>
      <c r="D6" s="703">
        <v>32</v>
      </c>
      <c r="E6" s="703">
        <v>39</v>
      </c>
      <c r="F6" s="703">
        <v>62</v>
      </c>
      <c r="G6" s="702">
        <v>38</v>
      </c>
      <c r="H6" s="192">
        <v>31</v>
      </c>
      <c r="I6" s="192">
        <v>44</v>
      </c>
      <c r="J6" s="287">
        <v>31</v>
      </c>
      <c r="K6" s="702">
        <v>24</v>
      </c>
      <c r="L6" s="702">
        <v>40</v>
      </c>
      <c r="M6" s="288">
        <v>43</v>
      </c>
      <c r="N6" s="84">
        <v>70</v>
      </c>
      <c r="O6" s="288">
        <v>46</v>
      </c>
      <c r="P6" s="301">
        <v>102</v>
      </c>
      <c r="Q6" s="343">
        <f>AVERAGE(B6:P6)</f>
        <v>45.866666666666667</v>
      </c>
      <c r="R6" s="343">
        <f>MAX(B6:P6)</f>
        <v>102</v>
      </c>
      <c r="S6" s="343">
        <f>AVERAGE(H6:M6)</f>
        <v>35.5</v>
      </c>
      <c r="T6" s="153"/>
      <c r="U6" s="153"/>
    </row>
    <row r="7" spans="1:21" s="3" customFormat="1" ht="14" x14ac:dyDescent="0.3">
      <c r="A7" s="346" t="s">
        <v>100</v>
      </c>
      <c r="B7" s="192">
        <v>17</v>
      </c>
      <c r="C7" s="703">
        <v>28</v>
      </c>
      <c r="D7" s="703">
        <v>16</v>
      </c>
      <c r="E7" s="703">
        <v>39</v>
      </c>
      <c r="F7" s="703">
        <v>20</v>
      </c>
      <c r="G7" s="702">
        <v>32</v>
      </c>
      <c r="H7" s="192">
        <v>10</v>
      </c>
      <c r="I7" s="192">
        <v>31</v>
      </c>
      <c r="J7" s="287">
        <v>42</v>
      </c>
      <c r="K7" s="291">
        <v>32</v>
      </c>
      <c r="L7" s="702">
        <v>34</v>
      </c>
      <c r="M7" s="702">
        <v>51</v>
      </c>
      <c r="N7" s="84">
        <v>54</v>
      </c>
      <c r="O7" s="702">
        <v>36</v>
      </c>
      <c r="P7" s="301">
        <v>25</v>
      </c>
      <c r="Q7" s="343">
        <f>AVERAGE(B7:P7)</f>
        <v>31.133333333333333</v>
      </c>
      <c r="R7" s="343">
        <f>MAX(B7:P7)</f>
        <v>54</v>
      </c>
      <c r="S7" s="343">
        <f>AVERAGE(H7:M7)</f>
        <v>33.333333333333336</v>
      </c>
      <c r="T7" s="153"/>
      <c r="U7" s="153"/>
    </row>
    <row r="8" spans="1:21" s="3" customFormat="1" ht="14" x14ac:dyDescent="0.3">
      <c r="A8" s="346" t="s">
        <v>98</v>
      </c>
      <c r="B8" s="192">
        <v>15</v>
      </c>
      <c r="C8" s="703">
        <v>26</v>
      </c>
      <c r="D8" s="703">
        <v>16</v>
      </c>
      <c r="E8" s="703">
        <v>39</v>
      </c>
      <c r="F8" s="703">
        <v>22</v>
      </c>
      <c r="G8" s="702">
        <v>29</v>
      </c>
      <c r="H8" s="192">
        <v>12</v>
      </c>
      <c r="I8" s="192">
        <v>28</v>
      </c>
      <c r="J8" s="287">
        <v>41</v>
      </c>
      <c r="K8" s="291">
        <v>33</v>
      </c>
      <c r="L8" s="702">
        <v>46</v>
      </c>
      <c r="M8" s="288">
        <v>22</v>
      </c>
      <c r="N8" s="84">
        <v>41</v>
      </c>
      <c r="O8" s="288">
        <v>35</v>
      </c>
      <c r="P8" s="301">
        <v>19</v>
      </c>
      <c r="Q8" s="343">
        <f>AVERAGE(B8:P8)</f>
        <v>28.266666666666666</v>
      </c>
      <c r="R8" s="343">
        <f>MAX(B8:P8)</f>
        <v>46</v>
      </c>
      <c r="S8" s="343">
        <f>AVERAGE(H8:M8)</f>
        <v>30.333333333333332</v>
      </c>
      <c r="T8" s="153"/>
      <c r="U8" s="153"/>
    </row>
    <row r="9" spans="1:21" s="3" customFormat="1" ht="14" x14ac:dyDescent="0.3">
      <c r="A9" s="346" t="s">
        <v>99</v>
      </c>
      <c r="B9" s="373">
        <v>15</v>
      </c>
      <c r="C9" s="374">
        <v>13</v>
      </c>
      <c r="D9" s="374">
        <v>15</v>
      </c>
      <c r="E9" s="374">
        <v>38</v>
      </c>
      <c r="F9" s="374">
        <v>22</v>
      </c>
      <c r="G9" s="384">
        <v>37</v>
      </c>
      <c r="H9" s="373">
        <v>47</v>
      </c>
      <c r="I9" s="373">
        <v>34</v>
      </c>
      <c r="J9" s="376">
        <v>87</v>
      </c>
      <c r="K9" s="705">
        <v>25</v>
      </c>
      <c r="L9" s="705">
        <v>59</v>
      </c>
      <c r="M9" s="377">
        <v>31</v>
      </c>
      <c r="N9" s="372">
        <v>41</v>
      </c>
      <c r="O9" s="377">
        <v>83</v>
      </c>
      <c r="P9" s="383">
        <v>36</v>
      </c>
      <c r="Q9" s="343">
        <f>AVERAGE(B9:P9)</f>
        <v>38.866666666666667</v>
      </c>
      <c r="R9" s="343">
        <f>MAX(B9:P9)</f>
        <v>87</v>
      </c>
      <c r="S9" s="343">
        <f>AVERAGE(H9:M9)</f>
        <v>47.166666666666664</v>
      </c>
      <c r="T9" s="153"/>
      <c r="U9" s="153"/>
    </row>
    <row r="11" spans="1:21" x14ac:dyDescent="0.3">
      <c r="A11" s="1" t="s">
        <v>10</v>
      </c>
      <c r="B11" s="840"/>
      <c r="C11" s="840"/>
      <c r="D11" s="840"/>
      <c r="E11" s="840"/>
      <c r="F11" s="840"/>
    </row>
    <row r="12" spans="1:21" x14ac:dyDescent="0.3">
      <c r="B12" s="840"/>
      <c r="C12" s="840"/>
      <c r="D12" s="840"/>
      <c r="E12" s="840"/>
      <c r="F12" s="840"/>
    </row>
    <row r="13" spans="1:21" x14ac:dyDescent="0.3">
      <c r="A13" s="841" t="s">
        <v>79</v>
      </c>
      <c r="B13" s="841"/>
      <c r="C13" s="841"/>
      <c r="D13" s="841"/>
      <c r="E13" s="841"/>
      <c r="F13" s="841"/>
      <c r="G13" s="841"/>
      <c r="H13" s="841"/>
      <c r="I13" s="841"/>
      <c r="J13" s="841"/>
      <c r="K13" s="841"/>
      <c r="L13" s="841"/>
      <c r="M13" s="841"/>
    </row>
    <row r="14" spans="1:21" x14ac:dyDescent="0.3">
      <c r="A14" s="314"/>
      <c r="B14" s="314" t="s">
        <v>81</v>
      </c>
      <c r="C14" s="314" t="s">
        <v>82</v>
      </c>
      <c r="D14" s="314" t="s">
        <v>83</v>
      </c>
      <c r="E14" s="314" t="s">
        <v>84</v>
      </c>
      <c r="F14" s="314" t="s">
        <v>85</v>
      </c>
      <c r="G14" s="314" t="s">
        <v>86</v>
      </c>
      <c r="H14" s="314" t="s">
        <v>87</v>
      </c>
      <c r="I14" s="314" t="s">
        <v>88</v>
      </c>
      <c r="J14" s="314" t="s">
        <v>89</v>
      </c>
      <c r="K14" s="314" t="s">
        <v>90</v>
      </c>
      <c r="L14" s="314" t="s">
        <v>91</v>
      </c>
      <c r="M14" s="314" t="s">
        <v>92</v>
      </c>
    </row>
    <row r="15" spans="1:21" ht="14" x14ac:dyDescent="0.3">
      <c r="A15" s="351" t="s">
        <v>31</v>
      </c>
      <c r="B15" s="96">
        <f t="shared" ref="B15:G15" si="0">B5</f>
        <v>11</v>
      </c>
      <c r="C15" s="96">
        <f t="shared" si="0"/>
        <v>16</v>
      </c>
      <c r="D15" s="96">
        <f t="shared" si="0"/>
        <v>46</v>
      </c>
      <c r="E15" s="96">
        <f t="shared" si="0"/>
        <v>81</v>
      </c>
      <c r="F15" s="96">
        <f t="shared" si="0"/>
        <v>22</v>
      </c>
      <c r="G15" s="96">
        <f t="shared" si="0"/>
        <v>39</v>
      </c>
      <c r="H15" s="96">
        <f>AVERAGE(H5:I5)</f>
        <v>16</v>
      </c>
      <c r="I15" s="96">
        <f>AVERAGE(J5:K5)</f>
        <v>11</v>
      </c>
      <c r="J15" s="96">
        <f>AVERAGE(L5:M5)</f>
        <v>3.5</v>
      </c>
      <c r="K15" s="96">
        <f>N5</f>
        <v>3</v>
      </c>
      <c r="L15" s="96">
        <f t="shared" ref="L15:M19" si="1">O5</f>
        <v>7</v>
      </c>
      <c r="M15" s="96">
        <f t="shared" si="1"/>
        <v>3</v>
      </c>
    </row>
    <row r="16" spans="1:21" ht="14" x14ac:dyDescent="0.3">
      <c r="A16" s="352" t="s">
        <v>32</v>
      </c>
      <c r="B16" s="96">
        <f t="shared" ref="B16:G19" si="2">B6</f>
        <v>45</v>
      </c>
      <c r="C16" s="96">
        <f t="shared" si="2"/>
        <v>41</v>
      </c>
      <c r="D16" s="96">
        <f t="shared" si="2"/>
        <v>32</v>
      </c>
      <c r="E16" s="96">
        <f t="shared" si="2"/>
        <v>39</v>
      </c>
      <c r="F16" s="96">
        <f t="shared" si="2"/>
        <v>62</v>
      </c>
      <c r="G16" s="96">
        <f t="shared" si="2"/>
        <v>38</v>
      </c>
      <c r="H16" s="96">
        <f>AVERAGE(H6:I6)</f>
        <v>37.5</v>
      </c>
      <c r="I16" s="96">
        <f>AVERAGE(J6:K6)</f>
        <v>27.5</v>
      </c>
      <c r="J16" s="96">
        <f>AVERAGE(L6:M6)</f>
        <v>41.5</v>
      </c>
      <c r="K16" s="96">
        <f>N6</f>
        <v>70</v>
      </c>
      <c r="L16" s="96">
        <f t="shared" si="1"/>
        <v>46</v>
      </c>
      <c r="M16" s="96">
        <f t="shared" si="1"/>
        <v>102</v>
      </c>
    </row>
    <row r="17" spans="1:13" ht="14" x14ac:dyDescent="0.3">
      <c r="A17" s="353" t="s">
        <v>100</v>
      </c>
      <c r="B17" s="96">
        <f t="shared" si="2"/>
        <v>17</v>
      </c>
      <c r="C17" s="96">
        <f t="shared" si="2"/>
        <v>28</v>
      </c>
      <c r="D17" s="96">
        <f t="shared" si="2"/>
        <v>16</v>
      </c>
      <c r="E17" s="96">
        <f t="shared" si="2"/>
        <v>39</v>
      </c>
      <c r="F17" s="96">
        <f t="shared" si="2"/>
        <v>20</v>
      </c>
      <c r="G17" s="96">
        <f t="shared" si="2"/>
        <v>32</v>
      </c>
      <c r="H17" s="96">
        <f>AVERAGE(H7:I7)</f>
        <v>20.5</v>
      </c>
      <c r="I17" s="96">
        <f>AVERAGE(J7:K7)</f>
        <v>37</v>
      </c>
      <c r="J17" s="96">
        <f>AVERAGE(L7:M7)</f>
        <v>42.5</v>
      </c>
      <c r="K17" s="96">
        <f>N7</f>
        <v>54</v>
      </c>
      <c r="L17" s="96">
        <f t="shared" si="1"/>
        <v>36</v>
      </c>
      <c r="M17" s="96">
        <f t="shared" si="1"/>
        <v>25</v>
      </c>
    </row>
    <row r="18" spans="1:13" ht="14" x14ac:dyDescent="0.3">
      <c r="A18" s="353" t="s">
        <v>98</v>
      </c>
      <c r="B18" s="96">
        <f t="shared" si="2"/>
        <v>15</v>
      </c>
      <c r="C18" s="96">
        <f t="shared" si="2"/>
        <v>26</v>
      </c>
      <c r="D18" s="96">
        <f t="shared" si="2"/>
        <v>16</v>
      </c>
      <c r="E18" s="96">
        <f t="shared" si="2"/>
        <v>39</v>
      </c>
      <c r="F18" s="96">
        <f t="shared" si="2"/>
        <v>22</v>
      </c>
      <c r="G18" s="96">
        <f t="shared" si="2"/>
        <v>29</v>
      </c>
      <c r="H18" s="96">
        <f>AVERAGE(H8:I8)</f>
        <v>20</v>
      </c>
      <c r="I18" s="96">
        <f>AVERAGE(J8:K8)</f>
        <v>37</v>
      </c>
      <c r="J18" s="96">
        <f>AVERAGE(L8:M8)</f>
        <v>34</v>
      </c>
      <c r="K18" s="96">
        <f>N8</f>
        <v>41</v>
      </c>
      <c r="L18" s="96">
        <f t="shared" si="1"/>
        <v>35</v>
      </c>
      <c r="M18" s="96">
        <f t="shared" si="1"/>
        <v>19</v>
      </c>
    </row>
    <row r="19" spans="1:13" ht="14" x14ac:dyDescent="0.3">
      <c r="A19" s="353" t="s">
        <v>99</v>
      </c>
      <c r="B19" s="96">
        <f t="shared" si="2"/>
        <v>15</v>
      </c>
      <c r="C19" s="96">
        <f t="shared" si="2"/>
        <v>13</v>
      </c>
      <c r="D19" s="96">
        <f t="shared" si="2"/>
        <v>15</v>
      </c>
      <c r="E19" s="96">
        <f t="shared" si="2"/>
        <v>38</v>
      </c>
      <c r="F19" s="96">
        <f t="shared" si="2"/>
        <v>22</v>
      </c>
      <c r="G19" s="96">
        <f t="shared" si="2"/>
        <v>37</v>
      </c>
      <c r="H19" s="96">
        <f>AVERAGE(H9:I9)</f>
        <v>40.5</v>
      </c>
      <c r="I19" s="96">
        <f>AVERAGE(J9:K9)</f>
        <v>56</v>
      </c>
      <c r="J19" s="96">
        <f>AVERAGE(L9:M9)</f>
        <v>45</v>
      </c>
      <c r="K19" s="96">
        <f>N9</f>
        <v>41</v>
      </c>
      <c r="L19" s="96">
        <f t="shared" si="1"/>
        <v>83</v>
      </c>
      <c r="M19" s="96">
        <f t="shared" si="1"/>
        <v>36</v>
      </c>
    </row>
    <row r="28" spans="1:13" x14ac:dyDescent="0.3">
      <c r="A28" s="98"/>
    </row>
    <row r="29" spans="1:13" ht="12.5" x14ac:dyDescent="0.25">
      <c r="A29"/>
    </row>
    <row r="30" spans="1:13" x14ac:dyDescent="0.3">
      <c r="B30" s="1"/>
      <c r="C30" s="1"/>
      <c r="D30" s="1"/>
      <c r="E30" s="1"/>
    </row>
    <row r="31" spans="1:13" x14ac:dyDescent="0.3">
      <c r="B31" s="1"/>
      <c r="C31" s="1"/>
      <c r="D31" s="1"/>
      <c r="E31" s="1"/>
    </row>
    <row r="32" spans="1:13" x14ac:dyDescent="0.3">
      <c r="B32" s="3"/>
      <c r="C32" s="3"/>
      <c r="D32" s="3"/>
      <c r="E32" s="3"/>
    </row>
    <row r="33" spans="1:21" x14ac:dyDescent="0.3">
      <c r="B33" s="3"/>
      <c r="C33" s="3"/>
      <c r="D33" s="3"/>
      <c r="E33" s="3"/>
    </row>
    <row r="34" spans="1:21" x14ac:dyDescent="0.3">
      <c r="B34" s="3"/>
      <c r="C34" s="3"/>
      <c r="D34" s="3"/>
      <c r="E34" s="3"/>
    </row>
    <row r="35" spans="1:21" x14ac:dyDescent="0.3">
      <c r="B35" s="3"/>
      <c r="C35" s="3"/>
      <c r="D35" s="3"/>
      <c r="E35" s="3"/>
    </row>
    <row r="36" spans="1:21" x14ac:dyDescent="0.3">
      <c r="B36" s="3"/>
      <c r="C36" s="3"/>
      <c r="D36" s="3"/>
      <c r="E36" s="3"/>
    </row>
    <row r="37" spans="1:21" x14ac:dyDescent="0.3">
      <c r="B37" s="3"/>
      <c r="C37" s="3"/>
      <c r="D37" s="3"/>
      <c r="E37" s="3"/>
    </row>
    <row r="38" spans="1:21" x14ac:dyDescent="0.3">
      <c r="B38" s="3"/>
      <c r="C38" s="3"/>
      <c r="D38" s="3"/>
      <c r="E38" s="3"/>
    </row>
    <row r="39" spans="1:21" x14ac:dyDescent="0.3">
      <c r="B39" s="3"/>
      <c r="C39" s="3"/>
      <c r="D39" s="3"/>
      <c r="E39" s="3"/>
    </row>
    <row r="45" spans="1:21" ht="15.5" x14ac:dyDescent="0.35">
      <c r="A45" s="812" t="s">
        <v>262</v>
      </c>
      <c r="B45" s="812"/>
      <c r="C45" s="812"/>
      <c r="D45" s="812"/>
      <c r="E45" s="812"/>
      <c r="F45" s="812"/>
      <c r="G45" s="812"/>
      <c r="H45" s="812"/>
      <c r="I45" s="812"/>
      <c r="J45" s="812"/>
      <c r="K45" s="812"/>
      <c r="L45" s="812"/>
      <c r="M45" s="812"/>
      <c r="N45" s="812"/>
      <c r="O45" s="812"/>
      <c r="P45" s="812"/>
      <c r="Q45" s="136"/>
      <c r="R45" s="136"/>
      <c r="S45" s="136"/>
    </row>
    <row r="46" spans="1:21" ht="42.5" x14ac:dyDescent="0.35">
      <c r="A46" s="335" t="s">
        <v>2</v>
      </c>
      <c r="B46" s="534">
        <v>40203</v>
      </c>
      <c r="C46" s="534">
        <v>40231</v>
      </c>
      <c r="D46" s="534">
        <v>40266</v>
      </c>
      <c r="E46" s="534">
        <v>40294</v>
      </c>
      <c r="F46" s="534">
        <v>40322</v>
      </c>
      <c r="G46" s="534">
        <v>40358</v>
      </c>
      <c r="H46" s="535">
        <v>40372</v>
      </c>
      <c r="I46" s="535">
        <v>40385</v>
      </c>
      <c r="J46" s="535">
        <v>40399</v>
      </c>
      <c r="K46" s="534">
        <v>40413</v>
      </c>
      <c r="L46" s="534">
        <v>40428</v>
      </c>
      <c r="M46" s="536">
        <v>40448</v>
      </c>
      <c r="N46" s="536">
        <v>40477</v>
      </c>
      <c r="O46" s="536">
        <v>40497</v>
      </c>
      <c r="P46" s="535">
        <v>40514</v>
      </c>
      <c r="Q46" s="347" t="s">
        <v>106</v>
      </c>
      <c r="R46" s="347" t="s">
        <v>95</v>
      </c>
      <c r="S46" s="347" t="s">
        <v>124</v>
      </c>
      <c r="T46" s="348" t="s">
        <v>108</v>
      </c>
      <c r="U46" s="348" t="s">
        <v>109</v>
      </c>
    </row>
    <row r="47" spans="1:21" ht="15.5" x14ac:dyDescent="0.35">
      <c r="A47" s="349" t="s">
        <v>31</v>
      </c>
      <c r="B47" s="374">
        <v>5</v>
      </c>
      <c r="C47" s="374">
        <v>2</v>
      </c>
      <c r="D47" s="374">
        <v>5</v>
      </c>
      <c r="E47" s="374">
        <v>19</v>
      </c>
      <c r="F47" s="374">
        <v>5</v>
      </c>
      <c r="G47" s="705">
        <v>10</v>
      </c>
      <c r="H47" s="373">
        <v>11</v>
      </c>
      <c r="I47" s="373">
        <v>3</v>
      </c>
      <c r="J47" s="376">
        <v>8</v>
      </c>
      <c r="K47" s="381">
        <v>4</v>
      </c>
      <c r="L47" s="705">
        <v>0</v>
      </c>
      <c r="M47" s="377">
        <v>2</v>
      </c>
      <c r="N47" s="372">
        <v>2</v>
      </c>
      <c r="O47" s="377">
        <v>3</v>
      </c>
      <c r="P47" s="378">
        <v>2</v>
      </c>
      <c r="Q47" s="340">
        <f>AVERAGE(B47:P47)</f>
        <v>5.4</v>
      </c>
      <c r="R47" s="340">
        <f>MAX(B47:P47)</f>
        <v>19</v>
      </c>
      <c r="S47" s="340">
        <f>AVERAGE(H47:M47)</f>
        <v>4.666666666666667</v>
      </c>
      <c r="T47" s="341">
        <f>AVERAGE(B50:P51)</f>
        <v>15.933333333333334</v>
      </c>
      <c r="U47" s="342">
        <f>AVERAGE(H50:M51)</f>
        <v>17.25</v>
      </c>
    </row>
    <row r="48" spans="1:21" ht="15.5" x14ac:dyDescent="0.35">
      <c r="A48" s="349" t="s">
        <v>32</v>
      </c>
      <c r="B48" s="193">
        <v>41</v>
      </c>
      <c r="C48" s="703">
        <v>29</v>
      </c>
      <c r="D48" s="703">
        <v>9</v>
      </c>
      <c r="E48" s="703">
        <v>11</v>
      </c>
      <c r="F48" s="703">
        <v>6</v>
      </c>
      <c r="G48" s="702">
        <v>11</v>
      </c>
      <c r="H48" s="192">
        <v>24</v>
      </c>
      <c r="I48" s="192">
        <v>26</v>
      </c>
      <c r="J48" s="287">
        <v>13</v>
      </c>
      <c r="K48" s="289">
        <v>18</v>
      </c>
      <c r="L48" s="702">
        <v>31</v>
      </c>
      <c r="M48" s="288">
        <v>37</v>
      </c>
      <c r="N48" s="84">
        <v>15</v>
      </c>
      <c r="O48" s="288">
        <v>36</v>
      </c>
      <c r="P48" s="301">
        <v>88</v>
      </c>
      <c r="Q48" s="340">
        <f>AVERAGE(B48:P48)</f>
        <v>26.333333333333332</v>
      </c>
      <c r="R48" s="340">
        <f>MAX(B48:P48)</f>
        <v>88</v>
      </c>
      <c r="S48" s="340">
        <f>AVERAGE(H48:M48)</f>
        <v>24.833333333333332</v>
      </c>
    </row>
    <row r="49" spans="1:19" ht="15.5" x14ac:dyDescent="0.35">
      <c r="A49" s="350" t="s">
        <v>100</v>
      </c>
      <c r="B49" s="193">
        <v>11</v>
      </c>
      <c r="C49" s="703">
        <v>14</v>
      </c>
      <c r="D49" s="703">
        <v>6</v>
      </c>
      <c r="E49" s="703">
        <v>13</v>
      </c>
      <c r="F49" s="703">
        <v>5</v>
      </c>
      <c r="G49" s="702">
        <v>19</v>
      </c>
      <c r="H49" s="192">
        <v>11</v>
      </c>
      <c r="I49" s="192">
        <v>6</v>
      </c>
      <c r="J49" s="287">
        <v>15</v>
      </c>
      <c r="K49" s="289">
        <v>9</v>
      </c>
      <c r="L49" s="702">
        <v>6</v>
      </c>
      <c r="M49" s="702">
        <v>19</v>
      </c>
      <c r="N49" s="84">
        <v>8</v>
      </c>
      <c r="O49" s="702">
        <v>9</v>
      </c>
      <c r="P49" s="301">
        <v>7</v>
      </c>
      <c r="Q49" s="340">
        <f>AVERAGE(B49:P49)</f>
        <v>10.533333333333333</v>
      </c>
      <c r="R49" s="340">
        <f>MAX(B49:P49)</f>
        <v>19</v>
      </c>
      <c r="S49" s="340">
        <f>AVERAGE(H49:M49)</f>
        <v>11</v>
      </c>
    </row>
    <row r="50" spans="1:19" ht="15.5" x14ac:dyDescent="0.35">
      <c r="A50" s="350" t="s">
        <v>98</v>
      </c>
      <c r="B50" s="193">
        <v>16</v>
      </c>
      <c r="C50" s="703">
        <v>12</v>
      </c>
      <c r="D50" s="703">
        <v>8</v>
      </c>
      <c r="E50" s="703">
        <v>15</v>
      </c>
      <c r="F50" s="703">
        <v>5</v>
      </c>
      <c r="G50" s="702">
        <v>15</v>
      </c>
      <c r="H50" s="192">
        <v>13</v>
      </c>
      <c r="I50" s="192">
        <v>11</v>
      </c>
      <c r="J50" s="287">
        <v>9</v>
      </c>
      <c r="K50" s="289">
        <v>11</v>
      </c>
      <c r="L50" s="702">
        <v>7</v>
      </c>
      <c r="M50" s="288">
        <v>13</v>
      </c>
      <c r="N50" s="84">
        <v>16</v>
      </c>
      <c r="O50" s="288">
        <v>11</v>
      </c>
      <c r="P50" s="301">
        <v>5</v>
      </c>
      <c r="Q50" s="340">
        <f>AVERAGE(B50:P50)</f>
        <v>11.133333333333333</v>
      </c>
      <c r="R50" s="340">
        <f>MAX(B50:P50)</f>
        <v>16</v>
      </c>
      <c r="S50" s="340">
        <f>AVERAGE(H50:M50)</f>
        <v>10.666666666666666</v>
      </c>
    </row>
    <row r="51" spans="1:19" ht="15.5" x14ac:dyDescent="0.35">
      <c r="A51" s="350" t="s">
        <v>99</v>
      </c>
      <c r="B51" s="382">
        <v>8</v>
      </c>
      <c r="C51" s="420">
        <v>9</v>
      </c>
      <c r="D51" s="374">
        <v>6</v>
      </c>
      <c r="E51" s="374">
        <v>14</v>
      </c>
      <c r="F51" s="374">
        <v>5</v>
      </c>
      <c r="G51" s="384">
        <v>23</v>
      </c>
      <c r="H51" s="373">
        <v>29</v>
      </c>
      <c r="I51" s="373">
        <v>13</v>
      </c>
      <c r="J51" s="376">
        <v>56</v>
      </c>
      <c r="K51" s="381">
        <v>15</v>
      </c>
      <c r="L51" s="705">
        <v>10</v>
      </c>
      <c r="M51" s="377">
        <v>20</v>
      </c>
      <c r="N51" s="372">
        <v>14</v>
      </c>
      <c r="O51" s="377">
        <v>83</v>
      </c>
      <c r="P51" s="383">
        <v>6</v>
      </c>
      <c r="Q51" s="340">
        <f>AVERAGE(B51:P51)</f>
        <v>20.733333333333334</v>
      </c>
      <c r="R51" s="340">
        <f>MAX(B51:P51)</f>
        <v>83</v>
      </c>
      <c r="S51" s="340">
        <f>AVERAGE(H51:M51)</f>
        <v>23.833333333333332</v>
      </c>
    </row>
    <row r="53" spans="1:19" ht="15.5" x14ac:dyDescent="0.35">
      <c r="A53" s="812" t="s">
        <v>261</v>
      </c>
      <c r="B53" s="812"/>
      <c r="C53" s="812"/>
      <c r="D53" s="812"/>
      <c r="E53" s="812"/>
      <c r="F53" s="812"/>
      <c r="G53" s="812"/>
      <c r="H53" s="812"/>
      <c r="I53" s="812"/>
      <c r="J53" s="812"/>
      <c r="K53" s="812"/>
      <c r="L53" s="812"/>
      <c r="M53" s="812"/>
      <c r="N53" s="812"/>
      <c r="O53" s="812"/>
      <c r="P53" s="812"/>
    </row>
    <row r="54" spans="1:19" x14ac:dyDescent="0.3">
      <c r="A54" s="314"/>
      <c r="B54" s="314" t="s">
        <v>81</v>
      </c>
      <c r="C54" s="314" t="s">
        <v>82</v>
      </c>
      <c r="D54" s="314" t="s">
        <v>83</v>
      </c>
      <c r="E54" s="314" t="s">
        <v>84</v>
      </c>
      <c r="F54" s="314" t="s">
        <v>85</v>
      </c>
      <c r="G54" s="314" t="s">
        <v>86</v>
      </c>
      <c r="H54" s="314" t="s">
        <v>87</v>
      </c>
      <c r="I54" s="314" t="s">
        <v>88</v>
      </c>
      <c r="J54" s="314" t="s">
        <v>89</v>
      </c>
      <c r="K54" s="314" t="s">
        <v>90</v>
      </c>
      <c r="L54" s="314" t="s">
        <v>91</v>
      </c>
      <c r="M54" s="314" t="s">
        <v>92</v>
      </c>
    </row>
    <row r="55" spans="1:19" ht="14" x14ac:dyDescent="0.3">
      <c r="A55" s="351" t="s">
        <v>31</v>
      </c>
      <c r="B55" s="337">
        <f t="shared" ref="B55:G55" si="3">B47</f>
        <v>5</v>
      </c>
      <c r="C55" s="337">
        <f t="shared" si="3"/>
        <v>2</v>
      </c>
      <c r="D55" s="337">
        <f t="shared" si="3"/>
        <v>5</v>
      </c>
      <c r="E55" s="337">
        <f t="shared" si="3"/>
        <v>19</v>
      </c>
      <c r="F55" s="337">
        <f t="shared" si="3"/>
        <v>5</v>
      </c>
      <c r="G55" s="337">
        <f t="shared" si="3"/>
        <v>10</v>
      </c>
      <c r="H55" s="337">
        <f>AVERAGE(H47:I47)</f>
        <v>7</v>
      </c>
      <c r="I55" s="337">
        <f>AVERAGE(J47:K47)</f>
        <v>6</v>
      </c>
      <c r="J55" s="337">
        <f>AVERAGE(L47:M47)</f>
        <v>1</v>
      </c>
      <c r="K55" s="337">
        <f>N47</f>
        <v>2</v>
      </c>
      <c r="L55" s="337">
        <f t="shared" ref="L55:M59" si="4">O47</f>
        <v>3</v>
      </c>
      <c r="M55" s="337">
        <f t="shared" si="4"/>
        <v>2</v>
      </c>
    </row>
    <row r="56" spans="1:19" ht="14" x14ac:dyDescent="0.3">
      <c r="A56" s="352" t="s">
        <v>32</v>
      </c>
      <c r="B56" s="337">
        <f t="shared" ref="B56:G59" si="5">B48</f>
        <v>41</v>
      </c>
      <c r="C56" s="337">
        <f t="shared" si="5"/>
        <v>29</v>
      </c>
      <c r="D56" s="337">
        <f t="shared" si="5"/>
        <v>9</v>
      </c>
      <c r="E56" s="337">
        <f t="shared" si="5"/>
        <v>11</v>
      </c>
      <c r="F56" s="337">
        <f t="shared" si="5"/>
        <v>6</v>
      </c>
      <c r="G56" s="337">
        <f t="shared" si="5"/>
        <v>11</v>
      </c>
      <c r="H56" s="337">
        <f>AVERAGE(H48:I48)</f>
        <v>25</v>
      </c>
      <c r="I56" s="337">
        <f>AVERAGE(J48:K48)</f>
        <v>15.5</v>
      </c>
      <c r="J56" s="337">
        <f>AVERAGE(L48:M48)</f>
        <v>34</v>
      </c>
      <c r="K56" s="337">
        <f>N48</f>
        <v>15</v>
      </c>
      <c r="L56" s="337">
        <f t="shared" si="4"/>
        <v>36</v>
      </c>
      <c r="M56" s="337">
        <f t="shared" si="4"/>
        <v>88</v>
      </c>
    </row>
    <row r="57" spans="1:19" ht="14" x14ac:dyDescent="0.3">
      <c r="A57" s="353" t="s">
        <v>100</v>
      </c>
      <c r="B57" s="337">
        <f t="shared" si="5"/>
        <v>11</v>
      </c>
      <c r="C57" s="337">
        <f t="shared" si="5"/>
        <v>14</v>
      </c>
      <c r="D57" s="337">
        <f t="shared" si="5"/>
        <v>6</v>
      </c>
      <c r="E57" s="337">
        <f t="shared" si="5"/>
        <v>13</v>
      </c>
      <c r="F57" s="337">
        <f t="shared" si="5"/>
        <v>5</v>
      </c>
      <c r="G57" s="337">
        <f t="shared" si="5"/>
        <v>19</v>
      </c>
      <c r="H57" s="337">
        <f>AVERAGE(H49:I49)</f>
        <v>8.5</v>
      </c>
      <c r="I57" s="337">
        <f>AVERAGE(J49:K49)</f>
        <v>12</v>
      </c>
      <c r="J57" s="337">
        <f>AVERAGE(L49:M49)</f>
        <v>12.5</v>
      </c>
      <c r="K57" s="337">
        <f>N49</f>
        <v>8</v>
      </c>
      <c r="L57" s="337">
        <f t="shared" si="4"/>
        <v>9</v>
      </c>
      <c r="M57" s="337">
        <f t="shared" si="4"/>
        <v>7</v>
      </c>
    </row>
    <row r="58" spans="1:19" ht="14" x14ac:dyDescent="0.3">
      <c r="A58" s="353" t="s">
        <v>98</v>
      </c>
      <c r="B58" s="337">
        <f t="shared" si="5"/>
        <v>16</v>
      </c>
      <c r="C58" s="337">
        <f t="shared" si="5"/>
        <v>12</v>
      </c>
      <c r="D58" s="337">
        <f t="shared" si="5"/>
        <v>8</v>
      </c>
      <c r="E58" s="337">
        <f t="shared" si="5"/>
        <v>15</v>
      </c>
      <c r="F58" s="337">
        <f t="shared" si="5"/>
        <v>5</v>
      </c>
      <c r="G58" s="337">
        <f t="shared" si="5"/>
        <v>15</v>
      </c>
      <c r="H58" s="337">
        <f>AVERAGE(H50:I50)</f>
        <v>12</v>
      </c>
      <c r="I58" s="337">
        <f>AVERAGE(J50:K50)</f>
        <v>10</v>
      </c>
      <c r="J58" s="337">
        <f>AVERAGE(L50:M50)</f>
        <v>10</v>
      </c>
      <c r="K58" s="337">
        <f>N50</f>
        <v>16</v>
      </c>
      <c r="L58" s="337">
        <f t="shared" si="4"/>
        <v>11</v>
      </c>
      <c r="M58" s="337">
        <f t="shared" si="4"/>
        <v>5</v>
      </c>
    </row>
    <row r="59" spans="1:19" ht="14" x14ac:dyDescent="0.3">
      <c r="A59" s="353" t="s">
        <v>99</v>
      </c>
      <c r="B59" s="337">
        <f t="shared" si="5"/>
        <v>8</v>
      </c>
      <c r="C59" s="337">
        <f t="shared" si="5"/>
        <v>9</v>
      </c>
      <c r="D59" s="337">
        <f t="shared" si="5"/>
        <v>6</v>
      </c>
      <c r="E59" s="337">
        <f t="shared" si="5"/>
        <v>14</v>
      </c>
      <c r="F59" s="337">
        <f t="shared" si="5"/>
        <v>5</v>
      </c>
      <c r="G59" s="337">
        <f t="shared" si="5"/>
        <v>23</v>
      </c>
      <c r="H59" s="337">
        <f>AVERAGE(H51:I51)</f>
        <v>21</v>
      </c>
      <c r="I59" s="337">
        <f>AVERAGE(J51:K51)</f>
        <v>35.5</v>
      </c>
      <c r="J59" s="337">
        <f>AVERAGE(L51:M51)</f>
        <v>15</v>
      </c>
      <c r="K59" s="337">
        <f>N51</f>
        <v>14</v>
      </c>
      <c r="L59" s="337">
        <f t="shared" si="4"/>
        <v>83</v>
      </c>
      <c r="M59" s="337">
        <f t="shared" si="4"/>
        <v>6</v>
      </c>
    </row>
  </sheetData>
  <mergeCells count="7">
    <mergeCell ref="A45:P45"/>
    <mergeCell ref="A53:P53"/>
    <mergeCell ref="A1:P1"/>
    <mergeCell ref="A2:P2"/>
    <mergeCell ref="B11:F11"/>
    <mergeCell ref="B12:F12"/>
    <mergeCell ref="A13:M13"/>
  </mergeCells>
  <phoneticPr fontId="0" type="noConversion"/>
  <pageMargins left="0.75" right="0.75" top="1" bottom="1" header="0.5" footer="0.5"/>
  <pageSetup scale="41" orientation="landscape" horizont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pageSetUpPr fitToPage="1"/>
  </sheetPr>
  <dimension ref="A1:AD49"/>
  <sheetViews>
    <sheetView zoomScale="75" zoomScaleNormal="75" workbookViewId="0">
      <selection activeCell="B18" sqref="B18:M18"/>
    </sheetView>
  </sheetViews>
  <sheetFormatPr defaultColWidth="9.08984375" defaultRowHeight="13" x14ac:dyDescent="0.3"/>
  <cols>
    <col min="1" max="1" width="26.90625" style="1" customWidth="1"/>
    <col min="2" max="2" width="17.453125" style="11" bestFit="1" customWidth="1"/>
    <col min="3" max="3" width="12.36328125" style="11" bestFit="1" customWidth="1"/>
    <col min="4" max="4" width="12.453125" style="11" bestFit="1" customWidth="1"/>
    <col min="5" max="5" width="13.453125" style="11" customWidth="1"/>
    <col min="6" max="6" width="12.6328125" style="11" bestFit="1" customWidth="1"/>
    <col min="7" max="7" width="12.08984375" style="11" customWidth="1"/>
    <col min="8" max="8" width="12.6328125" style="11" bestFit="1" customWidth="1"/>
    <col min="9" max="9" width="12.08984375" style="11" bestFit="1" customWidth="1"/>
    <col min="10" max="10" width="11.6328125" style="11" bestFit="1" customWidth="1"/>
    <col min="11" max="11" width="12.453125" style="11" bestFit="1" customWidth="1"/>
    <col min="12" max="12" width="11.08984375" style="11" bestFit="1" customWidth="1"/>
    <col min="13" max="13" width="12.453125" style="11" bestFit="1" customWidth="1"/>
    <col min="14" max="14" width="9.453125" style="11" bestFit="1" customWidth="1"/>
    <col min="15" max="15" width="9.36328125" style="11" bestFit="1" customWidth="1"/>
    <col min="16" max="16" width="8.6328125" style="11" bestFit="1" customWidth="1"/>
    <col min="17" max="17" width="9.6328125" style="11" bestFit="1" customWidth="1"/>
    <col min="18" max="18" width="6.54296875" style="11" bestFit="1" customWidth="1"/>
    <col min="19" max="19" width="10.54296875" style="11" bestFit="1" customWidth="1"/>
    <col min="20" max="21" width="11.08984375" style="11" bestFit="1" customWidth="1"/>
    <col min="22" max="22" width="9.90625" style="11" bestFit="1" customWidth="1"/>
    <col min="23" max="23" width="10.36328125" style="11" bestFit="1" customWidth="1"/>
    <col min="24" max="24" width="10.90625" style="11" bestFit="1" customWidth="1"/>
    <col min="25" max="25" width="11.08984375" style="11" bestFit="1" customWidth="1"/>
    <col min="26" max="26" width="11" style="11" customWidth="1"/>
    <col min="27" max="27" width="11.453125" style="11" customWidth="1"/>
    <col min="28" max="28" width="11.90625" style="11" customWidth="1"/>
    <col min="29" max="29" width="11.36328125" style="11" customWidth="1"/>
    <col min="30" max="30" width="10.90625" style="11" bestFit="1" customWidth="1"/>
    <col min="31" max="16384" width="9.08984375" style="11"/>
  </cols>
  <sheetData>
    <row r="1" spans="1:30" x14ac:dyDescent="0.3">
      <c r="A1" s="832" t="s">
        <v>3</v>
      </c>
      <c r="B1" s="832"/>
      <c r="C1" s="832"/>
      <c r="D1" s="832"/>
      <c r="E1" s="832"/>
      <c r="F1" s="832"/>
      <c r="G1" s="832"/>
      <c r="H1" s="832"/>
      <c r="I1" s="832"/>
      <c r="J1" s="832"/>
      <c r="K1" s="832"/>
      <c r="L1" s="832"/>
      <c r="M1" s="832"/>
      <c r="N1" s="832"/>
      <c r="O1" s="832"/>
      <c r="P1" s="832"/>
    </row>
    <row r="2" spans="1:30" x14ac:dyDescent="0.3">
      <c r="A2" s="832" t="s">
        <v>5</v>
      </c>
      <c r="B2" s="832"/>
      <c r="C2" s="832"/>
      <c r="D2" s="832"/>
      <c r="E2" s="832"/>
      <c r="F2" s="832"/>
      <c r="G2" s="832"/>
      <c r="H2" s="832"/>
      <c r="I2" s="832"/>
      <c r="J2" s="832"/>
      <c r="K2" s="832"/>
      <c r="L2" s="832"/>
      <c r="M2" s="832"/>
      <c r="N2" s="832"/>
      <c r="O2" s="832"/>
      <c r="P2" s="832"/>
    </row>
    <row r="5" spans="1:30" s="7" customFormat="1" ht="28" x14ac:dyDescent="0.3">
      <c r="A5" s="354" t="s">
        <v>2</v>
      </c>
      <c r="B5" s="534">
        <v>40203</v>
      </c>
      <c r="C5" s="534">
        <v>40231</v>
      </c>
      <c r="D5" s="534">
        <v>40266</v>
      </c>
      <c r="E5" s="534">
        <v>40294</v>
      </c>
      <c r="F5" s="534">
        <v>40322</v>
      </c>
      <c r="G5" s="534">
        <v>40358</v>
      </c>
      <c r="H5" s="535">
        <v>40372</v>
      </c>
      <c r="I5" s="535">
        <v>40385</v>
      </c>
      <c r="J5" s="535">
        <v>40399</v>
      </c>
      <c r="K5" s="534">
        <v>40413</v>
      </c>
      <c r="L5" s="534">
        <v>40428</v>
      </c>
      <c r="M5" s="536">
        <v>40448</v>
      </c>
      <c r="N5" s="536">
        <v>40477</v>
      </c>
      <c r="O5" s="536">
        <v>40497</v>
      </c>
      <c r="P5" s="535">
        <v>40514</v>
      </c>
      <c r="Q5" s="333" t="s">
        <v>106</v>
      </c>
      <c r="R5" s="331" t="s">
        <v>95</v>
      </c>
      <c r="S5" s="333" t="s">
        <v>124</v>
      </c>
      <c r="T5" s="333" t="s">
        <v>140</v>
      </c>
      <c r="U5" s="333" t="s">
        <v>141</v>
      </c>
    </row>
    <row r="6" spans="1:30" ht="14" x14ac:dyDescent="0.3">
      <c r="A6" s="355" t="s">
        <v>31</v>
      </c>
      <c r="B6" s="711">
        <v>695</v>
      </c>
      <c r="C6" s="711">
        <v>789</v>
      </c>
      <c r="D6" s="711">
        <v>784</v>
      </c>
      <c r="E6" s="711">
        <v>465</v>
      </c>
      <c r="F6" s="711">
        <v>466</v>
      </c>
      <c r="G6" s="711">
        <v>339</v>
      </c>
      <c r="H6" s="711">
        <v>457</v>
      </c>
      <c r="I6" s="711">
        <v>308</v>
      </c>
      <c r="J6" s="711">
        <v>215</v>
      </c>
      <c r="K6" s="711">
        <v>507</v>
      </c>
      <c r="L6" s="711">
        <v>906</v>
      </c>
      <c r="M6" s="711">
        <v>1208</v>
      </c>
      <c r="N6" s="711">
        <v>167</v>
      </c>
      <c r="O6" s="711">
        <v>483</v>
      </c>
      <c r="P6" s="711">
        <v>752</v>
      </c>
      <c r="Q6" s="356">
        <f>AVERAGE(B6:P6)</f>
        <v>569.4</v>
      </c>
      <c r="R6" s="356">
        <f>MAX(B6:P6)</f>
        <v>1208</v>
      </c>
      <c r="S6" s="356">
        <f>AVERAGE(H6:M6)</f>
        <v>600.16666666666663</v>
      </c>
      <c r="T6" s="356">
        <f>AVERAGE(B9:P10)</f>
        <v>254.43333333333334</v>
      </c>
      <c r="U6" s="356">
        <f>AVERAGE(H9:M10)</f>
        <v>111.83333333333333</v>
      </c>
      <c r="V6" s="33"/>
      <c r="W6" s="33"/>
      <c r="X6" s="33"/>
      <c r="Y6" s="33"/>
      <c r="Z6" s="33"/>
      <c r="AA6" s="33"/>
      <c r="AB6" s="33"/>
      <c r="AC6" s="33"/>
      <c r="AD6" s="33"/>
    </row>
    <row r="7" spans="1:30" ht="14" x14ac:dyDescent="0.3">
      <c r="A7" s="355" t="s">
        <v>32</v>
      </c>
      <c r="B7" s="334">
        <v>1453</v>
      </c>
      <c r="C7" s="334">
        <v>1467</v>
      </c>
      <c r="D7" s="334">
        <v>1084</v>
      </c>
      <c r="E7" s="334">
        <v>554</v>
      </c>
      <c r="F7" s="334">
        <v>555</v>
      </c>
      <c r="G7" s="334">
        <v>303</v>
      </c>
      <c r="H7" s="334">
        <v>599</v>
      </c>
      <c r="I7" s="334">
        <v>484</v>
      </c>
      <c r="J7" s="334">
        <v>435</v>
      </c>
      <c r="K7" s="334">
        <v>499</v>
      </c>
      <c r="L7" s="334">
        <v>1030</v>
      </c>
      <c r="M7" s="334">
        <v>1176</v>
      </c>
      <c r="N7" s="334">
        <v>488</v>
      </c>
      <c r="O7" s="334">
        <v>1486</v>
      </c>
      <c r="P7" s="334">
        <v>7833</v>
      </c>
      <c r="Q7" s="356">
        <f>AVERAGE(B7:P7)</f>
        <v>1296.4000000000001</v>
      </c>
      <c r="R7" s="356">
        <f>MAX(B7:P7)</f>
        <v>7833</v>
      </c>
      <c r="S7" s="356">
        <f>AVERAGE(H7:M7)</f>
        <v>703.83333333333337</v>
      </c>
      <c r="T7" s="338"/>
      <c r="U7" s="338"/>
      <c r="V7" s="33"/>
      <c r="W7" s="33"/>
      <c r="X7" s="33"/>
      <c r="Y7" s="33"/>
      <c r="Z7" s="33"/>
      <c r="AA7" s="33"/>
      <c r="AB7" s="33"/>
      <c r="AC7" s="33"/>
      <c r="AD7" s="33"/>
    </row>
    <row r="8" spans="1:30" ht="14" x14ac:dyDescent="0.3">
      <c r="A8" s="357" t="s">
        <v>100</v>
      </c>
      <c r="B8" s="334">
        <v>693</v>
      </c>
      <c r="C8" s="334">
        <v>973</v>
      </c>
      <c r="D8" s="334">
        <v>579</v>
      </c>
      <c r="E8" s="334">
        <v>464</v>
      </c>
      <c r="F8" s="334">
        <v>465</v>
      </c>
      <c r="G8" s="334">
        <v>211</v>
      </c>
      <c r="H8" s="334">
        <v>224</v>
      </c>
      <c r="I8" s="334">
        <v>172</v>
      </c>
      <c r="J8" s="334">
        <v>139</v>
      </c>
      <c r="K8" s="714">
        <v>74</v>
      </c>
      <c r="L8" s="334">
        <v>2</v>
      </c>
      <c r="M8" s="334">
        <v>56</v>
      </c>
      <c r="N8" s="334">
        <v>37</v>
      </c>
      <c r="O8" s="334">
        <v>69</v>
      </c>
      <c r="P8" s="334">
        <v>8</v>
      </c>
      <c r="Q8" s="356">
        <f>AVERAGE(B8:P8)</f>
        <v>277.73333333333335</v>
      </c>
      <c r="R8" s="356">
        <f>MAX(B8:P8)</f>
        <v>973</v>
      </c>
      <c r="S8" s="356">
        <f>AVERAGE(H8:M8)</f>
        <v>111.16666666666667</v>
      </c>
      <c r="T8" s="338"/>
      <c r="U8" s="338"/>
      <c r="V8" s="33"/>
      <c r="W8" s="33"/>
      <c r="X8" s="33"/>
      <c r="Y8" s="33"/>
      <c r="Z8" s="33"/>
      <c r="AA8" s="33"/>
      <c r="AB8" s="33"/>
      <c r="AC8" s="33"/>
      <c r="AD8" s="33"/>
    </row>
    <row r="9" spans="1:30" ht="14" x14ac:dyDescent="0.3">
      <c r="A9" s="357" t="s">
        <v>98</v>
      </c>
      <c r="B9" s="334">
        <v>791</v>
      </c>
      <c r="C9" s="334">
        <v>1019</v>
      </c>
      <c r="D9" s="334">
        <v>593</v>
      </c>
      <c r="E9" s="334">
        <v>456</v>
      </c>
      <c r="F9" s="334">
        <v>459</v>
      </c>
      <c r="G9" s="334">
        <v>205</v>
      </c>
      <c r="H9" s="334">
        <v>224</v>
      </c>
      <c r="I9" s="334">
        <v>175</v>
      </c>
      <c r="J9" s="334">
        <v>133</v>
      </c>
      <c r="K9" s="714">
        <v>79</v>
      </c>
      <c r="L9" s="334">
        <v>2</v>
      </c>
      <c r="M9" s="334">
        <v>57</v>
      </c>
      <c r="N9" s="334">
        <v>37</v>
      </c>
      <c r="O9" s="334">
        <v>74</v>
      </c>
      <c r="P9" s="334">
        <v>2</v>
      </c>
      <c r="Q9" s="356">
        <f>AVERAGE(B9:P9)</f>
        <v>287.06666666666666</v>
      </c>
      <c r="R9" s="356">
        <f>MAX(B9:P9)</f>
        <v>1019</v>
      </c>
      <c r="S9" s="356">
        <f>AVERAGE(H9:M9)</f>
        <v>111.66666666666667</v>
      </c>
      <c r="T9" s="338"/>
      <c r="U9" s="338"/>
      <c r="V9" s="33"/>
      <c r="W9" s="33"/>
      <c r="X9" s="33"/>
      <c r="Y9" s="33"/>
      <c r="Z9" s="33"/>
      <c r="AA9" s="33"/>
      <c r="AB9" s="33"/>
      <c r="AC9" s="33"/>
      <c r="AD9" s="33"/>
    </row>
    <row r="10" spans="1:30" ht="14" x14ac:dyDescent="0.3">
      <c r="A10" s="357" t="s">
        <v>99</v>
      </c>
      <c r="B10" s="711">
        <v>393</v>
      </c>
      <c r="C10" s="711">
        <v>547</v>
      </c>
      <c r="D10" s="711">
        <v>348</v>
      </c>
      <c r="E10" s="711">
        <v>487</v>
      </c>
      <c r="F10" s="711">
        <v>490</v>
      </c>
      <c r="G10" s="711">
        <v>200</v>
      </c>
      <c r="H10" s="711">
        <v>192</v>
      </c>
      <c r="I10" s="711">
        <v>172</v>
      </c>
      <c r="J10" s="711">
        <v>127</v>
      </c>
      <c r="K10" s="711">
        <v>92</v>
      </c>
      <c r="L10" s="711">
        <v>9</v>
      </c>
      <c r="M10" s="711">
        <v>80</v>
      </c>
      <c r="N10" s="711">
        <v>39</v>
      </c>
      <c r="O10" s="711">
        <v>111</v>
      </c>
      <c r="P10" s="711">
        <v>40</v>
      </c>
      <c r="Q10" s="356">
        <f>AVERAGE(B10:P10)</f>
        <v>221.8</v>
      </c>
      <c r="R10" s="356">
        <f>MAX(B10:P10)</f>
        <v>547</v>
      </c>
      <c r="S10" s="356">
        <f>AVERAGE(H10:M10)</f>
        <v>112</v>
      </c>
      <c r="T10" s="338"/>
      <c r="U10" s="338"/>
      <c r="V10" s="33"/>
      <c r="W10" s="33"/>
      <c r="X10" s="33"/>
      <c r="Y10" s="33"/>
      <c r="Z10" s="33"/>
      <c r="AA10" s="33"/>
      <c r="AB10" s="33"/>
      <c r="AC10" s="33"/>
      <c r="AD10" s="33"/>
    </row>
    <row r="14" spans="1:30" x14ac:dyDescent="0.3">
      <c r="B14" s="841" t="s">
        <v>163</v>
      </c>
      <c r="C14" s="841"/>
      <c r="D14" s="841"/>
      <c r="E14" s="841"/>
      <c r="F14" s="841"/>
      <c r="G14" s="841"/>
      <c r="H14" s="841"/>
      <c r="I14" s="841"/>
      <c r="J14" s="841"/>
      <c r="K14" s="841"/>
      <c r="L14" s="841"/>
      <c r="M14" s="841"/>
    </row>
    <row r="15" spans="1:30" ht="15.5" x14ac:dyDescent="0.35">
      <c r="A15" s="358"/>
      <c r="B15" s="86" t="s">
        <v>81</v>
      </c>
      <c r="C15" s="86" t="s">
        <v>82</v>
      </c>
      <c r="D15" s="86" t="s">
        <v>83</v>
      </c>
      <c r="E15" s="86" t="s">
        <v>84</v>
      </c>
      <c r="F15" s="86" t="s">
        <v>85</v>
      </c>
      <c r="G15" s="86" t="s">
        <v>86</v>
      </c>
      <c r="H15" s="86" t="s">
        <v>87</v>
      </c>
      <c r="I15" s="86" t="s">
        <v>88</v>
      </c>
      <c r="J15" s="86" t="s">
        <v>89</v>
      </c>
      <c r="K15" s="710" t="s">
        <v>90</v>
      </c>
      <c r="L15" s="86" t="s">
        <v>91</v>
      </c>
      <c r="M15" s="86" t="s">
        <v>92</v>
      </c>
    </row>
    <row r="16" spans="1:30" ht="14" x14ac:dyDescent="0.3">
      <c r="A16" s="359" t="s">
        <v>31</v>
      </c>
      <c r="B16" s="337">
        <f t="shared" ref="B16:G16" si="0">B6</f>
        <v>695</v>
      </c>
      <c r="C16" s="337">
        <f t="shared" si="0"/>
        <v>789</v>
      </c>
      <c r="D16" s="337">
        <f t="shared" si="0"/>
        <v>784</v>
      </c>
      <c r="E16" s="337">
        <f t="shared" si="0"/>
        <v>465</v>
      </c>
      <c r="F16" s="337">
        <f t="shared" si="0"/>
        <v>466</v>
      </c>
      <c r="G16" s="337">
        <f t="shared" si="0"/>
        <v>339</v>
      </c>
      <c r="H16" s="337">
        <f>AVERAGE(H6:I6)</f>
        <v>382.5</v>
      </c>
      <c r="I16" s="337">
        <f>AVERAGE(J6:K6)</f>
        <v>361</v>
      </c>
      <c r="J16" s="337">
        <f>AVERAGE(L6:M6)</f>
        <v>1057</v>
      </c>
      <c r="K16" s="337">
        <f>N6</f>
        <v>167</v>
      </c>
      <c r="L16" s="337">
        <f t="shared" ref="L16:M20" si="1">O6</f>
        <v>483</v>
      </c>
      <c r="M16" s="337">
        <f t="shared" si="1"/>
        <v>752</v>
      </c>
    </row>
    <row r="17" spans="1:13" ht="14" x14ac:dyDescent="0.3">
      <c r="A17" s="359" t="s">
        <v>32</v>
      </c>
      <c r="B17" s="337">
        <f t="shared" ref="B17:G20" si="2">B7</f>
        <v>1453</v>
      </c>
      <c r="C17" s="337">
        <f t="shared" si="2"/>
        <v>1467</v>
      </c>
      <c r="D17" s="337">
        <f t="shared" si="2"/>
        <v>1084</v>
      </c>
      <c r="E17" s="337">
        <f t="shared" si="2"/>
        <v>554</v>
      </c>
      <c r="F17" s="337">
        <f t="shared" si="2"/>
        <v>555</v>
      </c>
      <c r="G17" s="337">
        <f t="shared" si="2"/>
        <v>303</v>
      </c>
      <c r="H17" s="337">
        <f>AVERAGE(H7:I7)</f>
        <v>541.5</v>
      </c>
      <c r="I17" s="337">
        <f>AVERAGE(J7:K7)</f>
        <v>467</v>
      </c>
      <c r="J17" s="337">
        <f>AVERAGE(L7:M7)</f>
        <v>1103</v>
      </c>
      <c r="K17" s="337">
        <f>N7</f>
        <v>488</v>
      </c>
      <c r="L17" s="337">
        <f t="shared" si="1"/>
        <v>1486</v>
      </c>
      <c r="M17" s="337">
        <f t="shared" si="1"/>
        <v>7833</v>
      </c>
    </row>
    <row r="18" spans="1:13" ht="14" x14ac:dyDescent="0.3">
      <c r="A18" s="360" t="s">
        <v>100</v>
      </c>
      <c r="B18" s="337">
        <f t="shared" si="2"/>
        <v>693</v>
      </c>
      <c r="C18" s="337">
        <f t="shared" si="2"/>
        <v>973</v>
      </c>
      <c r="D18" s="337">
        <f t="shared" si="2"/>
        <v>579</v>
      </c>
      <c r="E18" s="337">
        <f t="shared" si="2"/>
        <v>464</v>
      </c>
      <c r="F18" s="337">
        <f t="shared" si="2"/>
        <v>465</v>
      </c>
      <c r="G18" s="337">
        <f t="shared" si="2"/>
        <v>211</v>
      </c>
      <c r="H18" s="337">
        <f>AVERAGE(H8:I8)</f>
        <v>198</v>
      </c>
      <c r="I18" s="337">
        <f>AVERAGE(J8:K8)</f>
        <v>106.5</v>
      </c>
      <c r="J18" s="337">
        <f>AVERAGE(L8:M8)</f>
        <v>29</v>
      </c>
      <c r="K18" s="337">
        <f>N8</f>
        <v>37</v>
      </c>
      <c r="L18" s="337">
        <f t="shared" si="1"/>
        <v>69</v>
      </c>
      <c r="M18" s="337">
        <f t="shared" si="1"/>
        <v>8</v>
      </c>
    </row>
    <row r="19" spans="1:13" ht="14" x14ac:dyDescent="0.3">
      <c r="A19" s="360" t="s">
        <v>267</v>
      </c>
      <c r="B19" s="337">
        <f t="shared" si="2"/>
        <v>791</v>
      </c>
      <c r="C19" s="337">
        <f t="shared" si="2"/>
        <v>1019</v>
      </c>
      <c r="D19" s="337">
        <f t="shared" si="2"/>
        <v>593</v>
      </c>
      <c r="E19" s="337">
        <f t="shared" si="2"/>
        <v>456</v>
      </c>
      <c r="F19" s="337">
        <f t="shared" si="2"/>
        <v>459</v>
      </c>
      <c r="G19" s="337">
        <f t="shared" si="2"/>
        <v>205</v>
      </c>
      <c r="H19" s="337">
        <f>AVERAGE(H9:I9)</f>
        <v>199.5</v>
      </c>
      <c r="I19" s="337">
        <f>AVERAGE(J9:K9)</f>
        <v>106</v>
      </c>
      <c r="J19" s="337">
        <f>AVERAGE(L9:M9)</f>
        <v>29.5</v>
      </c>
      <c r="K19" s="337">
        <f>N9</f>
        <v>37</v>
      </c>
      <c r="L19" s="337">
        <f t="shared" si="1"/>
        <v>74</v>
      </c>
      <c r="M19" s="337">
        <f t="shared" si="1"/>
        <v>2</v>
      </c>
    </row>
    <row r="20" spans="1:13" ht="14" x14ac:dyDescent="0.3">
      <c r="A20" s="360" t="s">
        <v>268</v>
      </c>
      <c r="B20" s="337">
        <f t="shared" si="2"/>
        <v>393</v>
      </c>
      <c r="C20" s="337">
        <f t="shared" si="2"/>
        <v>547</v>
      </c>
      <c r="D20" s="337">
        <f t="shared" si="2"/>
        <v>348</v>
      </c>
      <c r="E20" s="337">
        <f t="shared" si="2"/>
        <v>487</v>
      </c>
      <c r="F20" s="337">
        <f t="shared" si="2"/>
        <v>490</v>
      </c>
      <c r="G20" s="337">
        <f t="shared" si="2"/>
        <v>200</v>
      </c>
      <c r="H20" s="337">
        <f>AVERAGE(H10:I10)</f>
        <v>182</v>
      </c>
      <c r="I20" s="337">
        <f>AVERAGE(J10:K10)</f>
        <v>109.5</v>
      </c>
      <c r="J20" s="337">
        <f>AVERAGE(L10:M10)</f>
        <v>44.5</v>
      </c>
      <c r="K20" s="337">
        <f>N10</f>
        <v>39</v>
      </c>
      <c r="L20" s="337">
        <f t="shared" si="1"/>
        <v>111</v>
      </c>
      <c r="M20" s="337">
        <f t="shared" si="1"/>
        <v>40</v>
      </c>
    </row>
    <row r="21" spans="1:13" x14ac:dyDescent="0.3">
      <c r="G21" s="1" t="s">
        <v>259</v>
      </c>
    </row>
    <row r="22" spans="1:13" ht="15.5" x14ac:dyDescent="0.3">
      <c r="A22" s="336" t="s">
        <v>265</v>
      </c>
      <c r="H22" s="126">
        <v>785</v>
      </c>
      <c r="I22" s="709">
        <f>AVERAGE(C45:D45)</f>
        <v>650</v>
      </c>
      <c r="J22" s="709">
        <f>AVERAGE(E45:F45)</f>
        <v>585.5</v>
      </c>
      <c r="K22" s="126">
        <v>504</v>
      </c>
      <c r="L22" s="126">
        <v>575</v>
      </c>
      <c r="M22" s="74">
        <v>474</v>
      </c>
    </row>
    <row r="23" spans="1:13" ht="15.5" x14ac:dyDescent="0.3">
      <c r="A23" s="336" t="s">
        <v>266</v>
      </c>
      <c r="H23" s="715">
        <v>684</v>
      </c>
      <c r="I23" s="715">
        <f>AVERAGE(C46:D46)</f>
        <v>658</v>
      </c>
      <c r="J23" s="715">
        <f>AVERAGE(E46:F46)</f>
        <v>547.5</v>
      </c>
      <c r="K23" s="700">
        <v>453</v>
      </c>
      <c r="L23" s="700">
        <v>578</v>
      </c>
      <c r="M23" s="708">
        <v>569</v>
      </c>
    </row>
    <row r="43" spans="1:9" x14ac:dyDescent="0.3">
      <c r="A43" s="1" t="s">
        <v>264</v>
      </c>
    </row>
    <row r="44" spans="1:9" ht="15.5" x14ac:dyDescent="0.35">
      <c r="A44" s="339"/>
      <c r="B44" s="535">
        <v>40385</v>
      </c>
      <c r="C44" s="535">
        <v>40399</v>
      </c>
      <c r="D44" s="534">
        <v>40413</v>
      </c>
      <c r="E44" s="534">
        <v>40428</v>
      </c>
      <c r="F44" s="536">
        <v>40448</v>
      </c>
      <c r="G44" s="536">
        <v>40477</v>
      </c>
      <c r="H44" s="536">
        <v>40497</v>
      </c>
      <c r="I44" s="535">
        <v>40514</v>
      </c>
    </row>
    <row r="45" spans="1:9" ht="15.5" x14ac:dyDescent="0.25">
      <c r="A45" s="336" t="s">
        <v>98</v>
      </c>
      <c r="B45" s="192">
        <v>785</v>
      </c>
      <c r="C45" s="287">
        <v>618</v>
      </c>
      <c r="D45" s="291">
        <v>682</v>
      </c>
      <c r="E45" s="702">
        <v>468</v>
      </c>
      <c r="F45" s="288">
        <v>703</v>
      </c>
      <c r="G45" s="84">
        <v>504</v>
      </c>
      <c r="H45" s="288">
        <v>575</v>
      </c>
      <c r="I45" s="302">
        <v>474</v>
      </c>
    </row>
    <row r="46" spans="1:9" ht="15.5" x14ac:dyDescent="0.25">
      <c r="A46" s="336" t="s">
        <v>99</v>
      </c>
      <c r="B46" s="373">
        <v>684</v>
      </c>
      <c r="C46" s="376">
        <v>684</v>
      </c>
      <c r="D46" s="705">
        <v>632</v>
      </c>
      <c r="E46" s="705">
        <v>494</v>
      </c>
      <c r="F46" s="377">
        <v>601</v>
      </c>
      <c r="G46" s="372">
        <v>453</v>
      </c>
      <c r="H46" s="377">
        <v>578</v>
      </c>
      <c r="I46" s="383">
        <v>569</v>
      </c>
    </row>
    <row r="49" spans="5:5" ht="15.5" x14ac:dyDescent="0.35">
      <c r="E49" s="136">
        <f>AVERAGE(B45:F46)</f>
        <v>635.1</v>
      </c>
    </row>
  </sheetData>
  <mergeCells count="3">
    <mergeCell ref="B14:M14"/>
    <mergeCell ref="A1:P1"/>
    <mergeCell ref="A2:P2"/>
  </mergeCells>
  <phoneticPr fontId="0" type="noConversion"/>
  <pageMargins left="0.25" right="0.25" top="1" bottom="1" header="0.5" footer="0.5"/>
  <pageSetup scale="50" orientation="landscape"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U31"/>
  <sheetViews>
    <sheetView zoomScale="75" zoomScaleNormal="75" workbookViewId="0">
      <selection activeCell="E8" sqref="E8:P8"/>
    </sheetView>
  </sheetViews>
  <sheetFormatPr defaultRowHeight="13" x14ac:dyDescent="0.3"/>
  <cols>
    <col min="1" max="1" width="24.54296875" style="1" bestFit="1" customWidth="1"/>
    <col min="2" max="2" width="12" bestFit="1" customWidth="1"/>
    <col min="3" max="3" width="12.08984375" bestFit="1" customWidth="1"/>
    <col min="4" max="5" width="12.36328125" bestFit="1" customWidth="1"/>
    <col min="6" max="6" width="12.08984375" bestFit="1" customWidth="1"/>
    <col min="7" max="7" width="12" bestFit="1" customWidth="1"/>
    <col min="8" max="8" width="10.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12.36328125" customWidth="1"/>
    <col min="15" max="15" width="12.08984375" bestFit="1" customWidth="1"/>
    <col min="16" max="16" width="12" bestFit="1" customWidth="1"/>
    <col min="17" max="17" width="9.6328125" bestFit="1" customWidth="1"/>
    <col min="18" max="18" width="6.54296875" bestFit="1" customWidth="1"/>
    <col min="19" max="19" width="10.54296875" bestFit="1" customWidth="1"/>
    <col min="20" max="21" width="11.08984375" bestFit="1" customWidth="1"/>
    <col min="22" max="22" width="9.90625" bestFit="1" customWidth="1"/>
    <col min="23" max="23" width="10.36328125" bestFit="1" customWidth="1"/>
    <col min="24" max="24" width="10.90625" bestFit="1" customWidth="1"/>
    <col min="25" max="25" width="11.54296875" customWidth="1"/>
    <col min="26" max="26" width="10.36328125" customWidth="1"/>
    <col min="27" max="27" width="11.90625" customWidth="1"/>
    <col min="28" max="28" width="10.6328125" customWidth="1"/>
    <col min="29" max="29" width="11" customWidth="1"/>
    <col min="30" max="30" width="10.90625" bestFit="1" customWidth="1"/>
    <col min="31" max="31" width="10" bestFit="1" customWidth="1"/>
  </cols>
  <sheetData>
    <row r="1" spans="1:21" x14ac:dyDescent="0.3">
      <c r="A1" s="832" t="s">
        <v>3</v>
      </c>
      <c r="B1" s="832"/>
      <c r="C1" s="832"/>
      <c r="D1" s="832"/>
      <c r="E1" s="832"/>
      <c r="F1" s="832"/>
      <c r="G1" s="832"/>
      <c r="H1" s="832"/>
      <c r="I1" s="832"/>
      <c r="J1" s="832"/>
      <c r="K1" s="832"/>
      <c r="L1" s="832"/>
      <c r="M1" s="832"/>
      <c r="N1" s="832"/>
      <c r="O1" s="832"/>
      <c r="P1" s="832"/>
    </row>
    <row r="2" spans="1:21" x14ac:dyDescent="0.3">
      <c r="A2" s="832" t="s">
        <v>7</v>
      </c>
      <c r="B2" s="832"/>
      <c r="C2" s="832"/>
      <c r="D2" s="832"/>
      <c r="E2" s="832"/>
      <c r="F2" s="832"/>
      <c r="G2" s="832"/>
      <c r="H2" s="832"/>
      <c r="I2" s="832"/>
      <c r="J2" s="832"/>
      <c r="K2" s="832"/>
      <c r="L2" s="832"/>
      <c r="M2" s="832"/>
      <c r="N2" s="832"/>
      <c r="O2" s="832"/>
      <c r="P2" s="832"/>
    </row>
    <row r="5" spans="1:21" s="7" customFormat="1" ht="28" x14ac:dyDescent="0.3">
      <c r="A5" s="354" t="s">
        <v>2</v>
      </c>
      <c r="B5" s="534">
        <v>40203</v>
      </c>
      <c r="C5" s="534">
        <v>40231</v>
      </c>
      <c r="D5" s="534">
        <v>40266</v>
      </c>
      <c r="E5" s="534">
        <v>40294</v>
      </c>
      <c r="F5" s="534">
        <v>40322</v>
      </c>
      <c r="G5" s="534">
        <v>40358</v>
      </c>
      <c r="H5" s="535">
        <v>40372</v>
      </c>
      <c r="I5" s="535">
        <v>40385</v>
      </c>
      <c r="J5" s="535">
        <v>40399</v>
      </c>
      <c r="K5" s="534">
        <v>40413</v>
      </c>
      <c r="L5" s="534">
        <v>40428</v>
      </c>
      <c r="M5" s="536">
        <v>40448</v>
      </c>
      <c r="N5" s="536">
        <v>40477</v>
      </c>
      <c r="O5" s="536">
        <v>40497</v>
      </c>
      <c r="P5" s="535">
        <v>40514</v>
      </c>
      <c r="Q5" s="333" t="s">
        <v>106</v>
      </c>
      <c r="R5" s="333" t="s">
        <v>95</v>
      </c>
      <c r="S5" s="333" t="s">
        <v>124</v>
      </c>
      <c r="T5" s="333" t="s">
        <v>140</v>
      </c>
      <c r="U5" s="333" t="s">
        <v>141</v>
      </c>
    </row>
    <row r="6" spans="1:21" s="3" customFormat="1" ht="15.5" x14ac:dyDescent="0.35">
      <c r="A6" s="361" t="s">
        <v>31</v>
      </c>
      <c r="B6" s="735">
        <v>5.6</v>
      </c>
      <c r="C6" s="735">
        <v>17.2</v>
      </c>
      <c r="D6" s="735">
        <v>29.8</v>
      </c>
      <c r="E6" s="735">
        <v>58.6</v>
      </c>
      <c r="F6" s="735">
        <v>14.8</v>
      </c>
      <c r="G6" s="735">
        <v>10.9</v>
      </c>
      <c r="H6" s="736">
        <v>10</v>
      </c>
      <c r="I6" s="736">
        <v>9.4</v>
      </c>
      <c r="J6" s="737">
        <v>4.2</v>
      </c>
      <c r="K6" s="736">
        <v>10.8</v>
      </c>
      <c r="L6" s="735">
        <v>4.8</v>
      </c>
      <c r="M6" s="735">
        <v>18.399999999999999</v>
      </c>
      <c r="N6" s="160">
        <v>4.0999999999999996</v>
      </c>
      <c r="O6" s="735">
        <v>0</v>
      </c>
      <c r="P6" s="737">
        <v>4</v>
      </c>
      <c r="Q6" s="306">
        <f>AVERAGE(B6:P6)</f>
        <v>13.506666666666666</v>
      </c>
      <c r="R6" s="306">
        <f>MAX(B6:P6)</f>
        <v>58.6</v>
      </c>
      <c r="S6" s="306">
        <f>AVERAGE(H6:M6)</f>
        <v>9.6</v>
      </c>
      <c r="T6" s="306">
        <f>AVERAGE(B9:P10)</f>
        <v>8.0931034482758619</v>
      </c>
      <c r="U6" s="306">
        <f>AVERAGE(H9:M10)</f>
        <v>9.7999999999999989</v>
      </c>
    </row>
    <row r="7" spans="1:21" s="3" customFormat="1" ht="15.5" x14ac:dyDescent="0.35">
      <c r="A7" s="355" t="s">
        <v>32</v>
      </c>
      <c r="B7" s="738">
        <v>5.2</v>
      </c>
      <c r="C7" s="716"/>
      <c r="D7" s="716">
        <v>9.8000000000000007</v>
      </c>
      <c r="E7" s="716">
        <v>58.4</v>
      </c>
      <c r="F7" s="716">
        <v>39</v>
      </c>
      <c r="G7" s="716">
        <v>11.2</v>
      </c>
      <c r="H7" s="717">
        <v>9.8000000000000007</v>
      </c>
      <c r="I7" s="717">
        <v>14.2</v>
      </c>
      <c r="J7" s="718">
        <v>8.1999999999999993</v>
      </c>
      <c r="K7" s="719">
        <v>7.6</v>
      </c>
      <c r="L7" s="716">
        <v>23</v>
      </c>
      <c r="M7" s="716">
        <v>12.6</v>
      </c>
      <c r="N7" s="138">
        <v>39.299999999999997</v>
      </c>
      <c r="O7" s="716">
        <v>4.5999999999999996</v>
      </c>
      <c r="P7" s="739">
        <v>4.2</v>
      </c>
      <c r="Q7" s="306">
        <f>AVERAGE(B7:P7)</f>
        <v>17.649999999999995</v>
      </c>
      <c r="R7" s="306">
        <f>MAX(B7:P7)</f>
        <v>58.4</v>
      </c>
      <c r="S7" s="306">
        <f>AVERAGE(H7:M7)</f>
        <v>12.566666666666668</v>
      </c>
      <c r="T7" s="153"/>
      <c r="U7" s="153"/>
    </row>
    <row r="8" spans="1:21" s="3" customFormat="1" ht="15.5" x14ac:dyDescent="0.35">
      <c r="A8" s="357" t="s">
        <v>100</v>
      </c>
      <c r="B8" s="716"/>
      <c r="C8" s="716"/>
      <c r="D8" s="716"/>
      <c r="E8" s="716">
        <v>17.2</v>
      </c>
      <c r="F8" s="716">
        <v>16</v>
      </c>
      <c r="G8" s="716">
        <v>0</v>
      </c>
      <c r="H8" s="717">
        <v>4</v>
      </c>
      <c r="I8" s="718">
        <v>6</v>
      </c>
      <c r="J8" s="718">
        <v>5</v>
      </c>
      <c r="K8" s="719">
        <v>8</v>
      </c>
      <c r="L8" s="716">
        <v>13.2</v>
      </c>
      <c r="M8" s="716">
        <v>19.399999999999999</v>
      </c>
      <c r="N8" s="138">
        <v>17.600000000000001</v>
      </c>
      <c r="O8" s="716">
        <v>5</v>
      </c>
      <c r="P8" s="718">
        <v>7.6</v>
      </c>
      <c r="Q8" s="306">
        <f>AVERAGE(B8:P8)</f>
        <v>9.9166666666666661</v>
      </c>
      <c r="R8" s="306">
        <f>MAX(B8:P8)</f>
        <v>19.399999999999999</v>
      </c>
      <c r="S8" s="306">
        <f>AVERAGE(H8:M8)</f>
        <v>9.2666666666666675</v>
      </c>
      <c r="T8" s="153"/>
      <c r="U8" s="153"/>
    </row>
    <row r="9" spans="1:21" s="3" customFormat="1" ht="15.5" x14ac:dyDescent="0.35">
      <c r="A9" s="357" t="s">
        <v>98</v>
      </c>
      <c r="B9" s="740"/>
      <c r="C9" s="718">
        <v>0</v>
      </c>
      <c r="D9" s="718">
        <v>5.4</v>
      </c>
      <c r="E9" s="718">
        <v>14.2</v>
      </c>
      <c r="F9" s="718">
        <v>10.8</v>
      </c>
      <c r="G9" s="718">
        <v>0</v>
      </c>
      <c r="H9" s="718">
        <v>5.0999999999999996</v>
      </c>
      <c r="I9" s="718">
        <v>4.4000000000000004</v>
      </c>
      <c r="J9" s="718">
        <v>4.5999999999999996</v>
      </c>
      <c r="K9" s="740">
        <v>8.1999999999999993</v>
      </c>
      <c r="L9" s="718">
        <v>12.4</v>
      </c>
      <c r="M9" s="718">
        <v>19</v>
      </c>
      <c r="N9" s="138">
        <v>7.8</v>
      </c>
      <c r="O9" s="718">
        <v>4</v>
      </c>
      <c r="P9" s="718">
        <v>5.6</v>
      </c>
      <c r="Q9" s="306">
        <f>AVERAGE(B9:P9)</f>
        <v>7.25</v>
      </c>
      <c r="R9" s="306">
        <f>MAX(B9:P9)</f>
        <v>19</v>
      </c>
      <c r="S9" s="306">
        <f>AVERAGE(H9:M9)</f>
        <v>8.9499999999999993</v>
      </c>
      <c r="T9" s="153"/>
      <c r="U9" s="153"/>
    </row>
    <row r="10" spans="1:21" s="3" customFormat="1" ht="15.5" x14ac:dyDescent="0.35">
      <c r="A10" s="357" t="s">
        <v>99</v>
      </c>
      <c r="B10" s="736">
        <v>13.3</v>
      </c>
      <c r="C10" s="735">
        <v>0</v>
      </c>
      <c r="D10" s="735">
        <v>4.5999999999999996</v>
      </c>
      <c r="E10" s="735">
        <v>17.8</v>
      </c>
      <c r="F10" s="735">
        <v>12.4</v>
      </c>
      <c r="G10" s="735">
        <v>0</v>
      </c>
      <c r="H10" s="736">
        <v>4.7</v>
      </c>
      <c r="I10" s="736">
        <v>5.2</v>
      </c>
      <c r="J10" s="741">
        <v>4.4000000000000004</v>
      </c>
      <c r="K10" s="735">
        <v>5.6</v>
      </c>
      <c r="L10" s="735">
        <v>25.2</v>
      </c>
      <c r="M10" s="735">
        <v>18.8</v>
      </c>
      <c r="N10" s="160">
        <v>8.8000000000000007</v>
      </c>
      <c r="O10" s="735">
        <v>4.5999999999999996</v>
      </c>
      <c r="P10" s="737">
        <v>7.8</v>
      </c>
      <c r="Q10" s="306">
        <f>AVERAGE(B10:P10)</f>
        <v>8.879999999999999</v>
      </c>
      <c r="R10" s="306">
        <f>MAX(B10:P10)</f>
        <v>25.2</v>
      </c>
      <c r="S10" s="306">
        <f>AVERAGE(H10:M10)</f>
        <v>10.649999999999999</v>
      </c>
      <c r="T10" s="153"/>
      <c r="U10" s="153"/>
    </row>
    <row r="12" spans="1:21" x14ac:dyDescent="0.3">
      <c r="A12" s="1" t="s">
        <v>10</v>
      </c>
      <c r="B12" s="77"/>
      <c r="C12" s="77"/>
      <c r="D12" s="77"/>
      <c r="E12" s="77"/>
    </row>
    <row r="13" spans="1:21" x14ac:dyDescent="0.3">
      <c r="B13" s="77"/>
      <c r="C13" s="77"/>
      <c r="D13" s="77"/>
      <c r="E13" s="77"/>
    </row>
    <row r="15" spans="1:21" x14ac:dyDescent="0.3">
      <c r="A15" s="73"/>
      <c r="B15" s="73" t="s">
        <v>81</v>
      </c>
      <c r="C15" s="73" t="s">
        <v>82</v>
      </c>
      <c r="D15" s="73" t="s">
        <v>83</v>
      </c>
      <c r="E15" s="73" t="s">
        <v>84</v>
      </c>
      <c r="F15" s="73" t="s">
        <v>85</v>
      </c>
      <c r="G15" s="73" t="s">
        <v>86</v>
      </c>
      <c r="H15" s="73" t="s">
        <v>87</v>
      </c>
      <c r="I15" s="73" t="s">
        <v>88</v>
      </c>
      <c r="J15" s="73" t="s">
        <v>89</v>
      </c>
      <c r="K15" s="73" t="s">
        <v>90</v>
      </c>
      <c r="L15" s="73" t="s">
        <v>91</v>
      </c>
      <c r="M15" s="73" t="s">
        <v>92</v>
      </c>
      <c r="N15" s="130"/>
    </row>
    <row r="16" spans="1:21" ht="15.5" x14ac:dyDescent="0.3">
      <c r="A16" s="720" t="s">
        <v>31</v>
      </c>
      <c r="B16" s="96">
        <f t="shared" ref="B16:G16" si="0">B6</f>
        <v>5.6</v>
      </c>
      <c r="C16" s="96">
        <f t="shared" si="0"/>
        <v>17.2</v>
      </c>
      <c r="D16" s="96">
        <f t="shared" si="0"/>
        <v>29.8</v>
      </c>
      <c r="E16" s="96">
        <f t="shared" si="0"/>
        <v>58.6</v>
      </c>
      <c r="F16" s="96">
        <f t="shared" si="0"/>
        <v>14.8</v>
      </c>
      <c r="G16" s="96">
        <f t="shared" si="0"/>
        <v>10.9</v>
      </c>
      <c r="H16" s="96">
        <f>AVERAGE(H6:I6)</f>
        <v>9.6999999999999993</v>
      </c>
      <c r="I16" s="96">
        <f>AVERAGE(J6:K6)</f>
        <v>7.5</v>
      </c>
      <c r="J16" s="96">
        <f>AVERAGE(L6:M6)</f>
        <v>11.6</v>
      </c>
      <c r="K16" s="96">
        <f>N6</f>
        <v>4.0999999999999996</v>
      </c>
      <c r="L16" s="96">
        <f t="shared" ref="L16:M20" si="1">O6</f>
        <v>0</v>
      </c>
      <c r="M16" s="96">
        <f t="shared" si="1"/>
        <v>4</v>
      </c>
      <c r="N16" s="2"/>
    </row>
    <row r="17" spans="1:14" ht="15.5" x14ac:dyDescent="0.3">
      <c r="A17" s="720" t="s">
        <v>32</v>
      </c>
      <c r="B17" s="96">
        <f t="shared" ref="B17:G20" si="2">B7</f>
        <v>5.2</v>
      </c>
      <c r="C17" s="96">
        <f t="shared" si="2"/>
        <v>0</v>
      </c>
      <c r="D17" s="96">
        <f t="shared" si="2"/>
        <v>9.8000000000000007</v>
      </c>
      <c r="E17" s="96">
        <f t="shared" si="2"/>
        <v>58.4</v>
      </c>
      <c r="F17" s="96">
        <f t="shared" si="2"/>
        <v>39</v>
      </c>
      <c r="G17" s="96">
        <f t="shared" si="2"/>
        <v>11.2</v>
      </c>
      <c r="H17" s="96">
        <f>AVERAGE(H7:I7)</f>
        <v>12</v>
      </c>
      <c r="I17" s="96">
        <f>AVERAGE(J7:K7)</f>
        <v>7.8999999999999995</v>
      </c>
      <c r="J17" s="96">
        <f>AVERAGE(L7:M7)</f>
        <v>17.8</v>
      </c>
      <c r="K17" s="96">
        <f>N7</f>
        <v>39.299999999999997</v>
      </c>
      <c r="L17" s="96">
        <f t="shared" si="1"/>
        <v>4.5999999999999996</v>
      </c>
      <c r="M17" s="96">
        <f t="shared" si="1"/>
        <v>4.2</v>
      </c>
      <c r="N17" s="2"/>
    </row>
    <row r="18" spans="1:14" ht="15.5" x14ac:dyDescent="0.3">
      <c r="A18" s="721" t="s">
        <v>100</v>
      </c>
      <c r="B18" s="96">
        <f t="shared" si="2"/>
        <v>0</v>
      </c>
      <c r="C18" s="96">
        <f t="shared" si="2"/>
        <v>0</v>
      </c>
      <c r="D18" s="96">
        <f t="shared" si="2"/>
        <v>0</v>
      </c>
      <c r="E18" s="96">
        <f t="shared" si="2"/>
        <v>17.2</v>
      </c>
      <c r="F18" s="96">
        <f t="shared" si="2"/>
        <v>16</v>
      </c>
      <c r="G18" s="96">
        <f t="shared" si="2"/>
        <v>0</v>
      </c>
      <c r="H18" s="96">
        <f>AVERAGE(H8:I8)</f>
        <v>5</v>
      </c>
      <c r="I18" s="96">
        <f>AVERAGE(J8:K8)</f>
        <v>6.5</v>
      </c>
      <c r="J18" s="96">
        <f>AVERAGE(L8:M8)</f>
        <v>16.299999999999997</v>
      </c>
      <c r="K18" s="96">
        <f>N8</f>
        <v>17.600000000000001</v>
      </c>
      <c r="L18" s="96">
        <f t="shared" si="1"/>
        <v>5</v>
      </c>
      <c r="M18" s="96">
        <f t="shared" si="1"/>
        <v>7.6</v>
      </c>
      <c r="N18" s="2"/>
    </row>
    <row r="19" spans="1:14" ht="15.5" x14ac:dyDescent="0.3">
      <c r="A19" s="721" t="s">
        <v>98</v>
      </c>
      <c r="B19" s="96">
        <f t="shared" si="2"/>
        <v>0</v>
      </c>
      <c r="C19" s="96">
        <f t="shared" si="2"/>
        <v>0</v>
      </c>
      <c r="D19" s="96">
        <f t="shared" si="2"/>
        <v>5.4</v>
      </c>
      <c r="E19" s="96">
        <f t="shared" si="2"/>
        <v>14.2</v>
      </c>
      <c r="F19" s="96">
        <f t="shared" si="2"/>
        <v>10.8</v>
      </c>
      <c r="G19" s="96">
        <f t="shared" si="2"/>
        <v>0</v>
      </c>
      <c r="H19" s="96">
        <f>AVERAGE(H9:I9)</f>
        <v>4.75</v>
      </c>
      <c r="I19" s="96">
        <f>AVERAGE(J9:K9)</f>
        <v>6.3999999999999995</v>
      </c>
      <c r="J19" s="96">
        <f>AVERAGE(L9:M9)</f>
        <v>15.7</v>
      </c>
      <c r="K19" s="96">
        <f>N9</f>
        <v>7.8</v>
      </c>
      <c r="L19" s="96">
        <f t="shared" si="1"/>
        <v>4</v>
      </c>
      <c r="M19" s="96">
        <f t="shared" si="1"/>
        <v>5.6</v>
      </c>
      <c r="N19" s="2"/>
    </row>
    <row r="20" spans="1:14" ht="15.5" x14ac:dyDescent="0.3">
      <c r="A20" s="721" t="s">
        <v>99</v>
      </c>
      <c r="B20" s="96">
        <f t="shared" si="2"/>
        <v>13.3</v>
      </c>
      <c r="C20" s="96">
        <f t="shared" si="2"/>
        <v>0</v>
      </c>
      <c r="D20" s="96">
        <f t="shared" si="2"/>
        <v>4.5999999999999996</v>
      </c>
      <c r="E20" s="96">
        <f t="shared" si="2"/>
        <v>17.8</v>
      </c>
      <c r="F20" s="96">
        <f t="shared" si="2"/>
        <v>12.4</v>
      </c>
      <c r="G20" s="96">
        <f t="shared" si="2"/>
        <v>0</v>
      </c>
      <c r="H20" s="96">
        <f>AVERAGE(H10:I10)</f>
        <v>4.95</v>
      </c>
      <c r="I20" s="96">
        <f>AVERAGE(J10:K10)</f>
        <v>5</v>
      </c>
      <c r="J20" s="96">
        <f>AVERAGE(L10:M10)</f>
        <v>22</v>
      </c>
      <c r="K20" s="96">
        <f>N10</f>
        <v>8.8000000000000007</v>
      </c>
      <c r="L20" s="96">
        <f t="shared" si="1"/>
        <v>4.5999999999999996</v>
      </c>
      <c r="M20" s="96">
        <f t="shared" si="1"/>
        <v>7.8</v>
      </c>
      <c r="N20" s="2"/>
    </row>
    <row r="31" spans="1:14" x14ac:dyDescent="0.3">
      <c r="G31" s="89"/>
    </row>
  </sheetData>
  <mergeCells count="2">
    <mergeCell ref="A1:P1"/>
    <mergeCell ref="A2:P2"/>
  </mergeCells>
  <phoneticPr fontId="0" type="noConversion"/>
  <pageMargins left="0.75" right="0.75" top="1" bottom="1" header="0.5" footer="0.5"/>
  <pageSetup scale="51" orientation="landscape" horizont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pageSetUpPr fitToPage="1"/>
  </sheetPr>
  <dimension ref="A1:AA22"/>
  <sheetViews>
    <sheetView zoomScale="75" zoomScaleNormal="75" workbookViewId="0">
      <selection activeCell="U15" sqref="U15"/>
    </sheetView>
  </sheetViews>
  <sheetFormatPr defaultRowHeight="13" x14ac:dyDescent="0.3"/>
  <cols>
    <col min="1" max="1" width="18.453125" style="1" bestFit="1" customWidth="1"/>
    <col min="2" max="2" width="12" bestFit="1" customWidth="1"/>
    <col min="3" max="3" width="11.6328125" bestFit="1" customWidth="1"/>
    <col min="4" max="4" width="12" bestFit="1" customWidth="1"/>
    <col min="5" max="5" width="12.36328125" bestFit="1" customWidth="1"/>
    <col min="6" max="6" width="12.54296875" bestFit="1" customWidth="1"/>
    <col min="7" max="7" width="12.08984375" bestFit="1" customWidth="1"/>
    <col min="8" max="8" width="12" bestFit="1" customWidth="1"/>
    <col min="9" max="9" width="11" bestFit="1" customWidth="1"/>
    <col min="10" max="10" width="11.453125" bestFit="1" customWidth="1"/>
    <col min="11" max="11" width="12" bestFit="1" customWidth="1"/>
    <col min="12" max="12" width="12.36328125" bestFit="1" customWidth="1"/>
    <col min="13" max="13" width="12.36328125" customWidth="1"/>
    <col min="14" max="16" width="12.08984375" bestFit="1" customWidth="1"/>
    <col min="17" max="17" width="9.6328125" bestFit="1" customWidth="1"/>
    <col min="18" max="18" width="11.54296875" bestFit="1" customWidth="1"/>
  </cols>
  <sheetData>
    <row r="1" spans="1:27" ht="15.5" x14ac:dyDescent="0.35">
      <c r="A1" s="812" t="s">
        <v>0</v>
      </c>
      <c r="B1" s="812"/>
      <c r="C1" s="812"/>
      <c r="D1" s="812"/>
      <c r="E1" s="812"/>
      <c r="F1" s="812"/>
      <c r="G1" s="812"/>
      <c r="H1" s="812"/>
      <c r="I1" s="812"/>
      <c r="J1" s="812"/>
      <c r="K1" s="812"/>
      <c r="L1" s="812"/>
      <c r="M1" s="812"/>
      <c r="N1" s="812"/>
      <c r="O1" s="812"/>
      <c r="P1" s="812"/>
    </row>
    <row r="3" spans="1:27" x14ac:dyDescent="0.3">
      <c r="A3" s="362" t="s">
        <v>1</v>
      </c>
    </row>
    <row r="4" spans="1:27" s="7" customFormat="1" ht="26" x14ac:dyDescent="0.3">
      <c r="A4" s="363" t="s">
        <v>2</v>
      </c>
      <c r="B4" s="534">
        <v>40203</v>
      </c>
      <c r="C4" s="534">
        <v>40231</v>
      </c>
      <c r="D4" s="534">
        <v>40266</v>
      </c>
      <c r="E4" s="534">
        <v>40294</v>
      </c>
      <c r="F4" s="534">
        <v>40322</v>
      </c>
      <c r="G4" s="534">
        <v>40358</v>
      </c>
      <c r="H4" s="535">
        <v>40372</v>
      </c>
      <c r="I4" s="535">
        <v>40385</v>
      </c>
      <c r="J4" s="535">
        <v>40399</v>
      </c>
      <c r="K4" s="534">
        <v>40413</v>
      </c>
      <c r="L4" s="534">
        <v>40428</v>
      </c>
      <c r="M4" s="536">
        <v>40448</v>
      </c>
      <c r="N4" s="536">
        <v>40477</v>
      </c>
      <c r="O4" s="536">
        <v>40497</v>
      </c>
      <c r="P4" s="535">
        <v>40514</v>
      </c>
      <c r="Q4" s="366" t="s">
        <v>29</v>
      </c>
      <c r="R4" s="367" t="s">
        <v>124</v>
      </c>
      <c r="S4" s="363" t="s">
        <v>95</v>
      </c>
    </row>
    <row r="5" spans="1:27" ht="15.5" x14ac:dyDescent="0.35">
      <c r="A5" s="210" t="s">
        <v>36</v>
      </c>
      <c r="B5" s="716">
        <v>2.1</v>
      </c>
      <c r="C5" s="716">
        <v>14</v>
      </c>
      <c r="D5" s="716">
        <v>1.8</v>
      </c>
      <c r="E5" s="716">
        <v>0.9</v>
      </c>
      <c r="F5" s="716">
        <v>2.5</v>
      </c>
      <c r="G5" s="716">
        <v>1.2</v>
      </c>
      <c r="H5" s="717">
        <v>8.3000000000000007</v>
      </c>
      <c r="I5" s="717">
        <v>16.2</v>
      </c>
      <c r="J5" s="718">
        <v>11.2</v>
      </c>
      <c r="K5" s="719">
        <v>20.2</v>
      </c>
      <c r="L5" s="716">
        <v>22.8</v>
      </c>
      <c r="M5" s="716">
        <v>12.6</v>
      </c>
      <c r="N5" s="138">
        <v>10.3</v>
      </c>
      <c r="O5" s="716">
        <v>10.5</v>
      </c>
      <c r="P5" s="718">
        <v>24.1</v>
      </c>
      <c r="Q5" s="316">
        <f>AVERAGE(B5:P5)</f>
        <v>10.58</v>
      </c>
      <c r="R5" s="317">
        <f>AVERAGE(H5:M5)</f>
        <v>15.216666666666667</v>
      </c>
      <c r="S5" s="317">
        <f>MAX(B5:P5)</f>
        <v>24.1</v>
      </c>
    </row>
    <row r="7" spans="1:27" x14ac:dyDescent="0.3">
      <c r="A7" s="362" t="s">
        <v>8</v>
      </c>
    </row>
    <row r="8" spans="1:27" s="7" customFormat="1" ht="26" x14ac:dyDescent="0.3">
      <c r="A8" s="363" t="s">
        <v>2</v>
      </c>
      <c r="B8" s="534">
        <v>40203</v>
      </c>
      <c r="C8" s="534">
        <v>40231</v>
      </c>
      <c r="D8" s="534">
        <v>40266</v>
      </c>
      <c r="E8" s="534">
        <v>40294</v>
      </c>
      <c r="F8" s="534">
        <v>40322</v>
      </c>
      <c r="G8" s="534">
        <v>40358</v>
      </c>
      <c r="H8" s="535">
        <v>40372</v>
      </c>
      <c r="I8" s="535">
        <v>40385</v>
      </c>
      <c r="J8" s="535">
        <v>40399</v>
      </c>
      <c r="K8" s="534">
        <v>40413</v>
      </c>
      <c r="L8" s="534">
        <v>40428</v>
      </c>
      <c r="M8" s="536">
        <v>40448</v>
      </c>
      <c r="N8" s="536">
        <v>40477</v>
      </c>
      <c r="O8" s="536">
        <v>40497</v>
      </c>
      <c r="P8" s="535">
        <v>40514</v>
      </c>
      <c r="Q8" s="363" t="s">
        <v>29</v>
      </c>
      <c r="R8" s="365" t="s">
        <v>124</v>
      </c>
    </row>
    <row r="9" spans="1:27" s="3" customFormat="1" x14ac:dyDescent="0.3">
      <c r="A9" s="303" t="s">
        <v>137</v>
      </c>
      <c r="B9" s="74">
        <v>2.7</v>
      </c>
      <c r="C9" s="74">
        <v>1.7</v>
      </c>
      <c r="D9" s="74">
        <v>1.6</v>
      </c>
      <c r="E9" s="74">
        <v>0.15</v>
      </c>
      <c r="F9" s="74">
        <v>1.2</v>
      </c>
      <c r="G9" s="74">
        <v>2.8</v>
      </c>
      <c r="H9" s="74">
        <v>3.1</v>
      </c>
      <c r="I9" s="74">
        <v>1.45</v>
      </c>
      <c r="J9" s="74">
        <v>2.2000000000000002</v>
      </c>
      <c r="K9" s="74">
        <v>1.4</v>
      </c>
      <c r="L9" s="74">
        <v>1.25</v>
      </c>
      <c r="M9" s="74">
        <v>0.8</v>
      </c>
      <c r="N9" s="74">
        <v>1</v>
      </c>
      <c r="O9" s="74">
        <v>1.85</v>
      </c>
      <c r="P9" s="74">
        <v>1.65</v>
      </c>
      <c r="Q9" s="41">
        <f>AVERAGE(B9:P9)</f>
        <v>1.6566666666666665</v>
      </c>
      <c r="R9" s="41">
        <f>AVERAGE(H9:N9)</f>
        <v>1.6</v>
      </c>
    </row>
    <row r="10" spans="1:27" x14ac:dyDescent="0.3">
      <c r="A10" s="210" t="s">
        <v>138</v>
      </c>
      <c r="B10" s="74">
        <f>B9*3.28</f>
        <v>8.8559999999999999</v>
      </c>
      <c r="C10" s="74">
        <f t="shared" ref="C10:P10" si="0">C9*3.28</f>
        <v>5.5759999999999996</v>
      </c>
      <c r="D10" s="74">
        <f t="shared" si="0"/>
        <v>5.2480000000000002</v>
      </c>
      <c r="E10" s="74">
        <f t="shared" si="0"/>
        <v>0.49199999999999994</v>
      </c>
      <c r="F10" s="74">
        <f t="shared" si="0"/>
        <v>3.9359999999999995</v>
      </c>
      <c r="G10" s="74">
        <f t="shared" si="0"/>
        <v>9.1839999999999993</v>
      </c>
      <c r="H10" s="74">
        <f t="shared" si="0"/>
        <v>10.167999999999999</v>
      </c>
      <c r="I10" s="74">
        <f t="shared" si="0"/>
        <v>4.7559999999999993</v>
      </c>
      <c r="J10" s="74">
        <f t="shared" si="0"/>
        <v>7.2160000000000002</v>
      </c>
      <c r="K10" s="74">
        <f t="shared" si="0"/>
        <v>4.5919999999999996</v>
      </c>
      <c r="L10" s="74">
        <f t="shared" si="0"/>
        <v>4.0999999999999996</v>
      </c>
      <c r="M10" s="74">
        <f t="shared" si="0"/>
        <v>2.6240000000000001</v>
      </c>
      <c r="N10" s="74">
        <f t="shared" si="0"/>
        <v>3.28</v>
      </c>
      <c r="O10" s="74">
        <f t="shared" si="0"/>
        <v>6.0679999999999996</v>
      </c>
      <c r="P10" s="74">
        <f t="shared" si="0"/>
        <v>5.411999999999999</v>
      </c>
      <c r="Q10" s="41">
        <f>AVERAGE(B10:P10)</f>
        <v>5.4338666666666651</v>
      </c>
      <c r="R10" s="41">
        <f>AVERAGE(H10:N10)</f>
        <v>5.2480000000000002</v>
      </c>
    </row>
    <row r="11" spans="1:27" x14ac:dyDescent="0.3">
      <c r="B11" s="840"/>
      <c r="C11" s="840"/>
      <c r="D11" s="840"/>
      <c r="E11" s="840"/>
      <c r="F11" s="840"/>
      <c r="G11" s="840"/>
    </row>
    <row r="13" spans="1:27" x14ac:dyDescent="0.3">
      <c r="A13" s="210"/>
      <c r="B13" s="364" t="s">
        <v>81</v>
      </c>
      <c r="C13" s="364" t="s">
        <v>82</v>
      </c>
      <c r="D13" s="364" t="s">
        <v>83</v>
      </c>
      <c r="E13" s="364" t="s">
        <v>84</v>
      </c>
      <c r="F13" s="364" t="s">
        <v>85</v>
      </c>
      <c r="G13" s="364" t="s">
        <v>86</v>
      </c>
      <c r="H13" s="364" t="s">
        <v>87</v>
      </c>
      <c r="I13" s="364" t="s">
        <v>88</v>
      </c>
      <c r="J13" s="364" t="s">
        <v>89</v>
      </c>
      <c r="K13" s="364" t="s">
        <v>90</v>
      </c>
      <c r="L13" s="364" t="s">
        <v>91</v>
      </c>
      <c r="M13" s="364" t="s">
        <v>92</v>
      </c>
    </row>
    <row r="14" spans="1:27" x14ac:dyDescent="0.3">
      <c r="A14" s="210" t="s">
        <v>136</v>
      </c>
      <c r="B14" s="126">
        <f t="shared" ref="B14:G14" si="1">B5</f>
        <v>2.1</v>
      </c>
      <c r="C14" s="126">
        <f t="shared" si="1"/>
        <v>14</v>
      </c>
      <c r="D14" s="126">
        <f t="shared" si="1"/>
        <v>1.8</v>
      </c>
      <c r="E14" s="126">
        <f t="shared" si="1"/>
        <v>0.9</v>
      </c>
      <c r="F14" s="126">
        <f t="shared" si="1"/>
        <v>2.5</v>
      </c>
      <c r="G14" s="126">
        <f t="shared" si="1"/>
        <v>1.2</v>
      </c>
      <c r="H14" s="74">
        <f>AVERAGE(H5:I5)</f>
        <v>12.25</v>
      </c>
      <c r="I14" s="74">
        <f>AVERAGE(J5:K5)</f>
        <v>15.7</v>
      </c>
      <c r="J14" s="74">
        <f>AVERAGE(L5:M5)</f>
        <v>17.7</v>
      </c>
      <c r="K14" s="126">
        <f>N5</f>
        <v>10.3</v>
      </c>
      <c r="L14" s="126">
        <f>O5</f>
        <v>10.5</v>
      </c>
      <c r="M14" s="126">
        <f>P5</f>
        <v>24.1</v>
      </c>
      <c r="Q14" s="91"/>
      <c r="R14" s="91"/>
      <c r="S14" s="91"/>
      <c r="T14" s="91"/>
      <c r="U14" s="91"/>
      <c r="V14" s="91"/>
      <c r="W14" s="91"/>
      <c r="X14" s="91"/>
      <c r="Y14" s="91"/>
      <c r="Z14" s="91"/>
      <c r="AA14" s="91"/>
    </row>
    <row r="15" spans="1:27" x14ac:dyDescent="0.3">
      <c r="A15" s="210" t="s">
        <v>139</v>
      </c>
      <c r="B15" s="74">
        <f t="shared" ref="B15:G15" si="2">B10</f>
        <v>8.8559999999999999</v>
      </c>
      <c r="C15" s="74">
        <f t="shared" si="2"/>
        <v>5.5759999999999996</v>
      </c>
      <c r="D15" s="74">
        <f t="shared" si="2"/>
        <v>5.2480000000000002</v>
      </c>
      <c r="E15" s="74">
        <f t="shared" si="2"/>
        <v>0.49199999999999994</v>
      </c>
      <c r="F15" s="74">
        <f t="shared" si="2"/>
        <v>3.9359999999999995</v>
      </c>
      <c r="G15" s="74">
        <f t="shared" si="2"/>
        <v>9.1839999999999993</v>
      </c>
      <c r="H15" s="74">
        <f>AVERAGE(H10:I10)</f>
        <v>7.4619999999999997</v>
      </c>
      <c r="I15" s="74">
        <f>AVERAGE(J10:K10)</f>
        <v>5.9039999999999999</v>
      </c>
      <c r="J15" s="74">
        <f>AVERAGE(L10:M10)</f>
        <v>3.3620000000000001</v>
      </c>
      <c r="K15" s="74">
        <f>N10</f>
        <v>3.28</v>
      </c>
      <c r="L15" s="74">
        <f>O10</f>
        <v>6.0679999999999996</v>
      </c>
      <c r="M15" s="74">
        <f>P10</f>
        <v>5.411999999999999</v>
      </c>
      <c r="Q15" s="3"/>
      <c r="R15" s="3"/>
      <c r="S15" s="3"/>
      <c r="T15" s="3"/>
      <c r="U15" s="3"/>
      <c r="V15" s="3"/>
      <c r="W15" s="3"/>
      <c r="X15" s="3"/>
      <c r="Y15" s="3"/>
      <c r="Z15" s="3"/>
      <c r="AA15" s="3"/>
    </row>
    <row r="16" spans="1:27" x14ac:dyDescent="0.3">
      <c r="Q16" s="3"/>
      <c r="R16" s="3"/>
      <c r="S16" s="3"/>
      <c r="T16" s="3"/>
      <c r="U16" s="3"/>
      <c r="V16" s="3"/>
      <c r="W16" s="3"/>
      <c r="X16" s="3"/>
      <c r="Y16" s="3"/>
      <c r="Z16" s="3"/>
      <c r="AA16" s="3"/>
    </row>
    <row r="17" spans="17:27" x14ac:dyDescent="0.3">
      <c r="Q17" s="3"/>
      <c r="R17" s="3"/>
      <c r="S17" s="3"/>
      <c r="T17" s="3"/>
      <c r="U17" s="3"/>
      <c r="V17" s="3"/>
      <c r="W17" s="3"/>
      <c r="X17" s="3"/>
      <c r="Y17" s="3"/>
      <c r="Z17" s="3"/>
      <c r="AA17" s="3"/>
    </row>
    <row r="18" spans="17:27" x14ac:dyDescent="0.3">
      <c r="Q18" s="3"/>
      <c r="R18" s="3"/>
      <c r="S18" s="3"/>
      <c r="T18" s="3"/>
      <c r="U18" s="3"/>
      <c r="V18" s="3"/>
      <c r="W18" s="3"/>
      <c r="X18" s="3"/>
      <c r="Y18" s="3"/>
      <c r="Z18" s="3"/>
      <c r="AA18" s="3"/>
    </row>
    <row r="19" spans="17:27" x14ac:dyDescent="0.3">
      <c r="Q19" s="3"/>
      <c r="R19" s="3"/>
      <c r="S19" s="3"/>
      <c r="T19" s="3"/>
      <c r="U19" s="3"/>
      <c r="V19" s="3"/>
      <c r="W19" s="3"/>
      <c r="X19" s="3"/>
      <c r="Y19" s="3"/>
      <c r="Z19" s="3"/>
      <c r="AA19" s="3"/>
    </row>
    <row r="20" spans="17:27" x14ac:dyDescent="0.3">
      <c r="Q20" s="3"/>
      <c r="R20" s="3"/>
      <c r="S20" s="3"/>
      <c r="T20" s="3"/>
      <c r="U20" s="3"/>
      <c r="V20" s="3"/>
      <c r="W20" s="3"/>
      <c r="X20" s="3"/>
      <c r="Y20" s="3"/>
      <c r="Z20" s="3"/>
      <c r="AA20" s="3"/>
    </row>
    <row r="21" spans="17:27" x14ac:dyDescent="0.3">
      <c r="Q21" s="3"/>
      <c r="R21" s="3"/>
      <c r="S21" s="3"/>
      <c r="T21" s="3"/>
      <c r="U21" s="3"/>
      <c r="V21" s="3"/>
      <c r="W21" s="3"/>
      <c r="X21" s="3"/>
      <c r="Y21" s="3"/>
      <c r="Z21" s="3"/>
      <c r="AA21" s="3"/>
    </row>
    <row r="22" spans="17:27" x14ac:dyDescent="0.3">
      <c r="Q22" s="3"/>
      <c r="R22" s="3"/>
      <c r="S22" s="3"/>
      <c r="T22" s="3"/>
      <c r="U22" s="3"/>
      <c r="V22" s="3"/>
      <c r="W22" s="3"/>
      <c r="X22" s="3"/>
      <c r="Y22" s="3"/>
      <c r="Z22" s="3"/>
      <c r="AA22" s="3"/>
    </row>
  </sheetData>
  <mergeCells count="2">
    <mergeCell ref="B11:G11"/>
    <mergeCell ref="A1:P1"/>
  </mergeCells>
  <phoneticPr fontId="0" type="noConversion"/>
  <pageMargins left="0.75" right="0.75" top="1" bottom="1" header="0.5" footer="0.5"/>
  <pageSetup scale="60" orientation="landscape" horizont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20"/>
  <sheetViews>
    <sheetView tabSelected="1" topLeftCell="A22" workbookViewId="0">
      <selection activeCell="A35" sqref="A35"/>
    </sheetView>
  </sheetViews>
  <sheetFormatPr defaultRowHeight="12.5" x14ac:dyDescent="0.25"/>
  <cols>
    <col min="1" max="1" width="39" customWidth="1"/>
    <col min="2" max="2" width="15.6328125" customWidth="1"/>
    <col min="3" max="4" width="9.08984375" customWidth="1"/>
    <col min="5" max="6" width="10.6328125" bestFit="1" customWidth="1"/>
    <col min="7" max="8" width="9.08984375" customWidth="1"/>
    <col min="9" max="10" width="10.6328125" bestFit="1" customWidth="1"/>
    <col min="11" max="12" width="9.08984375" customWidth="1"/>
    <col min="13" max="14" width="10.6328125" bestFit="1" customWidth="1"/>
    <col min="15" max="15" width="10.08984375" customWidth="1"/>
    <col min="16" max="16" width="9.08984375" customWidth="1"/>
    <col min="17" max="18" width="10.6328125" bestFit="1" customWidth="1"/>
    <col min="19" max="20" width="9.08984375" customWidth="1"/>
    <col min="21" max="22" width="10.6328125" bestFit="1" customWidth="1"/>
    <col min="23" max="24" width="9.08984375" customWidth="1"/>
    <col min="25" max="26" width="10.6328125" bestFit="1" customWidth="1"/>
    <col min="27" max="28" width="9.08984375" customWidth="1"/>
    <col min="29" max="31" width="10.08984375" customWidth="1"/>
    <col min="32" max="44" width="9.08984375" customWidth="1"/>
    <col min="45" max="46" width="10.08984375" customWidth="1"/>
    <col min="47" max="60" width="9.08984375" customWidth="1"/>
    <col min="61" max="62" width="10.08984375" customWidth="1"/>
    <col min="63" max="74" width="9.08984375" customWidth="1"/>
    <col min="75" max="76" width="10.08984375" customWidth="1"/>
    <col min="77" max="77" width="9.08984375" customWidth="1"/>
    <col min="90" max="90" width="10.08984375" bestFit="1" customWidth="1"/>
  </cols>
  <sheetData>
    <row r="1" spans="1:3" ht="13" x14ac:dyDescent="0.3">
      <c r="A1" s="315" t="s">
        <v>773</v>
      </c>
      <c r="B1" s="313" t="s">
        <v>173</v>
      </c>
      <c r="C1" s="314" t="s">
        <v>172</v>
      </c>
    </row>
    <row r="2" spans="1:3" x14ac:dyDescent="0.25">
      <c r="A2" t="s">
        <v>863</v>
      </c>
      <c r="B2" s="115">
        <f>AVERAGE(C30,G30,K30,O30,S30,W30)</f>
        <v>321.01563088928231</v>
      </c>
      <c r="C2" s="85">
        <v>18</v>
      </c>
    </row>
    <row r="3" spans="1:3" x14ac:dyDescent="0.25">
      <c r="A3" s="312" t="s">
        <v>864</v>
      </c>
      <c r="B3" s="115">
        <f>AVERAGE(B2,C35,G35,K35,O35,S35,W35)</f>
        <v>291.4734200740395</v>
      </c>
      <c r="C3" s="85">
        <v>4</v>
      </c>
    </row>
    <row r="4" spans="1:3" x14ac:dyDescent="0.25">
      <c r="A4" s="312" t="s">
        <v>15</v>
      </c>
      <c r="B4" s="115">
        <f>AVERAGE(C39,G39,K39,O39,W39)</f>
        <v>82.502975963221772</v>
      </c>
      <c r="C4" s="85">
        <v>3</v>
      </c>
    </row>
    <row r="5" spans="1:3" x14ac:dyDescent="0.25">
      <c r="A5" s="312" t="s">
        <v>865</v>
      </c>
      <c r="B5" s="115">
        <f>AVERAGE(C58,K58,O58,S58,W58)</f>
        <v>40.334187093431751</v>
      </c>
      <c r="C5" s="85">
        <v>4</v>
      </c>
    </row>
    <row r="8" spans="1:3" ht="27.75" customHeight="1" x14ac:dyDescent="0.3">
      <c r="A8" s="209" t="s">
        <v>172</v>
      </c>
      <c r="B8" s="988">
        <f>AVERAGE(C35,G35,K35,O35,S35,W35)</f>
        <v>286.54971827149905</v>
      </c>
    </row>
    <row r="9" spans="1:3" x14ac:dyDescent="0.25">
      <c r="A9" s="762" t="s">
        <v>13</v>
      </c>
      <c r="B9" s="745">
        <v>1363947.4731396737</v>
      </c>
    </row>
    <row r="10" spans="1:3" x14ac:dyDescent="0.25">
      <c r="A10" s="762" t="s">
        <v>837</v>
      </c>
      <c r="B10" s="779">
        <v>894737.14285714284</v>
      </c>
    </row>
    <row r="11" spans="1:3" x14ac:dyDescent="0.25">
      <c r="A11" s="762" t="s">
        <v>255</v>
      </c>
      <c r="B11" s="745">
        <v>576626.74094707519</v>
      </c>
    </row>
    <row r="12" spans="1:3" x14ac:dyDescent="0.25">
      <c r="A12" s="762" t="s">
        <v>165</v>
      </c>
      <c r="B12" s="745">
        <v>105673.64016736404</v>
      </c>
    </row>
    <row r="13" spans="1:3" x14ac:dyDescent="0.25">
      <c r="A13" s="762" t="s">
        <v>164</v>
      </c>
      <c r="B13" s="745">
        <v>82476.452599388373</v>
      </c>
    </row>
    <row r="14" spans="1:3" x14ac:dyDescent="0.25">
      <c r="A14" s="762" t="s">
        <v>844</v>
      </c>
      <c r="B14" s="745">
        <v>82476.452599388373</v>
      </c>
    </row>
    <row r="15" spans="1:3" x14ac:dyDescent="0.25">
      <c r="A15" s="762" t="s">
        <v>834</v>
      </c>
      <c r="B15" s="745">
        <v>65195</v>
      </c>
    </row>
    <row r="16" spans="1:3" x14ac:dyDescent="0.25">
      <c r="A16" s="762" t="s">
        <v>256</v>
      </c>
      <c r="B16" s="745">
        <v>57166.228070175435</v>
      </c>
    </row>
    <row r="17" spans="1:26" x14ac:dyDescent="0.25">
      <c r="A17" s="762" t="s">
        <v>850</v>
      </c>
      <c r="B17" s="745">
        <v>48456</v>
      </c>
    </row>
    <row r="18" spans="1:26" x14ac:dyDescent="0.25">
      <c r="A18" s="762" t="s">
        <v>257</v>
      </c>
      <c r="B18" s="745">
        <v>14155</v>
      </c>
    </row>
    <row r="23" spans="1:26" ht="13" x14ac:dyDescent="0.3">
      <c r="A23" s="846" t="s">
        <v>172</v>
      </c>
      <c r="B23" s="757"/>
      <c r="C23" s="842">
        <v>40385</v>
      </c>
      <c r="D23" s="843"/>
      <c r="E23" s="843"/>
      <c r="F23" s="843"/>
      <c r="G23" s="844">
        <v>40399</v>
      </c>
      <c r="H23" s="845"/>
      <c r="I23" s="845"/>
      <c r="J23" s="845"/>
      <c r="K23" s="842">
        <v>40413</v>
      </c>
      <c r="L23" s="843"/>
      <c r="M23" s="843"/>
      <c r="N23" s="843"/>
      <c r="O23" s="844">
        <v>40428</v>
      </c>
      <c r="P23" s="845"/>
      <c r="Q23" s="845"/>
      <c r="R23" s="845"/>
      <c r="S23" s="842" t="s">
        <v>827</v>
      </c>
      <c r="T23" s="843"/>
      <c r="U23" s="843"/>
      <c r="V23" s="843"/>
      <c r="W23" s="844">
        <v>40448</v>
      </c>
      <c r="X23" s="845"/>
      <c r="Y23" s="845"/>
      <c r="Z23" s="845"/>
    </row>
    <row r="24" spans="1:26" ht="13" x14ac:dyDescent="0.3">
      <c r="A24" s="847"/>
      <c r="B24" s="758" t="s">
        <v>828</v>
      </c>
      <c r="C24" s="759" t="s">
        <v>829</v>
      </c>
      <c r="D24" s="759" t="s">
        <v>829</v>
      </c>
      <c r="E24" s="759" t="s">
        <v>830</v>
      </c>
      <c r="F24" s="759" t="s">
        <v>830</v>
      </c>
      <c r="G24" s="760" t="s">
        <v>829</v>
      </c>
      <c r="H24" s="760" t="s">
        <v>829</v>
      </c>
      <c r="I24" s="760" t="s">
        <v>830</v>
      </c>
      <c r="J24" s="760" t="s">
        <v>830</v>
      </c>
      <c r="K24" s="759" t="s">
        <v>829</v>
      </c>
      <c r="L24" s="759" t="s">
        <v>829</v>
      </c>
      <c r="M24" s="759" t="s">
        <v>830</v>
      </c>
      <c r="N24" s="759" t="s">
        <v>830</v>
      </c>
      <c r="O24" s="760" t="s">
        <v>829</v>
      </c>
      <c r="P24" s="760" t="s">
        <v>829</v>
      </c>
      <c r="Q24" s="760" t="s">
        <v>830</v>
      </c>
      <c r="R24" s="760" t="s">
        <v>830</v>
      </c>
      <c r="S24" s="759" t="s">
        <v>829</v>
      </c>
      <c r="T24" s="759" t="s">
        <v>829</v>
      </c>
      <c r="U24" s="759" t="s">
        <v>830</v>
      </c>
      <c r="V24" s="759" t="s">
        <v>830</v>
      </c>
      <c r="W24" s="760" t="s">
        <v>829</v>
      </c>
      <c r="X24" s="760" t="s">
        <v>829</v>
      </c>
      <c r="Y24" s="760" t="s">
        <v>830</v>
      </c>
      <c r="Z24" s="760" t="s">
        <v>830</v>
      </c>
    </row>
    <row r="25" spans="1:26" ht="15" x14ac:dyDescent="0.3">
      <c r="A25" s="848"/>
      <c r="B25" s="761"/>
      <c r="C25" s="759" t="s">
        <v>831</v>
      </c>
      <c r="D25" s="759" t="s">
        <v>832</v>
      </c>
      <c r="E25" s="759" t="s">
        <v>833</v>
      </c>
      <c r="F25" s="759" t="s">
        <v>832</v>
      </c>
      <c r="G25" s="760" t="s">
        <v>831</v>
      </c>
      <c r="H25" s="760" t="s">
        <v>832</v>
      </c>
      <c r="I25" s="760" t="s">
        <v>833</v>
      </c>
      <c r="J25" s="760" t="s">
        <v>832</v>
      </c>
      <c r="K25" s="759" t="s">
        <v>831</v>
      </c>
      <c r="L25" s="759" t="s">
        <v>832</v>
      </c>
      <c r="M25" s="759" t="s">
        <v>833</v>
      </c>
      <c r="N25" s="759" t="s">
        <v>832</v>
      </c>
      <c r="O25" s="760" t="s">
        <v>831</v>
      </c>
      <c r="P25" s="760" t="s">
        <v>832</v>
      </c>
      <c r="Q25" s="760" t="s">
        <v>833</v>
      </c>
      <c r="R25" s="760" t="s">
        <v>832</v>
      </c>
      <c r="S25" s="759" t="s">
        <v>831</v>
      </c>
      <c r="T25" s="759" t="s">
        <v>832</v>
      </c>
      <c r="U25" s="759" t="s">
        <v>833</v>
      </c>
      <c r="V25" s="759" t="s">
        <v>832</v>
      </c>
      <c r="W25" s="760" t="s">
        <v>831</v>
      </c>
      <c r="X25" s="760" t="s">
        <v>832</v>
      </c>
      <c r="Y25" s="760" t="s">
        <v>833</v>
      </c>
      <c r="Z25" s="760" t="s">
        <v>832</v>
      </c>
    </row>
    <row r="26" spans="1:26" ht="24" customHeight="1" x14ac:dyDescent="0.25">
      <c r="A26" s="762" t="s">
        <v>834</v>
      </c>
      <c r="B26" s="762" t="s">
        <v>835</v>
      </c>
      <c r="C26" s="763">
        <v>1034.7619047619048</v>
      </c>
      <c r="D26" s="764">
        <v>47.321428571428505</v>
      </c>
      <c r="E26" s="763">
        <v>46564.285714285717</v>
      </c>
      <c r="F26" s="764">
        <v>4.7309225794933818</v>
      </c>
      <c r="G26" s="765">
        <v>1149.7532894736842</v>
      </c>
      <c r="H26" s="766">
        <v>74.400000000000603</v>
      </c>
      <c r="I26" s="765">
        <v>51738.898026315786</v>
      </c>
      <c r="J26" s="766">
        <v>27.498521584861052</v>
      </c>
      <c r="K26" s="763">
        <v>1448.7430167597768</v>
      </c>
      <c r="L26" s="764">
        <v>62.727272727272542</v>
      </c>
      <c r="M26" s="763">
        <v>65193.435754189952</v>
      </c>
      <c r="N26" s="767">
        <v>4.757381218686346</v>
      </c>
      <c r="O26" s="84"/>
      <c r="P26" s="84"/>
      <c r="Q26" s="84"/>
      <c r="R26" s="84"/>
      <c r="S26" s="763">
        <v>13.478780633592351</v>
      </c>
      <c r="T26" s="764">
        <v>0.89285714285714335</v>
      </c>
      <c r="U26" s="763">
        <v>606.54512851165578</v>
      </c>
      <c r="V26" s="764">
        <v>3.4986238746093273E-2</v>
      </c>
      <c r="W26" s="84"/>
      <c r="X26" s="84"/>
      <c r="Y26" s="84"/>
      <c r="Z26" s="84"/>
    </row>
    <row r="27" spans="1:26" x14ac:dyDescent="0.25">
      <c r="A27" s="762" t="s">
        <v>257</v>
      </c>
      <c r="B27" s="762" t="s">
        <v>835</v>
      </c>
      <c r="C27" s="763">
        <v>566.19047619047626</v>
      </c>
      <c r="D27" s="764">
        <v>25.89285714285711</v>
      </c>
      <c r="E27" s="763">
        <v>14154.761904761906</v>
      </c>
      <c r="F27" s="764">
        <v>1.4381211195524954</v>
      </c>
      <c r="G27" s="765">
        <v>296.71052631578948</v>
      </c>
      <c r="H27" s="766">
        <v>19.200000000000152</v>
      </c>
      <c r="I27" s="765">
        <v>7417.7631578947367</v>
      </c>
      <c r="J27" s="766">
        <v>3.9424403705893987</v>
      </c>
      <c r="K27" s="763">
        <v>230.95903165735572</v>
      </c>
      <c r="L27" s="764">
        <v>9.9999999999999698</v>
      </c>
      <c r="M27" s="763">
        <v>5773.9757914338934</v>
      </c>
      <c r="N27" s="767">
        <v>0.42134616268558622</v>
      </c>
      <c r="O27" s="765">
        <v>44.866693195384009</v>
      </c>
      <c r="P27" s="766">
        <v>4.672897196261677</v>
      </c>
      <c r="Q27" s="765">
        <v>1121.6673298846001</v>
      </c>
      <c r="R27" s="766">
        <v>5.357448997085585E-2</v>
      </c>
      <c r="S27" s="763">
        <v>53.915122534369402</v>
      </c>
      <c r="T27" s="764">
        <v>3.5714285714285734</v>
      </c>
      <c r="U27" s="763">
        <v>1347.8780633592351</v>
      </c>
      <c r="V27" s="764">
        <v>7.774719721354062E-2</v>
      </c>
      <c r="W27" s="765">
        <v>13.792048929663608</v>
      </c>
      <c r="X27" s="766">
        <v>1.9417475728155311</v>
      </c>
      <c r="Y27" s="765">
        <v>344.80122324159021</v>
      </c>
      <c r="Z27" s="766">
        <v>3.9203079793948541E-2</v>
      </c>
    </row>
    <row r="28" spans="1:26" x14ac:dyDescent="0.25">
      <c r="A28" s="762" t="s">
        <v>258</v>
      </c>
      <c r="B28" s="762" t="s">
        <v>835</v>
      </c>
      <c r="C28" s="763">
        <v>19.523809523809526</v>
      </c>
      <c r="D28" s="764">
        <v>0.89285714285714179</v>
      </c>
      <c r="E28" s="763">
        <v>6345.2380952380954</v>
      </c>
      <c r="F28" s="764">
        <v>0.64467498462698081</v>
      </c>
      <c r="G28" s="84"/>
      <c r="H28" s="84"/>
      <c r="I28" s="84"/>
      <c r="J28" s="84"/>
      <c r="K28" s="763">
        <v>20.996275605214155</v>
      </c>
      <c r="L28" s="764">
        <v>0.9090909090909064</v>
      </c>
      <c r="M28" s="763">
        <v>6823.7895716946005</v>
      </c>
      <c r="N28" s="767">
        <v>0.49795455590114734</v>
      </c>
      <c r="O28" s="84"/>
      <c r="P28" s="84"/>
      <c r="Q28" s="84"/>
      <c r="R28" s="84"/>
      <c r="S28" s="372"/>
      <c r="T28" s="372"/>
      <c r="U28" s="372"/>
      <c r="V28" s="372"/>
      <c r="W28" s="84"/>
      <c r="X28" s="84"/>
      <c r="Y28" s="84"/>
      <c r="Z28" s="84"/>
    </row>
    <row r="29" spans="1:26" x14ac:dyDescent="0.25">
      <c r="A29" s="762" t="s">
        <v>836</v>
      </c>
      <c r="B29" s="762" t="s">
        <v>835</v>
      </c>
      <c r="C29" s="372"/>
      <c r="D29" s="372"/>
      <c r="E29" s="372"/>
      <c r="F29" s="372"/>
      <c r="G29" s="84"/>
      <c r="H29" s="84"/>
      <c r="I29" s="84"/>
      <c r="J29" s="84"/>
      <c r="K29" s="372"/>
      <c r="L29" s="372"/>
      <c r="M29" s="372"/>
      <c r="N29" s="372"/>
      <c r="O29" s="84"/>
      <c r="P29" s="84"/>
      <c r="Q29" s="84"/>
      <c r="R29" s="84"/>
      <c r="S29" s="768"/>
      <c r="T29" s="372"/>
      <c r="U29" s="372"/>
      <c r="V29" s="372"/>
      <c r="W29" s="765">
        <v>20.688073394495412</v>
      </c>
      <c r="X29" s="766">
        <v>2.9126213592232966</v>
      </c>
      <c r="Y29" s="765">
        <v>5378.899082568807</v>
      </c>
      <c r="Z29" s="766">
        <v>0.61156804478559723</v>
      </c>
    </row>
    <row r="30" spans="1:26" x14ac:dyDescent="0.25">
      <c r="A30" s="762"/>
      <c r="B30" s="781" t="s">
        <v>866</v>
      </c>
      <c r="C30" s="780">
        <f>AVERAGE(C26:C29)</f>
        <v>540.15873015873024</v>
      </c>
      <c r="D30" s="780">
        <f t="shared" ref="D30:Z30" si="0">AVERAGE(D26:D29)</f>
        <v>24.702380952380917</v>
      </c>
      <c r="E30" s="780">
        <f t="shared" si="0"/>
        <v>22354.761904761908</v>
      </c>
      <c r="F30" s="780">
        <f t="shared" si="0"/>
        <v>2.2712395612242862</v>
      </c>
      <c r="G30" s="780">
        <f t="shared" si="0"/>
        <v>723.23190789473688</v>
      </c>
      <c r="H30" s="780">
        <f t="shared" si="0"/>
        <v>46.800000000000381</v>
      </c>
      <c r="I30" s="780">
        <f t="shared" si="0"/>
        <v>29578.33059210526</v>
      </c>
      <c r="J30" s="780">
        <f t="shared" si="0"/>
        <v>15.720480977725225</v>
      </c>
      <c r="K30" s="780">
        <f t="shared" si="0"/>
        <v>566.89944134078223</v>
      </c>
      <c r="L30" s="780">
        <f t="shared" si="0"/>
        <v>24.545454545454472</v>
      </c>
      <c r="M30" s="780">
        <f t="shared" si="0"/>
        <v>25930.400372439482</v>
      </c>
      <c r="N30" s="780">
        <f t="shared" si="0"/>
        <v>1.89222731242436</v>
      </c>
      <c r="O30" s="780">
        <f t="shared" si="0"/>
        <v>44.866693195384009</v>
      </c>
      <c r="P30" s="780">
        <f t="shared" si="0"/>
        <v>4.672897196261677</v>
      </c>
      <c r="Q30" s="780">
        <f t="shared" si="0"/>
        <v>1121.6673298846001</v>
      </c>
      <c r="R30" s="780">
        <f t="shared" si="0"/>
        <v>5.357448997085585E-2</v>
      </c>
      <c r="S30" s="780">
        <f t="shared" si="0"/>
        <v>33.696951583980876</v>
      </c>
      <c r="T30" s="780">
        <f t="shared" si="0"/>
        <v>2.2321428571428585</v>
      </c>
      <c r="U30" s="780">
        <f t="shared" si="0"/>
        <v>977.21159593544542</v>
      </c>
      <c r="V30" s="780">
        <f t="shared" si="0"/>
        <v>5.6366717979816947E-2</v>
      </c>
      <c r="W30" s="780">
        <f t="shared" si="0"/>
        <v>17.24006116207951</v>
      </c>
      <c r="X30" s="780">
        <f t="shared" si="0"/>
        <v>2.4271844660194137</v>
      </c>
      <c r="Y30" s="780">
        <f t="shared" si="0"/>
        <v>2861.8501529051987</v>
      </c>
      <c r="Z30" s="780">
        <f t="shared" si="0"/>
        <v>0.32538556228977289</v>
      </c>
    </row>
    <row r="31" spans="1:26" x14ac:dyDescent="0.25">
      <c r="A31" s="762" t="s">
        <v>837</v>
      </c>
      <c r="B31" s="762" t="s">
        <v>838</v>
      </c>
      <c r="C31" s="763">
        <v>351.42857142857144</v>
      </c>
      <c r="D31" s="764">
        <v>16.071428571428552</v>
      </c>
      <c r="E31" s="763">
        <v>894737.14285714284</v>
      </c>
      <c r="F31" s="764">
        <v>90.905123678416217</v>
      </c>
      <c r="G31" s="765">
        <v>12.362938596491228</v>
      </c>
      <c r="H31" s="766">
        <v>0.80000000000000648</v>
      </c>
      <c r="I31" s="765">
        <v>24849.506578947367</v>
      </c>
      <c r="J31" s="766">
        <v>13.207175241474484</v>
      </c>
      <c r="K31" s="763">
        <v>293.94785847299818</v>
      </c>
      <c r="L31" s="764">
        <v>12.727272727272689</v>
      </c>
      <c r="M31" s="763">
        <v>472668.15642458107</v>
      </c>
      <c r="N31" s="767">
        <v>34.492162961374241</v>
      </c>
      <c r="O31" s="84"/>
      <c r="P31" s="84"/>
      <c r="Q31" s="84"/>
      <c r="R31" s="84"/>
      <c r="S31" s="372"/>
      <c r="T31" s="372"/>
      <c r="U31" s="372"/>
      <c r="V31" s="372"/>
      <c r="W31" s="84"/>
      <c r="X31" s="84"/>
      <c r="Y31" s="84"/>
      <c r="Z31" s="84"/>
    </row>
    <row r="32" spans="1:26" x14ac:dyDescent="0.25">
      <c r="A32" s="762" t="s">
        <v>256</v>
      </c>
      <c r="B32" s="762" t="s">
        <v>838</v>
      </c>
      <c r="C32" s="372"/>
      <c r="D32" s="372"/>
      <c r="E32" s="372"/>
      <c r="F32" s="372"/>
      <c r="G32" s="765">
        <v>49.451754385964911</v>
      </c>
      <c r="H32" s="766">
        <v>3.2000000000000259</v>
      </c>
      <c r="I32" s="765">
        <v>57166.228070175435</v>
      </c>
      <c r="J32" s="766">
        <v>30.383073789342298</v>
      </c>
      <c r="K32" s="372"/>
      <c r="L32" s="372"/>
      <c r="M32" s="372"/>
      <c r="N32" s="769"/>
      <c r="O32" s="84"/>
      <c r="P32" s="84"/>
      <c r="Q32" s="84"/>
      <c r="R32" s="84"/>
      <c r="S32" s="372"/>
      <c r="T32" s="372"/>
      <c r="U32" s="372"/>
      <c r="V32" s="372"/>
      <c r="W32" s="84"/>
      <c r="X32" s="84"/>
      <c r="Y32" s="84"/>
      <c r="Z32" s="84"/>
    </row>
    <row r="33" spans="1:26" x14ac:dyDescent="0.25">
      <c r="A33" s="762" t="s">
        <v>255</v>
      </c>
      <c r="B33" s="762" t="s">
        <v>838</v>
      </c>
      <c r="C33" s="372"/>
      <c r="D33" s="372"/>
      <c r="E33" s="372"/>
      <c r="F33" s="372"/>
      <c r="G33" s="765">
        <v>24.725877192982455</v>
      </c>
      <c r="H33" s="766">
        <v>1.600000000000013</v>
      </c>
      <c r="I33" s="765">
        <v>46731.907894736847</v>
      </c>
      <c r="J33" s="766">
        <v>24.837374334713214</v>
      </c>
      <c r="K33" s="763">
        <v>104.98137802607077</v>
      </c>
      <c r="L33" s="764">
        <v>4.5454545454545316</v>
      </c>
      <c r="M33" s="763">
        <v>145504.18994413409</v>
      </c>
      <c r="N33" s="767">
        <v>10.617923299676772</v>
      </c>
      <c r="O33" s="765">
        <v>538.40031834460808</v>
      </c>
      <c r="P33" s="766">
        <v>56.074766355140127</v>
      </c>
      <c r="Q33" s="765">
        <v>576626.74094707519</v>
      </c>
      <c r="R33" s="766">
        <v>27.541573804217574</v>
      </c>
      <c r="S33" s="763">
        <v>296.53317393903171</v>
      </c>
      <c r="T33" s="764">
        <v>19.642857142857153</v>
      </c>
      <c r="U33" s="763">
        <v>317587.02928870299</v>
      </c>
      <c r="V33" s="764">
        <v>18.318794607454443</v>
      </c>
      <c r="W33" s="765">
        <v>241.36085626911313</v>
      </c>
      <c r="X33" s="766">
        <v>33.980582524271796</v>
      </c>
      <c r="Y33" s="765">
        <v>380143.34862385318</v>
      </c>
      <c r="Z33" s="766">
        <v>43.221395472828263</v>
      </c>
    </row>
    <row r="34" spans="1:26" x14ac:dyDescent="0.25">
      <c r="A34" s="762" t="s">
        <v>165</v>
      </c>
      <c r="B34" s="762" t="s">
        <v>838</v>
      </c>
      <c r="C34" s="372"/>
      <c r="D34" s="372"/>
      <c r="E34" s="372"/>
      <c r="F34" s="372"/>
      <c r="G34" s="84"/>
      <c r="H34" s="84"/>
      <c r="I34" s="84"/>
      <c r="J34" s="84"/>
      <c r="K34" s="372"/>
      <c r="L34" s="372"/>
      <c r="M34" s="372"/>
      <c r="N34" s="372"/>
      <c r="O34" s="765">
        <v>17.946677278153604</v>
      </c>
      <c r="P34" s="766">
        <v>1.8691588785046711</v>
      </c>
      <c r="Q34" s="765">
        <v>21536.012733784326</v>
      </c>
      <c r="R34" s="766">
        <v>1.0286302074404325</v>
      </c>
      <c r="S34" s="763">
        <v>943.51464435146454</v>
      </c>
      <c r="T34" s="764">
        <v>62.500000000000036</v>
      </c>
      <c r="U34" s="763">
        <v>105673.64016736404</v>
      </c>
      <c r="V34" s="764">
        <v>6.0953802615415844</v>
      </c>
      <c r="W34" s="84"/>
      <c r="X34" s="84"/>
      <c r="Y34" s="84"/>
      <c r="Z34" s="84"/>
    </row>
    <row r="35" spans="1:26" x14ac:dyDescent="0.25">
      <c r="A35" s="765">
        <f>AVERAGE(G35,K35,O35,S35,W35)</f>
        <v>273.57394764008455</v>
      </c>
      <c r="B35" s="781" t="s">
        <v>866</v>
      </c>
      <c r="C35" s="780">
        <f>AVERAGE(C31:C34)</f>
        <v>351.42857142857144</v>
      </c>
      <c r="D35" s="780">
        <f t="shared" ref="D35:Z35" si="1">AVERAGE(D31:D34)</f>
        <v>16.071428571428552</v>
      </c>
      <c r="E35" s="780">
        <f t="shared" si="1"/>
        <v>894737.14285714284</v>
      </c>
      <c r="F35" s="780">
        <f t="shared" si="1"/>
        <v>90.905123678416217</v>
      </c>
      <c r="G35" s="780">
        <f t="shared" si="1"/>
        <v>28.846856725146196</v>
      </c>
      <c r="H35" s="780">
        <f t="shared" si="1"/>
        <v>1.8666666666666816</v>
      </c>
      <c r="I35" s="780">
        <f t="shared" si="1"/>
        <v>42915.880847953224</v>
      </c>
      <c r="J35" s="780">
        <f t="shared" si="1"/>
        <v>22.809207788509998</v>
      </c>
      <c r="K35" s="780">
        <f t="shared" si="1"/>
        <v>199.46461824953448</v>
      </c>
      <c r="L35" s="780">
        <f t="shared" si="1"/>
        <v>8.63636363636361</v>
      </c>
      <c r="M35" s="780">
        <f t="shared" si="1"/>
        <v>309086.17318435758</v>
      </c>
      <c r="N35" s="780">
        <f t="shared" si="1"/>
        <v>22.555043130525505</v>
      </c>
      <c r="O35" s="780">
        <f t="shared" si="1"/>
        <v>278.17349781138086</v>
      </c>
      <c r="P35" s="780">
        <f t="shared" si="1"/>
        <v>28.971962616822399</v>
      </c>
      <c r="Q35" s="780">
        <f t="shared" si="1"/>
        <v>299081.37684042973</v>
      </c>
      <c r="R35" s="780">
        <f t="shared" si="1"/>
        <v>14.285102005829003</v>
      </c>
      <c r="S35" s="780">
        <f t="shared" si="1"/>
        <v>620.02390914524813</v>
      </c>
      <c r="T35" s="780">
        <f t="shared" si="1"/>
        <v>41.071428571428598</v>
      </c>
      <c r="U35" s="780">
        <f t="shared" si="1"/>
        <v>211630.33472803351</v>
      </c>
      <c r="V35" s="780">
        <f t="shared" si="1"/>
        <v>12.207087434498014</v>
      </c>
      <c r="W35" s="780">
        <f t="shared" si="1"/>
        <v>241.36085626911313</v>
      </c>
      <c r="X35" s="780">
        <f t="shared" si="1"/>
        <v>33.980582524271796</v>
      </c>
      <c r="Y35" s="780">
        <f t="shared" si="1"/>
        <v>380143.34862385318</v>
      </c>
      <c r="Z35" s="780">
        <f t="shared" si="1"/>
        <v>43.221395472828263</v>
      </c>
    </row>
    <row r="36" spans="1:26" x14ac:dyDescent="0.25">
      <c r="A36" s="762" t="s">
        <v>839</v>
      </c>
      <c r="B36" s="762" t="s">
        <v>840</v>
      </c>
      <c r="C36" s="763">
        <v>175.71428571428572</v>
      </c>
      <c r="D36" s="764">
        <v>8.0357142857142758</v>
      </c>
      <c r="E36" s="763">
        <v>3514.2857142857147</v>
      </c>
      <c r="F36" s="764">
        <v>0.35705076071648167</v>
      </c>
      <c r="G36" s="765">
        <v>12.362938596491228</v>
      </c>
      <c r="H36" s="766">
        <v>0.80000000000000648</v>
      </c>
      <c r="I36" s="765">
        <v>247.25877192982455</v>
      </c>
      <c r="J36" s="766">
        <v>0.13141467901964662</v>
      </c>
      <c r="K36" s="763">
        <v>125.97765363128492</v>
      </c>
      <c r="L36" s="764">
        <v>5.4545454545454373</v>
      </c>
      <c r="M36" s="763">
        <v>2519.5530726256984</v>
      </c>
      <c r="N36" s="767">
        <v>0.18386014371734669</v>
      </c>
      <c r="O36" s="765">
        <v>8.9733386390768022</v>
      </c>
      <c r="P36" s="766">
        <v>0.93457943925233555</v>
      </c>
      <c r="Q36" s="765">
        <v>179.46677278153604</v>
      </c>
      <c r="R36" s="766">
        <v>8.5719183953369363E-3</v>
      </c>
      <c r="S36" s="372"/>
      <c r="T36" s="372"/>
      <c r="U36" s="372"/>
      <c r="V36" s="372"/>
      <c r="W36" s="765">
        <v>158.60856269113148</v>
      </c>
      <c r="X36" s="766">
        <v>22.330097087378604</v>
      </c>
      <c r="Y36" s="765">
        <v>3172.1712538226298</v>
      </c>
      <c r="Z36" s="766">
        <v>0.36066833410432653</v>
      </c>
    </row>
    <row r="37" spans="1:26" x14ac:dyDescent="0.25">
      <c r="A37" s="762" t="s">
        <v>841</v>
      </c>
      <c r="B37" s="762" t="s">
        <v>842</v>
      </c>
      <c r="C37" s="763">
        <v>19.523809523809526</v>
      </c>
      <c r="D37" s="764">
        <v>0.89285714285714179</v>
      </c>
      <c r="E37" s="763">
        <v>2440.4761904761908</v>
      </c>
      <c r="F37" s="764">
        <v>0.24795191716422338</v>
      </c>
      <c r="G37" s="84"/>
      <c r="H37" s="84"/>
      <c r="I37" s="84"/>
      <c r="J37" s="84"/>
      <c r="K37" s="372"/>
      <c r="L37" s="372"/>
      <c r="M37" s="372"/>
      <c r="N37" s="769"/>
      <c r="O37" s="84"/>
      <c r="P37" s="84"/>
      <c r="Q37" s="84"/>
      <c r="R37" s="84"/>
      <c r="S37" s="372"/>
      <c r="T37" s="372"/>
      <c r="U37" s="372"/>
      <c r="V37" s="372"/>
      <c r="W37" s="84"/>
      <c r="X37" s="84"/>
      <c r="Y37" s="84"/>
      <c r="Z37" s="84"/>
    </row>
    <row r="38" spans="1:26" x14ac:dyDescent="0.25">
      <c r="A38" s="762" t="s">
        <v>164</v>
      </c>
      <c r="B38" s="762" t="s">
        <v>840</v>
      </c>
      <c r="C38" s="372"/>
      <c r="D38" s="372"/>
      <c r="E38" s="372"/>
      <c r="F38" s="372"/>
      <c r="G38" s="84"/>
      <c r="H38" s="84"/>
      <c r="I38" s="84"/>
      <c r="J38" s="84"/>
      <c r="K38" s="372"/>
      <c r="L38" s="372"/>
      <c r="M38" s="372"/>
      <c r="N38" s="372"/>
      <c r="O38" s="765">
        <v>26.920015917230405</v>
      </c>
      <c r="P38" s="766">
        <v>2.8037383177570061</v>
      </c>
      <c r="Q38" s="765">
        <v>13998.40827695981</v>
      </c>
      <c r="R38" s="766">
        <v>0.66860963483628111</v>
      </c>
      <c r="S38" s="372"/>
      <c r="T38" s="372"/>
      <c r="U38" s="372"/>
      <c r="V38" s="372"/>
      <c r="W38" s="765">
        <v>158.60856269113148</v>
      </c>
      <c r="X38" s="766">
        <v>22.330097087378604</v>
      </c>
      <c r="Y38" s="765">
        <v>82476.452599388373</v>
      </c>
      <c r="Z38" s="766">
        <v>9.3773766867124912</v>
      </c>
    </row>
    <row r="39" spans="1:26" x14ac:dyDescent="0.25">
      <c r="A39" s="762"/>
      <c r="B39" s="781" t="s">
        <v>866</v>
      </c>
      <c r="C39" s="780">
        <f>AVERAGE(C36:C38)</f>
        <v>97.61904761904762</v>
      </c>
      <c r="D39" s="780">
        <f t="shared" ref="D39:Z39" si="2">AVERAGE(D36:D38)</f>
        <v>4.4642857142857091</v>
      </c>
      <c r="E39" s="780">
        <f t="shared" si="2"/>
        <v>2977.3809523809527</v>
      </c>
      <c r="F39" s="780">
        <f t="shared" si="2"/>
        <v>0.30250133894035253</v>
      </c>
      <c r="G39" s="780">
        <f t="shared" si="2"/>
        <v>12.362938596491228</v>
      </c>
      <c r="H39" s="780">
        <f t="shared" si="2"/>
        <v>0.80000000000000648</v>
      </c>
      <c r="I39" s="780">
        <f t="shared" si="2"/>
        <v>247.25877192982455</v>
      </c>
      <c r="J39" s="780">
        <f t="shared" si="2"/>
        <v>0.13141467901964662</v>
      </c>
      <c r="K39" s="780">
        <f t="shared" si="2"/>
        <v>125.97765363128492</v>
      </c>
      <c r="L39" s="780">
        <f t="shared" si="2"/>
        <v>5.4545454545454373</v>
      </c>
      <c r="M39" s="780">
        <f t="shared" si="2"/>
        <v>2519.5530726256984</v>
      </c>
      <c r="N39" s="780">
        <f t="shared" si="2"/>
        <v>0.18386014371734669</v>
      </c>
      <c r="O39" s="780">
        <f t="shared" si="2"/>
        <v>17.946677278153604</v>
      </c>
      <c r="P39" s="780">
        <f t="shared" si="2"/>
        <v>1.8691588785046709</v>
      </c>
      <c r="Q39" s="780">
        <f t="shared" si="2"/>
        <v>7088.9375248706729</v>
      </c>
      <c r="R39" s="780">
        <f t="shared" si="2"/>
        <v>0.338590776615809</v>
      </c>
      <c r="S39" s="780"/>
      <c r="T39" s="780"/>
      <c r="U39" s="780"/>
      <c r="V39" s="780"/>
      <c r="W39" s="780">
        <f t="shared" si="2"/>
        <v>158.60856269113148</v>
      </c>
      <c r="X39" s="780">
        <f t="shared" si="2"/>
        <v>22.330097087378604</v>
      </c>
      <c r="Y39" s="780">
        <f t="shared" si="2"/>
        <v>42824.3119266055</v>
      </c>
      <c r="Z39" s="780">
        <f t="shared" si="2"/>
        <v>4.8690225104084091</v>
      </c>
    </row>
    <row r="40" spans="1:26" x14ac:dyDescent="0.25">
      <c r="A40" s="762" t="s">
        <v>12</v>
      </c>
      <c r="B40" s="762" t="s">
        <v>843</v>
      </c>
      <c r="C40" s="372"/>
      <c r="D40" s="372"/>
      <c r="E40" s="372"/>
      <c r="F40" s="372"/>
      <c r="G40" s="84"/>
      <c r="H40" s="84"/>
      <c r="I40" s="84"/>
      <c r="J40" s="84"/>
      <c r="K40" s="372"/>
      <c r="L40" s="372"/>
      <c r="M40" s="372"/>
      <c r="N40" s="372"/>
      <c r="O40" s="765">
        <v>62.81337047353761</v>
      </c>
      <c r="P40" s="766">
        <v>6.5420560747663474</v>
      </c>
      <c r="Q40" s="765">
        <v>33165.459610027858</v>
      </c>
      <c r="R40" s="766">
        <v>1.5840905194582657</v>
      </c>
      <c r="S40" s="372"/>
      <c r="T40" s="372"/>
      <c r="U40" s="372"/>
      <c r="V40" s="372"/>
      <c r="W40" s="84"/>
      <c r="X40" s="84"/>
      <c r="Y40" s="84"/>
      <c r="Z40" s="84"/>
    </row>
    <row r="41" spans="1:26" x14ac:dyDescent="0.25">
      <c r="A41" s="762" t="s">
        <v>844</v>
      </c>
      <c r="B41" s="762" t="s">
        <v>843</v>
      </c>
      <c r="C41" s="372"/>
      <c r="D41" s="372"/>
      <c r="E41" s="372"/>
      <c r="F41" s="372"/>
      <c r="G41" s="84"/>
      <c r="H41" s="84"/>
      <c r="I41" s="84"/>
      <c r="J41" s="84"/>
      <c r="K41" s="372"/>
      <c r="L41" s="372"/>
      <c r="M41" s="372"/>
      <c r="N41" s="372"/>
      <c r="O41" s="765">
        <v>35.893354556307209</v>
      </c>
      <c r="P41" s="766">
        <v>3.7383177570093422</v>
      </c>
      <c r="Q41" s="765">
        <v>21141.185833664946</v>
      </c>
      <c r="R41" s="766">
        <v>1.0097719869706911</v>
      </c>
      <c r="S41" s="763">
        <v>26.957561267184701</v>
      </c>
      <c r="T41" s="764">
        <v>1.7857142857142867</v>
      </c>
      <c r="U41" s="763">
        <v>79390.017931858951</v>
      </c>
      <c r="V41" s="764">
        <v>4.579309915877543</v>
      </c>
      <c r="W41" s="84"/>
      <c r="X41" s="84"/>
      <c r="Y41" s="84"/>
      <c r="Z41" s="84"/>
    </row>
    <row r="42" spans="1:26" x14ac:dyDescent="0.25">
      <c r="A42" s="762" t="s">
        <v>14</v>
      </c>
      <c r="B42" s="762" t="s">
        <v>843</v>
      </c>
      <c r="C42" s="763">
        <v>19.523809523809526</v>
      </c>
      <c r="D42" s="764">
        <v>0.89285714285714179</v>
      </c>
      <c r="E42" s="763">
        <v>16497.61904761905</v>
      </c>
      <c r="F42" s="764">
        <v>1.67615496003015</v>
      </c>
      <c r="G42" s="84"/>
      <c r="H42" s="84"/>
      <c r="I42" s="84"/>
      <c r="J42" s="84"/>
      <c r="K42" s="372"/>
      <c r="L42" s="372"/>
      <c r="M42" s="372"/>
      <c r="N42" s="372"/>
      <c r="O42" s="765"/>
      <c r="P42" s="766"/>
      <c r="Q42" s="765"/>
      <c r="R42" s="766"/>
      <c r="S42" s="763"/>
      <c r="T42" s="764"/>
      <c r="U42" s="763"/>
      <c r="V42" s="764"/>
      <c r="W42" s="84"/>
      <c r="X42" s="84"/>
      <c r="Y42" s="84"/>
      <c r="Z42" s="84"/>
    </row>
    <row r="43" spans="1:26" x14ac:dyDescent="0.25">
      <c r="A43" s="762" t="s">
        <v>13</v>
      </c>
      <c r="B43" s="762" t="s">
        <v>843</v>
      </c>
      <c r="C43" s="372"/>
      <c r="D43" s="372"/>
      <c r="E43" s="372"/>
      <c r="F43" s="372"/>
      <c r="G43" s="84"/>
      <c r="H43" s="84"/>
      <c r="I43" s="84"/>
      <c r="J43" s="84"/>
      <c r="K43" s="763">
        <v>83.98510242085662</v>
      </c>
      <c r="L43" s="764">
        <v>3.6363636363636256</v>
      </c>
      <c r="M43" s="763">
        <v>671880.81936685299</v>
      </c>
      <c r="N43" s="767">
        <v>49.029371657959118</v>
      </c>
      <c r="O43" s="765">
        <v>170.49343414245922</v>
      </c>
      <c r="P43" s="766">
        <v>17.757009345794373</v>
      </c>
      <c r="Q43" s="765">
        <v>1363947.4731396737</v>
      </c>
      <c r="R43" s="766">
        <v>65.146579804560716</v>
      </c>
      <c r="S43" s="763">
        <v>148.26658696951586</v>
      </c>
      <c r="T43" s="764">
        <v>9.8214285714285765</v>
      </c>
      <c r="U43" s="763">
        <v>1186132.6957561269</v>
      </c>
      <c r="V43" s="764">
        <v>68.417533547915738</v>
      </c>
      <c r="W43" s="765">
        <v>48.272171253822627</v>
      </c>
      <c r="X43" s="766">
        <v>6.7961165048543588</v>
      </c>
      <c r="Y43" s="765">
        <v>386177.37003058102</v>
      </c>
      <c r="Z43" s="766">
        <v>43.907449369222363</v>
      </c>
    </row>
    <row r="44" spans="1:26" x14ac:dyDescent="0.25">
      <c r="A44" s="762" t="s">
        <v>845</v>
      </c>
      <c r="B44" s="762" t="s">
        <v>843</v>
      </c>
      <c r="C44" s="372"/>
      <c r="D44" s="372"/>
      <c r="E44" s="372"/>
      <c r="F44" s="372"/>
      <c r="G44" s="84"/>
      <c r="H44" s="84"/>
      <c r="I44" s="84"/>
      <c r="J44" s="84"/>
      <c r="K44" s="372"/>
      <c r="L44" s="372"/>
      <c r="M44" s="372"/>
      <c r="N44" s="372"/>
      <c r="O44" s="765">
        <v>8.9733386390768022</v>
      </c>
      <c r="P44" s="766">
        <v>0.93457943925233555</v>
      </c>
      <c r="Q44" s="765">
        <v>1974.1345005968965</v>
      </c>
      <c r="R44" s="766">
        <v>9.4291102348706302E-2</v>
      </c>
      <c r="S44" s="372"/>
      <c r="T44" s="372"/>
      <c r="U44" s="372"/>
      <c r="V44" s="372"/>
      <c r="W44" s="84"/>
      <c r="X44" s="84"/>
      <c r="Y44" s="84"/>
      <c r="Z44" s="84"/>
    </row>
    <row r="45" spans="1:26" x14ac:dyDescent="0.25">
      <c r="A45" s="762" t="s">
        <v>846</v>
      </c>
      <c r="B45" s="762" t="s">
        <v>843</v>
      </c>
      <c r="C45" s="372"/>
      <c r="D45" s="372"/>
      <c r="E45" s="372"/>
      <c r="F45" s="372"/>
      <c r="G45" s="84"/>
      <c r="H45" s="84"/>
      <c r="I45" s="84"/>
      <c r="J45" s="84"/>
      <c r="K45" s="763"/>
      <c r="L45" s="764"/>
      <c r="M45" s="763"/>
      <c r="N45" s="764"/>
      <c r="O45" s="765">
        <v>8.9733386390768022</v>
      </c>
      <c r="P45" s="766">
        <v>0.93457943925233555</v>
      </c>
      <c r="Q45" s="765">
        <v>1660.0676482292083</v>
      </c>
      <c r="R45" s="766">
        <v>7.9290245156866668E-2</v>
      </c>
      <c r="S45" s="372"/>
      <c r="T45" s="372"/>
      <c r="U45" s="372"/>
      <c r="V45" s="372"/>
      <c r="W45" s="765">
        <v>6.8960244648318039</v>
      </c>
      <c r="X45" s="766">
        <v>0.97087378640776556</v>
      </c>
      <c r="Y45" s="765">
        <v>1275.7645259938838</v>
      </c>
      <c r="Z45" s="766">
        <v>0.1450513952376096</v>
      </c>
    </row>
    <row r="46" spans="1:26" x14ac:dyDescent="0.25">
      <c r="A46" s="762" t="s">
        <v>847</v>
      </c>
      <c r="B46" s="762" t="s">
        <v>843</v>
      </c>
      <c r="C46" s="372"/>
      <c r="D46" s="372"/>
      <c r="E46" s="372"/>
      <c r="F46" s="372"/>
      <c r="G46" s="84"/>
      <c r="H46" s="84"/>
      <c r="I46" s="84"/>
      <c r="J46" s="84"/>
      <c r="K46" s="372"/>
      <c r="L46" s="372"/>
      <c r="M46" s="372"/>
      <c r="N46" s="372"/>
      <c r="O46" s="765">
        <v>8.9733386390768022</v>
      </c>
      <c r="P46" s="766">
        <v>0.93457943925233555</v>
      </c>
      <c r="Q46" s="765">
        <v>1346.0007958615204</v>
      </c>
      <c r="R46" s="766">
        <v>6.4289387965027034E-2</v>
      </c>
      <c r="S46" s="372"/>
      <c r="T46" s="372"/>
      <c r="U46" s="372"/>
      <c r="V46" s="372"/>
      <c r="W46" s="765">
        <v>6.8960244648318039</v>
      </c>
      <c r="X46" s="766">
        <v>0.97087378640776556</v>
      </c>
      <c r="Y46" s="765">
        <v>1034.4036697247707</v>
      </c>
      <c r="Z46" s="766">
        <v>0.11760923938184563</v>
      </c>
    </row>
    <row r="47" spans="1:26" x14ac:dyDescent="0.25">
      <c r="A47" s="762" t="s">
        <v>848</v>
      </c>
      <c r="B47" s="762" t="s">
        <v>843</v>
      </c>
      <c r="C47" s="372"/>
      <c r="D47" s="372"/>
      <c r="E47" s="372"/>
      <c r="F47" s="372"/>
      <c r="G47" s="84"/>
      <c r="H47" s="84"/>
      <c r="I47" s="84"/>
      <c r="J47" s="84"/>
      <c r="K47" s="372"/>
      <c r="L47" s="372"/>
      <c r="M47" s="372"/>
      <c r="N47" s="372"/>
      <c r="O47" s="765">
        <v>8.9733386390768022</v>
      </c>
      <c r="P47" s="766">
        <v>0.93457943925233555</v>
      </c>
      <c r="Q47" s="765">
        <v>5186.5897333863913</v>
      </c>
      <c r="R47" s="766">
        <v>0.24772844162523747</v>
      </c>
      <c r="S47" s="372"/>
      <c r="T47" s="372"/>
      <c r="U47" s="372"/>
      <c r="V47" s="372"/>
      <c r="W47" s="84"/>
      <c r="X47" s="84"/>
      <c r="Y47" s="84"/>
      <c r="Z47" s="84"/>
    </row>
    <row r="48" spans="1:26" x14ac:dyDescent="0.25">
      <c r="A48" s="762" t="s">
        <v>849</v>
      </c>
      <c r="B48" s="762" t="s">
        <v>843</v>
      </c>
      <c r="C48" s="372"/>
      <c r="D48" s="372"/>
      <c r="E48" s="372"/>
      <c r="F48" s="372"/>
      <c r="G48" s="84"/>
      <c r="H48" s="84"/>
      <c r="I48" s="84"/>
      <c r="J48" s="84"/>
      <c r="K48" s="372"/>
      <c r="L48" s="372"/>
      <c r="M48" s="372"/>
      <c r="N48" s="372"/>
      <c r="O48" s="765">
        <v>8.9733386390768022</v>
      </c>
      <c r="P48" s="766">
        <v>0.93457943925233555</v>
      </c>
      <c r="Q48" s="765">
        <v>3320.1352964584166</v>
      </c>
      <c r="R48" s="766">
        <v>0.15858049031373334</v>
      </c>
      <c r="S48" s="372"/>
      <c r="T48" s="372"/>
      <c r="U48" s="372"/>
      <c r="V48" s="372"/>
      <c r="W48" s="765">
        <v>13.792048929663608</v>
      </c>
      <c r="X48" s="766">
        <v>1.9417475728155311</v>
      </c>
      <c r="Y48" s="765">
        <v>5103.0581039755352</v>
      </c>
      <c r="Z48" s="766">
        <v>0.58020558095043839</v>
      </c>
    </row>
    <row r="49" spans="1:26" x14ac:dyDescent="0.25">
      <c r="A49" s="770" t="s">
        <v>850</v>
      </c>
      <c r="B49" s="770" t="s">
        <v>843</v>
      </c>
      <c r="C49" s="771"/>
      <c r="D49" s="771"/>
      <c r="E49" s="771"/>
      <c r="F49" s="771"/>
      <c r="G49" s="772"/>
      <c r="H49" s="772"/>
      <c r="I49" s="772"/>
      <c r="J49" s="772"/>
      <c r="K49" s="771"/>
      <c r="L49" s="771"/>
      <c r="M49" s="771"/>
      <c r="N49" s="771"/>
      <c r="O49" s="773">
        <v>8.9733386390768022</v>
      </c>
      <c r="P49" s="774">
        <v>0.93457943925233555</v>
      </c>
      <c r="Q49" s="773">
        <v>48456.028651014734</v>
      </c>
      <c r="R49" s="774">
        <v>2.3144179667409732</v>
      </c>
      <c r="S49" s="372"/>
      <c r="T49" s="372"/>
      <c r="U49" s="372"/>
      <c r="V49" s="372"/>
      <c r="W49" s="84"/>
      <c r="X49" s="84"/>
      <c r="Y49" s="84"/>
      <c r="Z49" s="84"/>
    </row>
    <row r="50" spans="1:26" x14ac:dyDescent="0.25">
      <c r="A50" s="762" t="s">
        <v>851</v>
      </c>
      <c r="B50" s="762" t="s">
        <v>843</v>
      </c>
      <c r="C50" s="372"/>
      <c r="D50" s="372"/>
      <c r="E50" s="372"/>
      <c r="F50" s="372"/>
      <c r="G50" s="84"/>
      <c r="H50" s="84"/>
      <c r="I50" s="84"/>
      <c r="J50" s="84"/>
      <c r="K50" s="372"/>
      <c r="L50" s="372"/>
      <c r="M50" s="372"/>
      <c r="N50" s="372"/>
      <c r="O50" s="84"/>
      <c r="P50" s="84"/>
      <c r="Q50" s="84"/>
      <c r="R50" s="84"/>
      <c r="S50" s="763">
        <v>13.478780633592351</v>
      </c>
      <c r="T50" s="764">
        <v>0.89285714285714335</v>
      </c>
      <c r="U50" s="763">
        <v>37066.646742378958</v>
      </c>
      <c r="V50" s="764">
        <v>2.1380479233723668</v>
      </c>
      <c r="W50" s="84"/>
      <c r="X50" s="84"/>
      <c r="Y50" s="84"/>
      <c r="Z50" s="84"/>
    </row>
    <row r="51" spans="1:26" x14ac:dyDescent="0.25">
      <c r="A51" s="762" t="s">
        <v>852</v>
      </c>
      <c r="B51" s="762" t="s">
        <v>843</v>
      </c>
      <c r="C51" s="372"/>
      <c r="D51" s="372"/>
      <c r="E51" s="372"/>
      <c r="F51" s="372"/>
      <c r="G51" s="84"/>
      <c r="H51" s="84"/>
      <c r="I51" s="84"/>
      <c r="J51" s="84"/>
      <c r="K51" s="372"/>
      <c r="L51" s="372"/>
      <c r="M51" s="372"/>
      <c r="N51" s="372"/>
      <c r="O51" s="84"/>
      <c r="P51" s="84"/>
      <c r="Q51" s="84"/>
      <c r="R51" s="84"/>
      <c r="S51" s="763">
        <v>13.478780633592351</v>
      </c>
      <c r="T51" s="764">
        <v>0.89285714285714335</v>
      </c>
      <c r="U51" s="763">
        <v>5863.2695756126723</v>
      </c>
      <c r="V51" s="764">
        <v>0.33820030787890165</v>
      </c>
      <c r="W51" s="84"/>
      <c r="X51" s="84"/>
      <c r="Y51" s="84"/>
      <c r="Z51" s="84"/>
    </row>
    <row r="52" spans="1:26" x14ac:dyDescent="0.25">
      <c r="A52" s="762" t="s">
        <v>853</v>
      </c>
      <c r="B52" s="762" t="s">
        <v>843</v>
      </c>
      <c r="C52" s="372"/>
      <c r="D52" s="372"/>
      <c r="E52" s="372"/>
      <c r="F52" s="372"/>
      <c r="G52" s="84"/>
      <c r="H52" s="84"/>
      <c r="I52" s="84"/>
      <c r="J52" s="84"/>
      <c r="K52" s="372"/>
      <c r="L52" s="372"/>
      <c r="M52" s="372"/>
      <c r="N52" s="372"/>
      <c r="O52" s="84"/>
      <c r="P52" s="84"/>
      <c r="Q52" s="84"/>
      <c r="R52" s="84"/>
      <c r="S52" s="768"/>
      <c r="T52" s="372"/>
      <c r="U52" s="372"/>
      <c r="V52" s="372"/>
      <c r="W52" s="765">
        <v>6.8960244648318039</v>
      </c>
      <c r="X52" s="766">
        <v>0.97087378640776556</v>
      </c>
      <c r="Y52" s="765">
        <v>1324.0366972477063</v>
      </c>
      <c r="Z52" s="766">
        <v>0.1505398264087624</v>
      </c>
    </row>
    <row r="53" spans="1:26" x14ac:dyDescent="0.25">
      <c r="A53" s="762" t="s">
        <v>854</v>
      </c>
      <c r="B53" s="762" t="s">
        <v>843</v>
      </c>
      <c r="C53" s="372"/>
      <c r="D53" s="372"/>
      <c r="E53" s="372"/>
      <c r="F53" s="372"/>
      <c r="G53" s="84"/>
      <c r="H53" s="84"/>
      <c r="I53" s="84"/>
      <c r="J53" s="84"/>
      <c r="K53" s="372"/>
      <c r="L53" s="372"/>
      <c r="M53" s="372"/>
      <c r="N53" s="372"/>
      <c r="O53" s="84"/>
      <c r="P53" s="84"/>
      <c r="Q53" s="84"/>
      <c r="R53" s="84"/>
      <c r="S53" s="768"/>
      <c r="T53" s="372"/>
      <c r="U53" s="372"/>
      <c r="V53" s="372"/>
      <c r="W53" s="765">
        <v>6.8960244648318039</v>
      </c>
      <c r="X53" s="766">
        <v>0.97087378640776556</v>
      </c>
      <c r="Y53" s="765">
        <v>1999.8470948012232</v>
      </c>
      <c r="Z53" s="766">
        <v>0.22737786280490152</v>
      </c>
    </row>
    <row r="54" spans="1:26" x14ac:dyDescent="0.25">
      <c r="A54" s="762" t="s">
        <v>855</v>
      </c>
      <c r="B54" s="762" t="s">
        <v>843</v>
      </c>
      <c r="C54" s="372"/>
      <c r="D54" s="372"/>
      <c r="E54" s="372"/>
      <c r="F54" s="372"/>
      <c r="G54" s="84"/>
      <c r="H54" s="84"/>
      <c r="I54" s="84"/>
      <c r="J54" s="84"/>
      <c r="K54" s="372"/>
      <c r="L54" s="372"/>
      <c r="M54" s="372"/>
      <c r="N54" s="372"/>
      <c r="O54" s="84"/>
      <c r="P54" s="84"/>
      <c r="Q54" s="84"/>
      <c r="R54" s="84"/>
      <c r="S54" s="768"/>
      <c r="T54" s="372"/>
      <c r="U54" s="372"/>
      <c r="V54" s="372"/>
      <c r="W54" s="765">
        <v>6.8960244648318039</v>
      </c>
      <c r="X54" s="766">
        <v>0.97087378640776556</v>
      </c>
      <c r="Y54" s="765">
        <v>1855.0305810397551</v>
      </c>
      <c r="Z54" s="766">
        <v>0.21091256929144311</v>
      </c>
    </row>
    <row r="55" spans="1:26" x14ac:dyDescent="0.25">
      <c r="A55" s="762" t="s">
        <v>856</v>
      </c>
      <c r="B55" s="762" t="s">
        <v>843</v>
      </c>
      <c r="C55" s="372"/>
      <c r="D55" s="372"/>
      <c r="E55" s="372"/>
      <c r="F55" s="372"/>
      <c r="G55" s="84"/>
      <c r="H55" s="84"/>
      <c r="I55" s="84"/>
      <c r="J55" s="84"/>
      <c r="K55" s="372"/>
      <c r="L55" s="372"/>
      <c r="M55" s="372"/>
      <c r="N55" s="372"/>
      <c r="O55" s="84"/>
      <c r="P55" s="84"/>
      <c r="Q55" s="84"/>
      <c r="R55" s="84"/>
      <c r="S55" s="768"/>
      <c r="T55" s="372"/>
      <c r="U55" s="372"/>
      <c r="V55" s="372"/>
      <c r="W55" s="765">
        <v>6.8960244648318039</v>
      </c>
      <c r="X55" s="766">
        <v>0.97087378640776556</v>
      </c>
      <c r="Y55" s="765">
        <v>3310.0917431192656</v>
      </c>
      <c r="Z55" s="766">
        <v>0.37634956602190595</v>
      </c>
    </row>
    <row r="56" spans="1:26" x14ac:dyDescent="0.25">
      <c r="A56" s="762" t="s">
        <v>857</v>
      </c>
      <c r="B56" s="762" t="s">
        <v>843</v>
      </c>
      <c r="C56" s="372"/>
      <c r="D56" s="372"/>
      <c r="E56" s="372"/>
      <c r="F56" s="372"/>
      <c r="G56" s="84"/>
      <c r="H56" s="84"/>
      <c r="I56" s="84"/>
      <c r="J56" s="84"/>
      <c r="K56" s="372"/>
      <c r="L56" s="372"/>
      <c r="M56" s="372"/>
      <c r="N56" s="372"/>
      <c r="O56" s="84"/>
      <c r="P56" s="84"/>
      <c r="Q56" s="84"/>
      <c r="R56" s="84"/>
      <c r="S56" s="768"/>
      <c r="T56" s="372"/>
      <c r="U56" s="372"/>
      <c r="V56" s="372"/>
      <c r="W56" s="765">
        <v>6.8960244648318039</v>
      </c>
      <c r="X56" s="766">
        <v>0.97087378640776556</v>
      </c>
      <c r="Y56" s="765">
        <v>3172.1712538226298</v>
      </c>
      <c r="Z56" s="766">
        <v>0.36066833410432653</v>
      </c>
    </row>
    <row r="57" spans="1:26" x14ac:dyDescent="0.25">
      <c r="A57" s="762" t="s">
        <v>858</v>
      </c>
      <c r="B57" s="762" t="s">
        <v>843</v>
      </c>
      <c r="C57" s="372"/>
      <c r="D57" s="372"/>
      <c r="E57" s="372"/>
      <c r="F57" s="372"/>
      <c r="G57" s="84"/>
      <c r="H57" s="84"/>
      <c r="I57" s="84"/>
      <c r="J57" s="84"/>
      <c r="K57" s="372"/>
      <c r="L57" s="372"/>
      <c r="M57" s="372"/>
      <c r="N57" s="372"/>
      <c r="O57" s="84"/>
      <c r="P57" s="84"/>
      <c r="Q57" s="84"/>
      <c r="R57" s="84"/>
      <c r="S57" s="372"/>
      <c r="T57" s="372"/>
      <c r="U57" s="372"/>
      <c r="V57" s="372"/>
      <c r="W57" s="765">
        <v>6.8960244648318039</v>
      </c>
      <c r="X57" s="766">
        <v>0.97087378640776556</v>
      </c>
      <c r="Y57" s="765">
        <v>2758.4097859327217</v>
      </c>
      <c r="Z57" s="766">
        <v>0.31362463835158833</v>
      </c>
    </row>
    <row r="58" spans="1:26" ht="13" x14ac:dyDescent="0.3">
      <c r="A58" s="754"/>
      <c r="B58" s="781" t="s">
        <v>866</v>
      </c>
      <c r="C58" s="780">
        <f>AVERAGE(C40:C57)</f>
        <v>19.523809523809526</v>
      </c>
      <c r="D58" s="780">
        <f t="shared" ref="D58:Z58" si="3">AVERAGE(D40:D57)</f>
        <v>0.89285714285714179</v>
      </c>
      <c r="E58" s="780">
        <f t="shared" si="3"/>
        <v>16497.61904761905</v>
      </c>
      <c r="F58" s="780">
        <f t="shared" si="3"/>
        <v>1.67615496003015</v>
      </c>
      <c r="G58" s="780"/>
      <c r="H58" s="780"/>
      <c r="I58" s="780"/>
      <c r="J58" s="780"/>
      <c r="K58" s="780">
        <f t="shared" si="3"/>
        <v>83.98510242085662</v>
      </c>
      <c r="L58" s="780">
        <f t="shared" si="3"/>
        <v>3.6363636363636256</v>
      </c>
      <c r="M58" s="780">
        <f t="shared" si="3"/>
        <v>671880.81936685299</v>
      </c>
      <c r="N58" s="780">
        <f t="shared" si="3"/>
        <v>49.029371657959118</v>
      </c>
      <c r="O58" s="780">
        <f t="shared" si="3"/>
        <v>35.893354556307216</v>
      </c>
      <c r="P58" s="780">
        <f t="shared" si="3"/>
        <v>3.7383177570093427</v>
      </c>
      <c r="Q58" s="780">
        <f t="shared" si="3"/>
        <v>164466.34168987928</v>
      </c>
      <c r="R58" s="780">
        <f t="shared" si="3"/>
        <v>7.8554488827933602</v>
      </c>
      <c r="S58" s="780">
        <f t="shared" si="3"/>
        <v>50.545427375971315</v>
      </c>
      <c r="T58" s="780">
        <f t="shared" si="3"/>
        <v>3.3482142857142878</v>
      </c>
      <c r="U58" s="780">
        <f t="shared" si="3"/>
        <v>327113.1575014944</v>
      </c>
      <c r="V58" s="780">
        <f t="shared" si="3"/>
        <v>18.86827292376114</v>
      </c>
      <c r="W58" s="780">
        <f t="shared" si="3"/>
        <v>11.723241590214069</v>
      </c>
      <c r="X58" s="780">
        <f t="shared" si="3"/>
        <v>1.6504854368932012</v>
      </c>
      <c r="Y58" s="780">
        <f t="shared" si="3"/>
        <v>40801.01834862386</v>
      </c>
      <c r="Z58" s="780">
        <f t="shared" si="3"/>
        <v>4.6389788381775183</v>
      </c>
    </row>
    <row r="59" spans="1:26" ht="13" x14ac:dyDescent="0.3">
      <c r="A59" s="754"/>
      <c r="B59" s="752"/>
      <c r="C59" s="752"/>
      <c r="D59" s="752"/>
      <c r="E59" s="752"/>
      <c r="F59" s="752"/>
      <c r="G59" s="752"/>
      <c r="H59" s="89"/>
    </row>
    <row r="60" spans="1:26" ht="13" x14ac:dyDescent="0.3">
      <c r="A60" s="775" t="s">
        <v>859</v>
      </c>
      <c r="B60" s="776">
        <v>40385</v>
      </c>
      <c r="C60" s="776">
        <v>40399</v>
      </c>
      <c r="D60" s="776">
        <v>40413</v>
      </c>
      <c r="E60" s="776">
        <v>40428</v>
      </c>
      <c r="F60" s="776">
        <v>40428</v>
      </c>
      <c r="G60" s="776">
        <v>40448</v>
      </c>
      <c r="H60" s="89"/>
    </row>
    <row r="61" spans="1:26" ht="13" x14ac:dyDescent="0.3">
      <c r="A61" s="775" t="s">
        <v>860</v>
      </c>
      <c r="B61" s="777">
        <v>2186.6666666666697</v>
      </c>
      <c r="C61" s="777">
        <v>1545.3673245613911</v>
      </c>
      <c r="D61" s="777">
        <v>2309.590316573564</v>
      </c>
      <c r="E61" s="777">
        <v>960.14723438121882</v>
      </c>
      <c r="F61" s="777">
        <v>1509.6234309623424</v>
      </c>
      <c r="G61" s="777">
        <v>710.29051987767684</v>
      </c>
      <c r="H61" s="89"/>
    </row>
    <row r="62" spans="1:26" ht="15" x14ac:dyDescent="0.3">
      <c r="A62" s="775" t="s">
        <v>861</v>
      </c>
      <c r="B62" s="777">
        <v>984253.80952381017</v>
      </c>
      <c r="C62" s="777">
        <v>188151.56249999983</v>
      </c>
      <c r="D62" s="777">
        <v>1370363.9199255046</v>
      </c>
      <c r="E62" s="777">
        <v>2093659.3712693846</v>
      </c>
      <c r="F62" s="777">
        <v>1733667.7226539117</v>
      </c>
      <c r="G62" s="777">
        <v>879525.85626911477</v>
      </c>
      <c r="H62" s="89"/>
    </row>
    <row r="63" spans="1:26" ht="13" x14ac:dyDescent="0.3">
      <c r="A63" s="775" t="s">
        <v>862</v>
      </c>
      <c r="B63" s="778">
        <v>49.732269287109375</v>
      </c>
      <c r="C63" s="778">
        <v>37.824989318847656</v>
      </c>
      <c r="D63" s="778">
        <v>52.117992401123047</v>
      </c>
      <c r="E63" s="778">
        <v>55.174160003662109</v>
      </c>
      <c r="F63" s="778">
        <v>53.813591003417969</v>
      </c>
      <c r="G63" s="778">
        <v>48.92144775390625</v>
      </c>
      <c r="H63" s="89"/>
    </row>
    <row r="64" spans="1:26" ht="13" x14ac:dyDescent="0.3">
      <c r="A64" s="754"/>
      <c r="B64" s="752"/>
      <c r="C64" s="752"/>
      <c r="D64" s="752"/>
      <c r="E64" s="752"/>
      <c r="F64" s="752"/>
      <c r="G64" s="752"/>
      <c r="H64" s="753"/>
    </row>
    <row r="65" spans="1:8" ht="13" x14ac:dyDescent="0.3">
      <c r="A65" s="754"/>
      <c r="B65" s="752"/>
      <c r="C65" s="752"/>
      <c r="D65" s="752"/>
      <c r="E65" s="752"/>
      <c r="F65" s="752"/>
      <c r="G65" s="752"/>
      <c r="H65" s="89"/>
    </row>
    <row r="66" spans="1:8" ht="13" x14ac:dyDescent="0.3">
      <c r="A66" s="754"/>
      <c r="B66" s="752"/>
      <c r="C66" s="752"/>
      <c r="D66" s="752"/>
      <c r="E66" s="752"/>
      <c r="F66" s="752"/>
      <c r="G66" s="752"/>
      <c r="H66" s="89"/>
    </row>
    <row r="67" spans="1:8" x14ac:dyDescent="0.25">
      <c r="A67" s="752"/>
      <c r="B67" s="752"/>
      <c r="C67" s="752"/>
      <c r="D67" s="752"/>
      <c r="E67" s="752"/>
      <c r="F67" s="752"/>
      <c r="G67" s="752"/>
      <c r="H67" s="89"/>
    </row>
    <row r="68" spans="1:8" x14ac:dyDescent="0.25">
      <c r="A68" s="752"/>
      <c r="B68" s="752"/>
      <c r="C68" s="752"/>
      <c r="D68" s="752"/>
      <c r="E68" s="752"/>
      <c r="F68" s="752"/>
      <c r="G68" s="752"/>
      <c r="H68" s="89"/>
    </row>
    <row r="69" spans="1:8" ht="13" x14ac:dyDescent="0.3">
      <c r="A69" s="754"/>
      <c r="B69" s="752"/>
      <c r="C69" s="752"/>
      <c r="D69" s="752"/>
      <c r="E69" s="752"/>
      <c r="F69" s="752"/>
      <c r="G69" s="752"/>
      <c r="H69" s="89"/>
    </row>
    <row r="70" spans="1:8" ht="13" x14ac:dyDescent="0.3">
      <c r="A70" s="754"/>
      <c r="B70" s="752"/>
      <c r="C70" s="752"/>
      <c r="D70" s="752"/>
      <c r="E70" s="752"/>
      <c r="F70" s="752"/>
      <c r="G70" s="752"/>
      <c r="H70" s="89"/>
    </row>
    <row r="71" spans="1:8" ht="13" x14ac:dyDescent="0.3">
      <c r="A71" s="754"/>
      <c r="B71" s="752"/>
      <c r="C71" s="752"/>
      <c r="D71" s="752"/>
      <c r="E71" s="752"/>
      <c r="F71" s="752"/>
      <c r="G71" s="752"/>
      <c r="H71" s="89"/>
    </row>
    <row r="72" spans="1:8" ht="13" x14ac:dyDescent="0.3">
      <c r="A72" s="754"/>
      <c r="B72" s="752"/>
      <c r="C72" s="752"/>
      <c r="D72" s="752"/>
      <c r="E72" s="752"/>
      <c r="F72" s="752"/>
      <c r="G72" s="752"/>
      <c r="H72" s="753"/>
    </row>
    <row r="73" spans="1:8" ht="13" x14ac:dyDescent="0.3">
      <c r="A73" s="754"/>
      <c r="B73" s="752"/>
      <c r="C73" s="752"/>
      <c r="D73" s="752"/>
      <c r="E73" s="752"/>
      <c r="F73" s="752"/>
      <c r="G73" s="752"/>
      <c r="H73" s="89"/>
    </row>
    <row r="74" spans="1:8" ht="13" x14ac:dyDescent="0.3">
      <c r="A74" s="754"/>
      <c r="B74" s="752"/>
      <c r="C74" s="752"/>
      <c r="D74" s="752"/>
      <c r="E74" s="752"/>
      <c r="F74" s="752"/>
      <c r="G74" s="752"/>
      <c r="H74" s="89"/>
    </row>
    <row r="75" spans="1:8" x14ac:dyDescent="0.25">
      <c r="A75" s="752"/>
      <c r="B75" s="752"/>
      <c r="C75" s="752"/>
      <c r="D75" s="752"/>
      <c r="E75" s="752"/>
      <c r="F75" s="752"/>
      <c r="G75" s="752"/>
      <c r="H75" s="89"/>
    </row>
    <row r="76" spans="1:8" x14ac:dyDescent="0.25">
      <c r="A76" s="752"/>
      <c r="B76" s="752"/>
      <c r="C76" s="752"/>
      <c r="D76" s="752"/>
      <c r="E76" s="752"/>
      <c r="F76" s="752"/>
      <c r="G76" s="752"/>
      <c r="H76" s="753"/>
    </row>
    <row r="77" spans="1:8" ht="13" x14ac:dyDescent="0.3">
      <c r="A77" s="754"/>
      <c r="B77" s="752"/>
      <c r="C77" s="752"/>
      <c r="D77" s="752"/>
      <c r="E77" s="752"/>
      <c r="F77" s="752"/>
      <c r="G77" s="752"/>
      <c r="H77" s="89"/>
    </row>
    <row r="78" spans="1:8" ht="13" x14ac:dyDescent="0.3">
      <c r="A78" s="754"/>
      <c r="B78" s="752"/>
      <c r="C78" s="752"/>
      <c r="D78" s="752"/>
      <c r="E78" s="752"/>
      <c r="F78" s="752"/>
      <c r="G78" s="752"/>
      <c r="H78" s="89"/>
    </row>
    <row r="79" spans="1:8" x14ac:dyDescent="0.25">
      <c r="A79" s="752"/>
      <c r="B79" s="752"/>
      <c r="C79" s="752"/>
      <c r="D79" s="752"/>
      <c r="E79" s="752"/>
      <c r="F79" s="752"/>
      <c r="G79" s="752"/>
      <c r="H79" s="89"/>
    </row>
    <row r="80" spans="1:8" x14ac:dyDescent="0.25">
      <c r="A80" s="752"/>
      <c r="B80" s="752"/>
      <c r="C80" s="752"/>
      <c r="D80" s="752"/>
      <c r="E80" s="752"/>
      <c r="F80" s="752"/>
      <c r="G80" s="752"/>
      <c r="H80" s="89"/>
    </row>
    <row r="81" spans="1:8" ht="13" x14ac:dyDescent="0.3">
      <c r="A81" s="754"/>
      <c r="B81" s="752"/>
      <c r="C81" s="752"/>
      <c r="D81" s="752"/>
      <c r="E81" s="752"/>
      <c r="F81" s="752"/>
      <c r="G81" s="752"/>
      <c r="H81" s="753"/>
    </row>
    <row r="82" spans="1:8" ht="13" x14ac:dyDescent="0.3">
      <c r="A82" s="754"/>
      <c r="B82" s="752"/>
      <c r="C82" s="752"/>
      <c r="D82" s="752"/>
      <c r="E82" s="752"/>
      <c r="F82" s="752"/>
      <c r="G82" s="752"/>
      <c r="H82" s="89"/>
    </row>
    <row r="83" spans="1:8" ht="13" x14ac:dyDescent="0.3">
      <c r="A83" s="754"/>
      <c r="B83" s="752"/>
      <c r="C83" s="752"/>
      <c r="D83" s="752"/>
      <c r="E83" s="752"/>
      <c r="F83" s="752"/>
      <c r="G83" s="752"/>
      <c r="H83" s="89"/>
    </row>
    <row r="84" spans="1:8" x14ac:dyDescent="0.25">
      <c r="A84" s="752"/>
      <c r="B84" s="752"/>
      <c r="C84" s="752"/>
      <c r="D84" s="752"/>
      <c r="E84" s="752"/>
      <c r="F84" s="752"/>
      <c r="G84" s="752"/>
      <c r="H84" s="89"/>
    </row>
    <row r="85" spans="1:8" x14ac:dyDescent="0.25">
      <c r="A85" s="752"/>
      <c r="B85" s="752"/>
      <c r="C85" s="752"/>
      <c r="D85" s="752"/>
      <c r="E85" s="752"/>
      <c r="F85" s="752"/>
      <c r="G85" s="752"/>
      <c r="H85" s="89"/>
    </row>
    <row r="86" spans="1:8" ht="13" x14ac:dyDescent="0.3">
      <c r="A86" s="754"/>
      <c r="B86" s="752"/>
      <c r="C86" s="752"/>
      <c r="D86" s="752"/>
      <c r="E86" s="752"/>
      <c r="F86" s="752"/>
      <c r="G86" s="752"/>
      <c r="H86" s="753"/>
    </row>
    <row r="87" spans="1:8" ht="13" x14ac:dyDescent="0.3">
      <c r="A87" s="754"/>
      <c r="B87" s="752"/>
      <c r="C87" s="752"/>
      <c r="D87" s="752"/>
      <c r="E87" s="752"/>
      <c r="F87" s="752"/>
      <c r="G87" s="752"/>
      <c r="H87" s="89"/>
    </row>
    <row r="88" spans="1:8" ht="13" x14ac:dyDescent="0.3">
      <c r="A88" s="754"/>
      <c r="B88" s="752"/>
      <c r="C88" s="752"/>
      <c r="D88" s="752"/>
      <c r="E88" s="752"/>
      <c r="F88" s="752"/>
      <c r="G88" s="752"/>
      <c r="H88" s="89"/>
    </row>
    <row r="89" spans="1:8" x14ac:dyDescent="0.25">
      <c r="A89" s="752"/>
      <c r="B89" s="752"/>
      <c r="C89" s="752"/>
      <c r="D89" s="752"/>
      <c r="E89" s="752"/>
      <c r="F89" s="752"/>
      <c r="G89" s="752"/>
      <c r="H89" s="89"/>
    </row>
    <row r="90" spans="1:8" x14ac:dyDescent="0.25">
      <c r="A90" s="752"/>
      <c r="B90" s="752"/>
      <c r="C90" s="752"/>
      <c r="D90" s="752"/>
      <c r="E90" s="752"/>
      <c r="F90" s="752"/>
      <c r="G90" s="752"/>
      <c r="H90" s="89"/>
    </row>
    <row r="91" spans="1:8" ht="13" x14ac:dyDescent="0.3">
      <c r="A91" s="754"/>
      <c r="B91" s="752"/>
      <c r="C91" s="752"/>
      <c r="D91" s="752"/>
      <c r="E91" s="752"/>
      <c r="F91" s="752"/>
      <c r="G91" s="752"/>
      <c r="H91" s="89"/>
    </row>
    <row r="92" spans="1:8" ht="13" x14ac:dyDescent="0.3">
      <c r="A92" s="754"/>
      <c r="B92" s="752"/>
      <c r="C92" s="752"/>
      <c r="D92" s="752"/>
      <c r="E92" s="752"/>
      <c r="F92" s="752"/>
      <c r="G92" s="752"/>
      <c r="H92" s="89"/>
    </row>
    <row r="93" spans="1:8" ht="13" x14ac:dyDescent="0.3">
      <c r="A93" s="754"/>
      <c r="B93" s="752"/>
      <c r="C93" s="752"/>
      <c r="D93" s="752"/>
      <c r="E93" s="752"/>
      <c r="F93" s="752"/>
      <c r="G93" s="752"/>
      <c r="H93" s="89"/>
    </row>
    <row r="94" spans="1:8" ht="13" x14ac:dyDescent="0.3">
      <c r="A94" s="754"/>
      <c r="B94" s="752"/>
      <c r="C94" s="752"/>
      <c r="D94" s="752"/>
      <c r="E94" s="752"/>
      <c r="F94" s="752"/>
      <c r="G94" s="752"/>
      <c r="H94" s="89"/>
    </row>
    <row r="95" spans="1:8" ht="13" x14ac:dyDescent="0.3">
      <c r="A95" s="754"/>
      <c r="B95" s="752"/>
      <c r="C95" s="752"/>
      <c r="D95" s="752"/>
      <c r="E95" s="752"/>
      <c r="F95" s="752"/>
      <c r="G95" s="752"/>
      <c r="H95" s="89"/>
    </row>
    <row r="96" spans="1:8" ht="13" x14ac:dyDescent="0.3">
      <c r="A96" s="754"/>
      <c r="B96" s="752"/>
      <c r="C96" s="752"/>
      <c r="D96" s="752"/>
      <c r="E96" s="752"/>
      <c r="F96" s="752"/>
      <c r="G96" s="752"/>
      <c r="H96" s="89"/>
    </row>
    <row r="97" spans="1:8" ht="13" x14ac:dyDescent="0.3">
      <c r="A97" s="754"/>
      <c r="B97" s="752"/>
      <c r="C97" s="752"/>
      <c r="D97" s="752"/>
      <c r="E97" s="752"/>
      <c r="F97" s="752"/>
      <c r="G97" s="752"/>
      <c r="H97" s="89"/>
    </row>
    <row r="98" spans="1:8" ht="13" x14ac:dyDescent="0.3">
      <c r="A98" s="754"/>
      <c r="B98" s="752"/>
      <c r="C98" s="752"/>
      <c r="D98" s="752"/>
      <c r="E98" s="752"/>
      <c r="F98" s="752"/>
      <c r="G98" s="752"/>
      <c r="H98" s="89"/>
    </row>
    <row r="99" spans="1:8" ht="13" x14ac:dyDescent="0.3">
      <c r="A99" s="754"/>
      <c r="B99" s="752"/>
      <c r="C99" s="752"/>
      <c r="D99" s="752"/>
      <c r="E99" s="752"/>
      <c r="F99" s="752"/>
      <c r="G99" s="752"/>
      <c r="H99" s="89"/>
    </row>
    <row r="100" spans="1:8" ht="13" x14ac:dyDescent="0.3">
      <c r="A100" s="754"/>
      <c r="B100" s="752"/>
      <c r="C100" s="752"/>
      <c r="D100" s="752"/>
      <c r="E100" s="752"/>
      <c r="F100" s="752"/>
      <c r="G100" s="752"/>
      <c r="H100" s="89"/>
    </row>
    <row r="101" spans="1:8" ht="13" x14ac:dyDescent="0.3">
      <c r="A101" s="754"/>
      <c r="B101" s="752"/>
      <c r="C101" s="752"/>
      <c r="D101" s="752"/>
      <c r="E101" s="752"/>
      <c r="F101" s="752"/>
      <c r="G101" s="752"/>
      <c r="H101" s="89"/>
    </row>
    <row r="102" spans="1:8" ht="13" x14ac:dyDescent="0.3">
      <c r="A102" s="754"/>
      <c r="B102" s="752"/>
      <c r="C102" s="752"/>
      <c r="D102" s="752"/>
      <c r="E102" s="752"/>
      <c r="F102" s="752"/>
      <c r="G102" s="752"/>
      <c r="H102" s="89"/>
    </row>
    <row r="103" spans="1:8" ht="13" x14ac:dyDescent="0.3">
      <c r="A103" s="754"/>
      <c r="B103" s="752"/>
      <c r="C103" s="752"/>
      <c r="D103" s="752"/>
      <c r="E103" s="752"/>
      <c r="F103" s="752"/>
      <c r="G103" s="752"/>
      <c r="H103" s="89"/>
    </row>
    <row r="104" spans="1:8" ht="13" x14ac:dyDescent="0.3">
      <c r="A104" s="754"/>
      <c r="B104" s="752"/>
      <c r="C104" s="752"/>
      <c r="D104" s="752"/>
      <c r="E104" s="752"/>
      <c r="F104" s="752"/>
      <c r="G104" s="752"/>
      <c r="H104" s="89"/>
    </row>
    <row r="105" spans="1:8" ht="13" x14ac:dyDescent="0.3">
      <c r="A105" s="754"/>
      <c r="B105" s="752"/>
      <c r="C105" s="752"/>
      <c r="D105" s="752"/>
      <c r="E105" s="752"/>
      <c r="F105" s="752"/>
      <c r="G105" s="752"/>
      <c r="H105" s="89"/>
    </row>
    <row r="106" spans="1:8" ht="13" x14ac:dyDescent="0.3">
      <c r="A106" s="754"/>
      <c r="B106" s="752"/>
      <c r="C106" s="752"/>
      <c r="D106" s="752"/>
      <c r="E106" s="752"/>
      <c r="F106" s="752"/>
      <c r="G106" s="752"/>
      <c r="H106" s="89"/>
    </row>
    <row r="107" spans="1:8" ht="13" x14ac:dyDescent="0.3">
      <c r="A107" s="754"/>
      <c r="B107" s="752"/>
      <c r="C107" s="752"/>
      <c r="D107" s="752"/>
      <c r="E107" s="752"/>
      <c r="F107" s="752"/>
      <c r="G107" s="752"/>
      <c r="H107" s="89"/>
    </row>
    <row r="108" spans="1:8" ht="13" x14ac:dyDescent="0.3">
      <c r="A108" s="754"/>
      <c r="B108" s="752"/>
      <c r="C108" s="752"/>
      <c r="D108" s="752"/>
      <c r="E108" s="752"/>
      <c r="F108" s="752"/>
      <c r="G108" s="752"/>
      <c r="H108" s="89"/>
    </row>
    <row r="109" spans="1:8" ht="13" x14ac:dyDescent="0.3">
      <c r="A109" s="754"/>
      <c r="B109" s="752"/>
      <c r="C109" s="752"/>
      <c r="D109" s="752"/>
      <c r="E109" s="752"/>
      <c r="F109" s="752"/>
      <c r="G109" s="752"/>
      <c r="H109" s="89"/>
    </row>
    <row r="110" spans="1:8" ht="13" x14ac:dyDescent="0.3">
      <c r="A110" s="754"/>
      <c r="B110" s="752"/>
      <c r="C110" s="752"/>
      <c r="D110" s="752"/>
      <c r="E110" s="752"/>
      <c r="F110" s="752"/>
      <c r="G110" s="752"/>
      <c r="H110" s="89"/>
    </row>
    <row r="111" spans="1:8" ht="13" x14ac:dyDescent="0.3">
      <c r="A111" s="754"/>
      <c r="B111" s="752"/>
      <c r="C111" s="752"/>
      <c r="D111" s="752"/>
      <c r="E111" s="752"/>
      <c r="F111" s="752"/>
      <c r="G111" s="752"/>
      <c r="H111" s="89"/>
    </row>
    <row r="112" spans="1:8" ht="13" x14ac:dyDescent="0.3">
      <c r="A112" s="754"/>
      <c r="B112" s="752"/>
      <c r="C112" s="752"/>
      <c r="D112" s="752"/>
      <c r="E112" s="752"/>
      <c r="F112" s="752"/>
      <c r="G112" s="752"/>
      <c r="H112" s="89"/>
    </row>
    <row r="113" spans="1:8" ht="13" x14ac:dyDescent="0.3">
      <c r="A113" s="754"/>
      <c r="B113" s="752"/>
      <c r="C113" s="752"/>
      <c r="D113" s="752"/>
      <c r="E113" s="752"/>
      <c r="F113" s="752"/>
      <c r="G113" s="752"/>
      <c r="H113" s="89"/>
    </row>
    <row r="114" spans="1:8" ht="13" x14ac:dyDescent="0.3">
      <c r="A114" s="754"/>
      <c r="B114" s="752"/>
      <c r="C114" s="752"/>
      <c r="D114" s="752"/>
      <c r="E114" s="752"/>
      <c r="F114" s="752"/>
      <c r="G114" s="752"/>
      <c r="H114" s="89"/>
    </row>
    <row r="115" spans="1:8" ht="13" x14ac:dyDescent="0.3">
      <c r="A115" s="754"/>
      <c r="B115" s="752"/>
      <c r="C115" s="752"/>
      <c r="D115" s="752"/>
      <c r="E115" s="752"/>
      <c r="F115" s="752"/>
      <c r="G115" s="752"/>
      <c r="H115" s="89"/>
    </row>
    <row r="116" spans="1:8" x14ac:dyDescent="0.25">
      <c r="A116" s="752"/>
      <c r="B116" s="752"/>
      <c r="C116" s="752"/>
      <c r="D116" s="752"/>
      <c r="E116" s="752"/>
      <c r="F116" s="752"/>
      <c r="G116" s="752"/>
      <c r="H116" s="89"/>
    </row>
    <row r="117" spans="1:8" x14ac:dyDescent="0.25">
      <c r="A117" s="752"/>
      <c r="B117" s="755"/>
      <c r="C117" s="755"/>
      <c r="D117" s="755"/>
      <c r="E117" s="755"/>
      <c r="F117" s="755"/>
      <c r="G117" s="755"/>
    </row>
    <row r="118" spans="1:8" ht="13" x14ac:dyDescent="0.3">
      <c r="A118" s="754"/>
      <c r="B118" s="753"/>
      <c r="C118" s="753"/>
      <c r="D118" s="753"/>
      <c r="E118" s="753"/>
      <c r="F118" s="753"/>
      <c r="G118" s="753"/>
    </row>
    <row r="119" spans="1:8" x14ac:dyDescent="0.25">
      <c r="A119" s="756"/>
      <c r="B119" s="753"/>
      <c r="C119" s="753"/>
      <c r="D119" s="753"/>
      <c r="E119" s="753"/>
      <c r="F119" s="753"/>
      <c r="G119" s="753"/>
    </row>
    <row r="120" spans="1:8" x14ac:dyDescent="0.25">
      <c r="A120" s="89"/>
      <c r="B120" s="89"/>
      <c r="C120" s="89"/>
      <c r="D120" s="89"/>
      <c r="E120" s="89"/>
      <c r="F120" s="89"/>
      <c r="G120" s="89"/>
    </row>
  </sheetData>
  <sortState ref="A9:B18">
    <sortCondition descending="1" ref="B9:B18"/>
  </sortState>
  <mergeCells count="7">
    <mergeCell ref="K23:N23"/>
    <mergeCell ref="O23:R23"/>
    <mergeCell ref="S23:V23"/>
    <mergeCell ref="W23:Z23"/>
    <mergeCell ref="A23:A25"/>
    <mergeCell ref="C23:F23"/>
    <mergeCell ref="G23:J23"/>
  </mergeCells>
  <phoneticPr fontId="8" type="noConversion"/>
  <pageMargins left="0.25" right="0.25" top="0.75" bottom="0.5" header="0.5" footer="0.5"/>
  <pageSetup orientation="landscape" horizontalDpi="4294967294" r:id="rId1"/>
  <headerFooter alignWithMargins="0">
    <oddHeader>&amp;A</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81"/>
  <sheetViews>
    <sheetView zoomScaleNormal="100" workbookViewId="0">
      <selection activeCell="F4" sqref="F4:F15"/>
    </sheetView>
  </sheetViews>
  <sheetFormatPr defaultRowHeight="12.5" x14ac:dyDescent="0.25"/>
  <cols>
    <col min="1" max="1" width="14.90625" customWidth="1"/>
    <col min="4" max="4" width="10.6328125" customWidth="1"/>
    <col min="7" max="7" width="10.08984375" bestFit="1" customWidth="1"/>
    <col min="8" max="8" width="15.36328125" bestFit="1" customWidth="1"/>
    <col min="9" max="9" width="5.6328125" bestFit="1" customWidth="1"/>
    <col min="17" max="17" width="9.36328125" bestFit="1" customWidth="1"/>
    <col min="18" max="18" width="24.453125" bestFit="1" customWidth="1"/>
    <col min="19" max="19" width="5" bestFit="1" customWidth="1"/>
  </cols>
  <sheetData>
    <row r="1" spans="1:15" ht="14" x14ac:dyDescent="0.3">
      <c r="A1" s="135" t="s">
        <v>371</v>
      </c>
    </row>
    <row r="2" spans="1:15" ht="17.25" customHeight="1" x14ac:dyDescent="0.3">
      <c r="A2" s="1" t="s">
        <v>180</v>
      </c>
      <c r="B2" s="155">
        <v>40203</v>
      </c>
      <c r="I2" s="1"/>
      <c r="J2" s="30"/>
      <c r="K2" s="170"/>
      <c r="L2" s="1"/>
      <c r="M2" s="1"/>
      <c r="N2" s="8"/>
      <c r="O2" s="169"/>
    </row>
    <row r="3" spans="1:15" ht="14" x14ac:dyDescent="0.3">
      <c r="A3" s="209" t="s">
        <v>23</v>
      </c>
      <c r="B3" s="209" t="s">
        <v>184</v>
      </c>
      <c r="C3" s="209" t="s">
        <v>185</v>
      </c>
      <c r="D3" s="209" t="s">
        <v>186</v>
      </c>
      <c r="E3" s="209" t="s">
        <v>187</v>
      </c>
      <c r="F3" s="209" t="s">
        <v>188</v>
      </c>
      <c r="I3" s="21"/>
      <c r="J3" s="172"/>
      <c r="K3" s="173"/>
      <c r="L3" s="174"/>
      <c r="M3" s="175"/>
      <c r="N3" s="176"/>
      <c r="O3" s="177"/>
    </row>
    <row r="4" spans="1:15" ht="13" x14ac:dyDescent="0.3">
      <c r="A4" s="94" t="s">
        <v>238</v>
      </c>
      <c r="B4" s="143">
        <v>0.41319444444444442</v>
      </c>
      <c r="C4" s="84">
        <v>1.19</v>
      </c>
      <c r="D4" s="84">
        <v>12.13</v>
      </c>
      <c r="E4" s="84">
        <v>0.84</v>
      </c>
      <c r="F4" s="84">
        <v>7.64</v>
      </c>
      <c r="G4" s="92"/>
      <c r="I4" s="178"/>
      <c r="J4" s="179"/>
      <c r="K4" s="173"/>
      <c r="L4" s="11"/>
      <c r="M4" s="175"/>
      <c r="N4" s="176"/>
      <c r="O4" s="180"/>
    </row>
    <row r="5" spans="1:15" ht="13" x14ac:dyDescent="0.3">
      <c r="A5" s="94" t="s">
        <v>239</v>
      </c>
      <c r="B5" s="143">
        <v>0.42708333333333331</v>
      </c>
      <c r="C5" s="84">
        <v>0.24129999999999999</v>
      </c>
      <c r="D5" s="84">
        <v>11.4</v>
      </c>
      <c r="E5" s="84">
        <v>-0.03</v>
      </c>
      <c r="F5" s="84">
        <v>7.85</v>
      </c>
      <c r="G5" s="92"/>
      <c r="I5" s="178"/>
      <c r="J5" s="179"/>
      <c r="K5" s="182"/>
      <c r="L5" s="183"/>
      <c r="M5" s="184"/>
      <c r="N5" s="185"/>
      <c r="O5" s="180"/>
    </row>
    <row r="6" spans="1:15" ht="13" x14ac:dyDescent="0.3">
      <c r="A6" s="94" t="s">
        <v>240</v>
      </c>
      <c r="B6" s="143">
        <v>0.44444444444444442</v>
      </c>
      <c r="C6" s="84">
        <v>0.48899999999999999</v>
      </c>
      <c r="D6" s="84">
        <v>11.2</v>
      </c>
      <c r="E6" s="84">
        <v>3.3</v>
      </c>
      <c r="F6" s="84">
        <v>7.66</v>
      </c>
      <c r="G6" s="92"/>
      <c r="I6" s="21"/>
      <c r="J6" s="172"/>
      <c r="K6" s="173"/>
      <c r="L6" s="29"/>
      <c r="M6" s="175"/>
      <c r="N6" s="176"/>
      <c r="O6" s="177"/>
    </row>
    <row r="7" spans="1:15" ht="14" x14ac:dyDescent="0.3">
      <c r="A7" s="94" t="s">
        <v>229</v>
      </c>
      <c r="B7" s="318" t="s">
        <v>241</v>
      </c>
      <c r="C7" s="319"/>
      <c r="D7" s="319"/>
      <c r="E7" s="319"/>
      <c r="F7" s="320"/>
      <c r="G7" s="209" t="s">
        <v>201</v>
      </c>
      <c r="H7" s="210" t="s">
        <v>213</v>
      </c>
      <c r="I7" s="178"/>
      <c r="J7" s="179"/>
      <c r="K7" s="173"/>
      <c r="L7" s="11"/>
      <c r="M7" s="175"/>
      <c r="N7" s="176"/>
      <c r="O7" s="180"/>
    </row>
    <row r="8" spans="1:15" ht="13" x14ac:dyDescent="0.3">
      <c r="A8" s="126" t="s">
        <v>192</v>
      </c>
      <c r="B8" s="143">
        <v>0.43541666666666662</v>
      </c>
      <c r="C8" s="84">
        <v>0.52229999999999999</v>
      </c>
      <c r="D8" s="84">
        <v>11.23</v>
      </c>
      <c r="E8" s="84">
        <v>2.79</v>
      </c>
      <c r="F8" s="84">
        <v>8.02</v>
      </c>
      <c r="G8" s="134">
        <v>2.7</v>
      </c>
      <c r="H8" s="188">
        <v>8.75</v>
      </c>
      <c r="I8" s="178"/>
      <c r="J8" s="179"/>
      <c r="K8" s="182"/>
      <c r="L8" s="183"/>
      <c r="M8" s="184"/>
      <c r="N8" s="185"/>
      <c r="O8" s="180"/>
    </row>
    <row r="9" spans="1:15" ht="13" x14ac:dyDescent="0.3">
      <c r="A9" s="126" t="s">
        <v>193</v>
      </c>
      <c r="B9" s="84"/>
      <c r="C9" s="84">
        <v>0.55159999999999998</v>
      </c>
      <c r="D9" s="84">
        <v>10.36</v>
      </c>
      <c r="E9" s="84">
        <v>3.26</v>
      </c>
      <c r="F9" s="84">
        <v>8.0299999999999994</v>
      </c>
      <c r="G9" s="84"/>
      <c r="I9" s="186"/>
      <c r="J9" s="505">
        <f>AVERAGE(E8:E10)</f>
        <v>3.1533333333333338</v>
      </c>
      <c r="K9" s="187"/>
      <c r="M9" s="184"/>
      <c r="N9" s="185"/>
      <c r="O9" s="177"/>
    </row>
    <row r="10" spans="1:15" ht="13" x14ac:dyDescent="0.3">
      <c r="A10" s="126" t="s">
        <v>194</v>
      </c>
      <c r="B10" s="84"/>
      <c r="C10" s="84">
        <v>0.622</v>
      </c>
      <c r="D10" s="84">
        <v>10.01</v>
      </c>
      <c r="E10" s="84">
        <v>3.41</v>
      </c>
      <c r="F10" s="84">
        <v>8.02</v>
      </c>
      <c r="G10" s="84"/>
      <c r="I10" s="21"/>
      <c r="J10" s="172"/>
      <c r="K10" s="173"/>
      <c r="L10" s="29"/>
      <c r="M10" s="175"/>
      <c r="N10" s="176"/>
      <c r="O10" s="177"/>
    </row>
    <row r="11" spans="1:15" ht="13" x14ac:dyDescent="0.3">
      <c r="A11" s="126" t="s">
        <v>195</v>
      </c>
      <c r="B11" s="84"/>
      <c r="C11" s="84">
        <v>0.65290000000000004</v>
      </c>
      <c r="D11" s="84">
        <v>9.15</v>
      </c>
      <c r="E11" s="84">
        <v>3.1</v>
      </c>
      <c r="F11" s="84">
        <v>7.94</v>
      </c>
      <c r="G11" s="84"/>
      <c r="I11" s="178"/>
      <c r="J11" s="179"/>
      <c r="K11" s="173"/>
      <c r="L11" s="11"/>
      <c r="M11" s="175"/>
      <c r="N11" s="176"/>
      <c r="O11" s="180"/>
    </row>
    <row r="12" spans="1:15" ht="13" x14ac:dyDescent="0.3">
      <c r="A12" s="126" t="s">
        <v>196</v>
      </c>
      <c r="B12" s="84"/>
      <c r="C12" s="84">
        <v>0.68610000000000004</v>
      </c>
      <c r="D12" s="84">
        <v>8.49</v>
      </c>
      <c r="E12" s="84">
        <v>3.22</v>
      </c>
      <c r="F12" s="84">
        <v>7.9</v>
      </c>
      <c r="G12" s="84"/>
      <c r="I12" s="178"/>
      <c r="J12" s="179"/>
      <c r="K12" s="182"/>
      <c r="L12" s="183"/>
      <c r="M12" s="184"/>
      <c r="N12" s="185"/>
      <c r="O12" s="180"/>
    </row>
    <row r="13" spans="1:15" ht="13" x14ac:dyDescent="0.3">
      <c r="A13" s="126" t="s">
        <v>197</v>
      </c>
      <c r="B13" s="84"/>
      <c r="C13" s="84">
        <v>0.69399999999999995</v>
      </c>
      <c r="D13" s="84">
        <v>7.75</v>
      </c>
      <c r="E13" s="84">
        <v>4.34</v>
      </c>
      <c r="F13" s="84">
        <v>7.87</v>
      </c>
      <c r="G13" s="84"/>
      <c r="I13" s="21"/>
      <c r="J13" s="172"/>
      <c r="K13" s="173"/>
      <c r="L13" s="29"/>
      <c r="M13" s="175"/>
      <c r="N13" s="176"/>
      <c r="O13" s="177"/>
    </row>
    <row r="14" spans="1:15" ht="13" x14ac:dyDescent="0.3">
      <c r="A14" s="126" t="s">
        <v>198</v>
      </c>
      <c r="B14" s="84"/>
      <c r="C14" s="84">
        <v>0.71030000000000004</v>
      </c>
      <c r="D14" s="84">
        <v>7.2</v>
      </c>
      <c r="E14" s="84">
        <v>3.39</v>
      </c>
      <c r="F14" s="84">
        <v>7.85</v>
      </c>
      <c r="G14" s="84"/>
      <c r="I14" s="178"/>
      <c r="J14" s="179"/>
      <c r="K14" s="173"/>
      <c r="L14" s="11"/>
      <c r="M14" s="175"/>
      <c r="N14" s="176"/>
      <c r="O14" s="180"/>
    </row>
    <row r="15" spans="1:15" ht="13" x14ac:dyDescent="0.3">
      <c r="A15" s="126" t="s">
        <v>199</v>
      </c>
      <c r="B15" s="84"/>
      <c r="C15" s="84">
        <v>0.71530000000000005</v>
      </c>
      <c r="D15" s="84">
        <v>6</v>
      </c>
      <c r="E15" s="84">
        <v>3.6</v>
      </c>
      <c r="F15" s="221">
        <v>7.82</v>
      </c>
      <c r="G15" s="84"/>
      <c r="I15" s="178"/>
      <c r="J15" s="179"/>
      <c r="K15" s="182"/>
      <c r="L15" s="183"/>
      <c r="M15" s="184"/>
      <c r="N15" s="185"/>
      <c r="O15" s="180"/>
    </row>
    <row r="16" spans="1:15" ht="13" x14ac:dyDescent="0.3">
      <c r="A16" s="126" t="s">
        <v>200</v>
      </c>
      <c r="B16" s="143"/>
      <c r="C16" s="84"/>
      <c r="D16" s="84"/>
      <c r="E16" s="84"/>
      <c r="F16" s="84"/>
      <c r="G16" s="84"/>
      <c r="I16" s="21"/>
      <c r="J16" s="172"/>
      <c r="K16" s="173"/>
      <c r="L16" s="29"/>
      <c r="M16" s="175"/>
      <c r="N16" s="176"/>
      <c r="O16" s="177"/>
    </row>
    <row r="17" spans="1:19" ht="13" x14ac:dyDescent="0.3">
      <c r="A17" s="126" t="s">
        <v>227</v>
      </c>
      <c r="B17" s="143"/>
      <c r="C17" s="84"/>
      <c r="D17" s="431">
        <f>AVERAGE(D8:D15)</f>
        <v>8.7737499999999997</v>
      </c>
      <c r="E17" s="431">
        <f>AVERAGE(D8:D12)</f>
        <v>9.8480000000000008</v>
      </c>
      <c r="F17" s="84"/>
      <c r="G17" s="84"/>
      <c r="I17" s="178"/>
      <c r="J17" s="179"/>
      <c r="K17" s="173"/>
      <c r="L17" s="11"/>
      <c r="M17" s="175"/>
      <c r="N17" s="176"/>
      <c r="O17" s="180"/>
    </row>
    <row r="18" spans="1:19" ht="13" x14ac:dyDescent="0.3">
      <c r="A18" s="126" t="s">
        <v>228</v>
      </c>
      <c r="B18" s="84"/>
      <c r="C18" s="84"/>
      <c r="D18" s="431">
        <f>AVERAGE(D8:D10)</f>
        <v>10.533333333333333</v>
      </c>
      <c r="E18" s="431"/>
      <c r="F18" s="84"/>
      <c r="G18" s="84"/>
      <c r="I18" s="178"/>
      <c r="J18" s="179"/>
      <c r="K18" s="182"/>
      <c r="L18" s="183"/>
      <c r="M18" s="184"/>
      <c r="N18" s="185"/>
      <c r="O18" s="180"/>
    </row>
    <row r="19" spans="1:19" ht="13" x14ac:dyDescent="0.3">
      <c r="A19" s="208"/>
      <c r="B19" s="92"/>
      <c r="C19" s="92"/>
      <c r="D19" s="92"/>
      <c r="E19" s="92"/>
      <c r="F19" s="92"/>
      <c r="G19" s="92"/>
    </row>
    <row r="20" spans="1:19" ht="18" customHeight="1" x14ac:dyDescent="0.3">
      <c r="A20" s="126" t="s">
        <v>230</v>
      </c>
      <c r="B20" s="143">
        <v>0.45694444444444443</v>
      </c>
      <c r="C20" s="84">
        <v>1.5229999999999999</v>
      </c>
      <c r="D20" s="84">
        <v>10.7</v>
      </c>
      <c r="E20" s="84">
        <v>0</v>
      </c>
      <c r="F20" s="84">
        <v>7.56</v>
      </c>
      <c r="G20" s="189" t="s">
        <v>331</v>
      </c>
      <c r="S20" s="173"/>
    </row>
    <row r="21" spans="1:19" ht="18.75" customHeight="1" x14ac:dyDescent="0.3">
      <c r="A21" s="401" t="s">
        <v>231</v>
      </c>
      <c r="B21" s="143">
        <v>0.46249999999999997</v>
      </c>
      <c r="C21" s="84">
        <v>1.4850000000000001</v>
      </c>
      <c r="D21" s="84">
        <v>13.27</v>
      </c>
      <c r="E21" s="84">
        <v>0</v>
      </c>
      <c r="F21" s="84">
        <v>7.64</v>
      </c>
      <c r="G21" s="189" t="s">
        <v>330</v>
      </c>
      <c r="S21" s="182"/>
    </row>
    <row r="22" spans="1:19" x14ac:dyDescent="0.25">
      <c r="A22" s="131" t="s">
        <v>11</v>
      </c>
      <c r="B22" s="228" t="s">
        <v>324</v>
      </c>
      <c r="C22" s="132"/>
      <c r="D22" s="132"/>
      <c r="E22" s="132"/>
      <c r="F22" s="132"/>
      <c r="G22" s="132"/>
    </row>
    <row r="23" spans="1:19" x14ac:dyDescent="0.25">
      <c r="A23" s="144"/>
      <c r="D23" s="133"/>
      <c r="E23" s="133"/>
      <c r="F23" s="133"/>
      <c r="G23" s="133"/>
    </row>
    <row r="24" spans="1:19" x14ac:dyDescent="0.25">
      <c r="A24" s="144"/>
      <c r="B24" s="133"/>
      <c r="C24" s="133"/>
      <c r="D24" s="133"/>
      <c r="E24" s="133"/>
      <c r="F24" s="133"/>
      <c r="G24" s="133"/>
    </row>
    <row r="25" spans="1:19" ht="24" x14ac:dyDescent="0.35">
      <c r="A25" s="853" t="s">
        <v>130</v>
      </c>
      <c r="B25" s="853"/>
      <c r="C25" s="395"/>
      <c r="D25" s="853" t="s">
        <v>133</v>
      </c>
      <c r="E25" s="853"/>
      <c r="F25" s="137"/>
      <c r="G25" s="849" t="s">
        <v>34</v>
      </c>
      <c r="H25" s="849"/>
      <c r="J25" s="141" t="s">
        <v>204</v>
      </c>
      <c r="K25" s="141" t="s">
        <v>205</v>
      </c>
      <c r="L25" s="142" t="s">
        <v>206</v>
      </c>
      <c r="M25" s="141" t="s">
        <v>207</v>
      </c>
      <c r="N25" s="142" t="s">
        <v>208</v>
      </c>
    </row>
    <row r="26" spans="1:19" ht="15.5" x14ac:dyDescent="0.35">
      <c r="A26" s="162" t="s">
        <v>184</v>
      </c>
      <c r="B26" s="396">
        <v>0.41319444444444442</v>
      </c>
      <c r="C26" s="397"/>
      <c r="D26" s="162" t="s">
        <v>184</v>
      </c>
      <c r="E26" s="398">
        <v>0.42708333333333331</v>
      </c>
      <c r="F26" s="485">
        <v>3.85</v>
      </c>
      <c r="G26" s="162" t="s">
        <v>184</v>
      </c>
      <c r="H26" s="398">
        <v>0.44444444444444442</v>
      </c>
      <c r="J26" s="138">
        <v>2</v>
      </c>
      <c r="K26" s="138">
        <v>0.15</v>
      </c>
      <c r="L26" s="138">
        <v>1.4</v>
      </c>
      <c r="M26" s="138">
        <f>K26*50</f>
        <v>7.5</v>
      </c>
      <c r="N26" s="139">
        <f>L26*M26</f>
        <v>10.5</v>
      </c>
    </row>
    <row r="27" spans="1:19" ht="16" thickBot="1" x14ac:dyDescent="0.4">
      <c r="A27" s="162" t="s">
        <v>202</v>
      </c>
      <c r="B27" s="395">
        <v>11</v>
      </c>
      <c r="C27" s="399"/>
      <c r="D27" s="162" t="s">
        <v>202</v>
      </c>
      <c r="E27" s="409">
        <v>18</v>
      </c>
      <c r="F27" s="400"/>
      <c r="G27" s="162" t="s">
        <v>202</v>
      </c>
      <c r="H27" s="408">
        <v>50</v>
      </c>
      <c r="J27" s="138">
        <v>4</v>
      </c>
      <c r="K27" s="138">
        <v>0.5</v>
      </c>
      <c r="L27" s="138">
        <v>0.37</v>
      </c>
      <c r="M27" s="138">
        <f>K27*2</f>
        <v>1</v>
      </c>
      <c r="N27" s="139">
        <f>L27*M27</f>
        <v>0.37</v>
      </c>
    </row>
    <row r="28" spans="1:19" ht="30.75" customHeight="1" thickBot="1" x14ac:dyDescent="0.4">
      <c r="A28" s="165" t="s">
        <v>203</v>
      </c>
      <c r="B28" s="852" t="s">
        <v>325</v>
      </c>
      <c r="C28" s="852"/>
      <c r="D28" s="163" t="s">
        <v>203</v>
      </c>
      <c r="E28" s="854" t="s">
        <v>326</v>
      </c>
      <c r="F28" s="854"/>
      <c r="G28" s="163" t="s">
        <v>203</v>
      </c>
      <c r="H28" s="166" t="s">
        <v>327</v>
      </c>
      <c r="J28" s="138">
        <v>6</v>
      </c>
      <c r="K28" s="138">
        <v>0.48</v>
      </c>
      <c r="L28" s="138">
        <v>1.22</v>
      </c>
      <c r="M28" s="138">
        <f>K28*2</f>
        <v>0.96</v>
      </c>
      <c r="N28" s="139">
        <f t="shared" ref="N28:N35" si="0">L28*M28</f>
        <v>1.1712</v>
      </c>
    </row>
    <row r="29" spans="1:19" ht="24" x14ac:dyDescent="0.35">
      <c r="A29" s="159" t="s">
        <v>204</v>
      </c>
      <c r="B29" s="159" t="s">
        <v>205</v>
      </c>
      <c r="C29" s="161" t="s">
        <v>206</v>
      </c>
      <c r="D29" s="159" t="s">
        <v>204</v>
      </c>
      <c r="E29" s="159" t="s">
        <v>205</v>
      </c>
      <c r="F29" s="161" t="s">
        <v>206</v>
      </c>
      <c r="G29" s="159" t="s">
        <v>205</v>
      </c>
      <c r="H29" s="161" t="s">
        <v>206</v>
      </c>
      <c r="J29" s="138">
        <v>8</v>
      </c>
      <c r="K29" s="138">
        <v>0.55000000000000004</v>
      </c>
      <c r="L29" s="138">
        <v>0.67</v>
      </c>
      <c r="M29" s="138">
        <f t="shared" ref="M29:M35" si="1">K29*2</f>
        <v>1.1000000000000001</v>
      </c>
      <c r="N29" s="139">
        <f t="shared" si="0"/>
        <v>0.7370000000000001</v>
      </c>
    </row>
    <row r="30" spans="1:19" ht="15.5" x14ac:dyDescent="0.35">
      <c r="A30" s="160">
        <v>2</v>
      </c>
      <c r="B30" s="138">
        <v>0.78</v>
      </c>
      <c r="C30" s="138">
        <v>0.32</v>
      </c>
      <c r="D30" s="160">
        <v>2</v>
      </c>
      <c r="E30" s="138">
        <v>0.72</v>
      </c>
      <c r="F30" s="138">
        <v>0.26</v>
      </c>
      <c r="G30" s="849" t="s">
        <v>34</v>
      </c>
      <c r="H30" s="849"/>
      <c r="J30" s="138">
        <v>10</v>
      </c>
      <c r="K30" s="138">
        <v>0.45</v>
      </c>
      <c r="L30" s="138">
        <v>0.4</v>
      </c>
      <c r="M30" s="138">
        <f t="shared" si="1"/>
        <v>0.9</v>
      </c>
      <c r="N30" s="139">
        <f t="shared" si="0"/>
        <v>0.36000000000000004</v>
      </c>
    </row>
    <row r="31" spans="1:19" ht="15.5" x14ac:dyDescent="0.35">
      <c r="A31" s="160">
        <v>4</v>
      </c>
      <c r="B31" s="138">
        <v>0.5</v>
      </c>
      <c r="C31" s="138">
        <v>0.37</v>
      </c>
      <c r="D31" s="160">
        <v>4</v>
      </c>
      <c r="E31" s="138">
        <v>0.88</v>
      </c>
      <c r="F31" s="138">
        <v>1.01</v>
      </c>
      <c r="G31" s="138">
        <v>0.15</v>
      </c>
      <c r="H31" s="139">
        <v>1.4</v>
      </c>
      <c r="I31">
        <v>7.8</v>
      </c>
      <c r="J31" s="138">
        <v>12</v>
      </c>
      <c r="K31" s="140"/>
      <c r="L31" s="138"/>
      <c r="M31" s="138">
        <f t="shared" si="1"/>
        <v>0</v>
      </c>
      <c r="N31" s="139">
        <f t="shared" si="0"/>
        <v>0</v>
      </c>
    </row>
    <row r="32" spans="1:19" ht="15.5" x14ac:dyDescent="0.35">
      <c r="A32" s="160">
        <v>6</v>
      </c>
      <c r="B32" s="138">
        <v>0.48</v>
      </c>
      <c r="C32" s="138">
        <v>1.22</v>
      </c>
      <c r="D32" s="499">
        <v>6</v>
      </c>
      <c r="E32" s="138">
        <v>0.8</v>
      </c>
      <c r="F32" s="138">
        <v>1.81</v>
      </c>
      <c r="G32" s="850" t="s">
        <v>214</v>
      </c>
      <c r="H32" s="851"/>
      <c r="J32" s="138">
        <v>14</v>
      </c>
      <c r="K32" s="140"/>
      <c r="L32" s="140"/>
      <c r="M32" s="138">
        <f t="shared" si="1"/>
        <v>0</v>
      </c>
      <c r="N32" s="139">
        <f t="shared" si="0"/>
        <v>0</v>
      </c>
    </row>
    <row r="33" spans="1:14" ht="15.5" x14ac:dyDescent="0.35">
      <c r="A33" s="160">
        <v>8</v>
      </c>
      <c r="B33" s="138">
        <v>0.55000000000000004</v>
      </c>
      <c r="C33" s="138">
        <v>0.67</v>
      </c>
      <c r="D33" s="160">
        <v>8</v>
      </c>
      <c r="E33" s="138">
        <v>0.82</v>
      </c>
      <c r="F33" s="138">
        <v>0.24</v>
      </c>
      <c r="G33" s="138" t="s">
        <v>328</v>
      </c>
      <c r="H33" s="139">
        <v>0.46</v>
      </c>
      <c r="I33">
        <v>0.17</v>
      </c>
      <c r="J33" s="138">
        <v>16</v>
      </c>
      <c r="K33" s="140"/>
      <c r="L33" s="140"/>
      <c r="M33" s="138">
        <f t="shared" si="1"/>
        <v>0</v>
      </c>
      <c r="N33" s="139">
        <f t="shared" si="0"/>
        <v>0</v>
      </c>
    </row>
    <row r="34" spans="1:14" ht="15.5" x14ac:dyDescent="0.35">
      <c r="A34" s="160">
        <v>12</v>
      </c>
      <c r="B34" s="138">
        <v>0.45</v>
      </c>
      <c r="C34" s="138">
        <v>0.4</v>
      </c>
      <c r="D34" s="160">
        <v>10</v>
      </c>
      <c r="E34" s="138">
        <v>0.85</v>
      </c>
      <c r="F34" s="138">
        <v>0.91</v>
      </c>
      <c r="G34" s="138" t="s">
        <v>215</v>
      </c>
      <c r="H34" s="139"/>
      <c r="J34" s="138">
        <v>18</v>
      </c>
      <c r="K34" s="138"/>
      <c r="L34" s="138"/>
      <c r="M34" s="138">
        <f t="shared" si="1"/>
        <v>0</v>
      </c>
      <c r="N34" s="139">
        <f t="shared" si="0"/>
        <v>0</v>
      </c>
    </row>
    <row r="35" spans="1:14" ht="15.5" x14ac:dyDescent="0.35">
      <c r="A35" s="128"/>
      <c r="B35" s="138"/>
      <c r="C35" s="138"/>
      <c r="D35" s="160">
        <v>12</v>
      </c>
      <c r="E35" s="140">
        <v>0.65</v>
      </c>
      <c r="F35" s="138">
        <v>0.82</v>
      </c>
      <c r="G35" s="138" t="s">
        <v>329</v>
      </c>
      <c r="H35" s="139">
        <v>0.64</v>
      </c>
      <c r="I35" s="500">
        <v>0.44</v>
      </c>
      <c r="J35" s="138">
        <v>20</v>
      </c>
      <c r="K35" s="138"/>
      <c r="L35" s="138"/>
      <c r="M35" s="138">
        <f t="shared" si="1"/>
        <v>0</v>
      </c>
      <c r="N35" s="139">
        <f t="shared" si="0"/>
        <v>0</v>
      </c>
    </row>
    <row r="36" spans="1:14" ht="15.5" x14ac:dyDescent="0.35">
      <c r="C36" s="230">
        <v>3.2</v>
      </c>
      <c r="D36" s="468">
        <v>14</v>
      </c>
      <c r="E36" s="230">
        <v>0.74</v>
      </c>
      <c r="F36" s="230">
        <v>0.27</v>
      </c>
      <c r="N36" s="6">
        <f>SUM(N26:N35)</f>
        <v>13.138199999999999</v>
      </c>
    </row>
    <row r="37" spans="1:14" ht="15.5" x14ac:dyDescent="0.35">
      <c r="A37" s="417"/>
      <c r="D37" s="417">
        <v>16</v>
      </c>
      <c r="E37" s="230">
        <v>0.6</v>
      </c>
      <c r="F37" s="230">
        <v>0.23</v>
      </c>
    </row>
    <row r="38" spans="1:14" ht="15.5" x14ac:dyDescent="0.35">
      <c r="A38" s="417"/>
      <c r="D38" s="417">
        <v>18</v>
      </c>
      <c r="F38" s="230">
        <v>8.6999999999999993</v>
      </c>
    </row>
    <row r="40" spans="1:14" ht="14" x14ac:dyDescent="0.3">
      <c r="A40" s="135" t="s">
        <v>232</v>
      </c>
      <c r="C40" s="11" t="s">
        <v>233</v>
      </c>
      <c r="D40" s="155">
        <v>40203</v>
      </c>
    </row>
    <row r="41" spans="1:14" ht="14" x14ac:dyDescent="0.3">
      <c r="A41" s="209" t="s">
        <v>248</v>
      </c>
      <c r="B41" s="209" t="s">
        <v>184</v>
      </c>
      <c r="C41" s="209" t="s">
        <v>185</v>
      </c>
      <c r="D41" s="209" t="s">
        <v>186</v>
      </c>
      <c r="E41" s="209" t="s">
        <v>187</v>
      </c>
      <c r="F41" s="209" t="s">
        <v>188</v>
      </c>
      <c r="G41" s="209" t="s">
        <v>201</v>
      </c>
      <c r="H41" s="210" t="s">
        <v>213</v>
      </c>
    </row>
    <row r="42" spans="1:14" ht="13" x14ac:dyDescent="0.3">
      <c r="A42" s="126" t="s">
        <v>192</v>
      </c>
      <c r="B42" s="143">
        <v>0.47291666666666665</v>
      </c>
      <c r="C42" s="84">
        <v>0.56410000000000005</v>
      </c>
      <c r="D42" s="84">
        <v>11.44</v>
      </c>
      <c r="E42" s="84">
        <v>2.88</v>
      </c>
      <c r="F42" s="84">
        <v>7.96</v>
      </c>
      <c r="G42" s="134">
        <v>3.67</v>
      </c>
      <c r="H42" s="84">
        <v>7.5</v>
      </c>
      <c r="J42">
        <f>AVERAGE(E42:E44)</f>
        <v>3.09</v>
      </c>
    </row>
    <row r="43" spans="1:14" ht="13" x14ac:dyDescent="0.3">
      <c r="A43" s="126" t="s">
        <v>193</v>
      </c>
      <c r="B43" s="84"/>
      <c r="C43" s="84">
        <v>0.52769999999999995</v>
      </c>
      <c r="D43" s="84">
        <v>11.34</v>
      </c>
      <c r="E43" s="84">
        <v>2.93</v>
      </c>
      <c r="F43" s="84">
        <v>7.81</v>
      </c>
      <c r="G43" s="92"/>
    </row>
    <row r="44" spans="1:14" ht="13" x14ac:dyDescent="0.3">
      <c r="A44" s="126" t="s">
        <v>194</v>
      </c>
      <c r="B44" s="84"/>
      <c r="C44" s="84">
        <v>0.62509999999999999</v>
      </c>
      <c r="D44" s="84">
        <v>8.4600000000000009</v>
      </c>
      <c r="E44" s="84">
        <v>3.46</v>
      </c>
      <c r="F44" s="84">
        <v>7.74</v>
      </c>
      <c r="G44" s="92"/>
    </row>
    <row r="45" spans="1:14" ht="13" x14ac:dyDescent="0.3">
      <c r="A45" s="126" t="s">
        <v>195</v>
      </c>
      <c r="B45" s="84"/>
      <c r="C45" s="84">
        <v>0.65</v>
      </c>
      <c r="D45" s="84">
        <v>8.81</v>
      </c>
      <c r="E45" s="84">
        <v>3.19</v>
      </c>
      <c r="F45" s="84">
        <v>7.82</v>
      </c>
      <c r="G45" s="92"/>
    </row>
    <row r="46" spans="1:14" ht="13" x14ac:dyDescent="0.3">
      <c r="A46" s="126" t="s">
        <v>196</v>
      </c>
      <c r="B46" s="84"/>
      <c r="C46" s="84">
        <v>0.67290000000000005</v>
      </c>
      <c r="D46" s="84">
        <v>6.84</v>
      </c>
      <c r="E46" s="84">
        <v>3.99</v>
      </c>
      <c r="F46" s="84">
        <v>7.69</v>
      </c>
      <c r="G46" s="92"/>
    </row>
    <row r="47" spans="1:14" ht="13" x14ac:dyDescent="0.3">
      <c r="A47" s="126" t="s">
        <v>197</v>
      </c>
      <c r="B47" s="84"/>
      <c r="C47" s="84">
        <v>0.69410000000000005</v>
      </c>
      <c r="D47" s="84">
        <v>5.52</v>
      </c>
      <c r="E47" s="84">
        <v>4.0199999999999996</v>
      </c>
      <c r="F47" s="84">
        <v>7.7</v>
      </c>
      <c r="G47" s="92"/>
    </row>
    <row r="48" spans="1:14" ht="13" x14ac:dyDescent="0.3">
      <c r="A48" s="126" t="s">
        <v>198</v>
      </c>
      <c r="B48" s="84"/>
      <c r="C48" s="84">
        <v>0.69930000000000003</v>
      </c>
      <c r="D48" s="84">
        <v>3.26</v>
      </c>
      <c r="E48" s="84">
        <v>4.55</v>
      </c>
      <c r="F48" s="84">
        <v>7.71</v>
      </c>
      <c r="G48" s="92"/>
    </row>
    <row r="49" spans="1:10" ht="13" x14ac:dyDescent="0.3">
      <c r="A49" s="126" t="s">
        <v>199</v>
      </c>
      <c r="B49" s="84"/>
      <c r="C49" s="84"/>
      <c r="D49" s="84"/>
      <c r="E49" s="84"/>
      <c r="F49" s="84"/>
      <c r="G49" s="92"/>
    </row>
    <row r="51" spans="1:10" ht="14" x14ac:dyDescent="0.3">
      <c r="A51" s="209" t="s">
        <v>249</v>
      </c>
      <c r="B51" s="209" t="s">
        <v>184</v>
      </c>
      <c r="C51" s="209" t="s">
        <v>185</v>
      </c>
      <c r="D51" s="209" t="s">
        <v>186</v>
      </c>
      <c r="E51" s="209" t="s">
        <v>187</v>
      </c>
      <c r="F51" s="209" t="s">
        <v>188</v>
      </c>
      <c r="G51" s="209" t="s">
        <v>201</v>
      </c>
      <c r="H51" s="210" t="s">
        <v>213</v>
      </c>
    </row>
    <row r="52" spans="1:10" ht="13" x14ac:dyDescent="0.3">
      <c r="A52" s="126" t="s">
        <v>192</v>
      </c>
      <c r="B52" s="143">
        <v>0.50763888888888886</v>
      </c>
      <c r="C52" s="84">
        <v>0.50649999999999995</v>
      </c>
      <c r="D52" s="84">
        <v>11.36</v>
      </c>
      <c r="E52" s="84">
        <v>2.9</v>
      </c>
      <c r="F52" s="84">
        <v>7.79</v>
      </c>
      <c r="G52" s="134">
        <v>3.25</v>
      </c>
      <c r="H52" s="84">
        <v>5.3</v>
      </c>
      <c r="J52" s="6">
        <f>AVERAGE(E52:E54)</f>
        <v>3.2333333333333338</v>
      </c>
    </row>
    <row r="53" spans="1:10" ht="13" x14ac:dyDescent="0.3">
      <c r="A53" s="126" t="s">
        <v>193</v>
      </c>
      <c r="B53" s="84"/>
      <c r="C53" s="84">
        <v>0.58130000000000004</v>
      </c>
      <c r="D53" s="84">
        <v>10.77</v>
      </c>
      <c r="E53" s="84">
        <v>3.41</v>
      </c>
      <c r="F53" s="84">
        <v>7.79</v>
      </c>
      <c r="G53" s="92"/>
    </row>
    <row r="54" spans="1:10" ht="13" x14ac:dyDescent="0.3">
      <c r="A54" s="126" t="s">
        <v>194</v>
      </c>
      <c r="B54" s="84"/>
      <c r="C54" s="84">
        <v>0.62039999999999995</v>
      </c>
      <c r="D54" s="84">
        <v>9.6</v>
      </c>
      <c r="E54" s="84">
        <v>3.39</v>
      </c>
      <c r="F54" s="84">
        <v>7.81</v>
      </c>
      <c r="G54" s="92"/>
    </row>
    <row r="55" spans="1:10" ht="13" x14ac:dyDescent="0.3">
      <c r="A55" s="126" t="s">
        <v>195</v>
      </c>
      <c r="B55" s="84"/>
      <c r="C55" s="84">
        <v>0.65620000000000001</v>
      </c>
      <c r="D55" s="84">
        <v>8.52</v>
      </c>
      <c r="E55" s="84">
        <v>3.34</v>
      </c>
      <c r="F55" s="84">
        <v>7.73</v>
      </c>
      <c r="G55" s="92"/>
    </row>
    <row r="56" spans="1:10" ht="13" x14ac:dyDescent="0.3">
      <c r="A56" s="126" t="s">
        <v>196</v>
      </c>
      <c r="B56" s="84"/>
      <c r="C56" s="84">
        <v>0.66669999999999996</v>
      </c>
      <c r="D56" s="84">
        <v>7.4</v>
      </c>
      <c r="E56" s="84">
        <v>3.47</v>
      </c>
      <c r="F56" s="84">
        <v>7.77</v>
      </c>
      <c r="G56" s="92"/>
    </row>
    <row r="57" spans="1:10" ht="13" x14ac:dyDescent="0.3">
      <c r="A57" s="126" t="s">
        <v>197</v>
      </c>
      <c r="B57" s="84"/>
      <c r="C57" s="84"/>
      <c r="D57" s="84"/>
      <c r="E57" s="84"/>
      <c r="F57" s="84"/>
      <c r="G57" s="92"/>
    </row>
    <row r="58" spans="1:10" x14ac:dyDescent="0.25">
      <c r="C58" s="155"/>
      <c r="D58" s="157"/>
    </row>
    <row r="59" spans="1:10" x14ac:dyDescent="0.25">
      <c r="C59" s="155"/>
      <c r="D59" s="157"/>
    </row>
    <row r="60" spans="1:10" x14ac:dyDescent="0.25">
      <c r="C60" s="155"/>
      <c r="D60" s="157"/>
    </row>
    <row r="61" spans="1:10" x14ac:dyDescent="0.25">
      <c r="C61" s="155"/>
      <c r="D61" s="157"/>
    </row>
    <row r="62" spans="1:10" x14ac:dyDescent="0.25">
      <c r="C62" s="155"/>
      <c r="D62" s="157"/>
    </row>
    <row r="63" spans="1:10" x14ac:dyDescent="0.25">
      <c r="C63" s="155"/>
      <c r="D63" s="157"/>
    </row>
    <row r="64" spans="1:10" x14ac:dyDescent="0.25">
      <c r="C64" s="155"/>
      <c r="D64" s="157"/>
    </row>
    <row r="65" spans="3:4" x14ac:dyDescent="0.25">
      <c r="C65" s="155"/>
      <c r="D65" s="157"/>
    </row>
    <row r="66" spans="3:4" x14ac:dyDescent="0.25">
      <c r="C66" s="155"/>
      <c r="D66" s="157"/>
    </row>
    <row r="67" spans="3:4" x14ac:dyDescent="0.25">
      <c r="C67" s="155"/>
      <c r="D67" s="157"/>
    </row>
    <row r="68" spans="3:4" x14ac:dyDescent="0.25">
      <c r="C68" s="155"/>
      <c r="D68" s="157"/>
    </row>
    <row r="69" spans="3:4" x14ac:dyDescent="0.25">
      <c r="C69" s="155"/>
      <c r="D69" s="157"/>
    </row>
    <row r="70" spans="3:4" x14ac:dyDescent="0.25">
      <c r="C70" s="155"/>
      <c r="D70" s="157"/>
    </row>
    <row r="71" spans="3:4" x14ac:dyDescent="0.25">
      <c r="C71" s="155"/>
      <c r="D71" s="157"/>
    </row>
    <row r="72" spans="3:4" x14ac:dyDescent="0.25">
      <c r="C72" s="155"/>
      <c r="D72" s="157"/>
    </row>
    <row r="73" spans="3:4" x14ac:dyDescent="0.25">
      <c r="C73" s="155"/>
      <c r="D73" s="157"/>
    </row>
    <row r="74" spans="3:4" x14ac:dyDescent="0.25">
      <c r="C74" s="155"/>
      <c r="D74" s="157"/>
    </row>
    <row r="75" spans="3:4" x14ac:dyDescent="0.25">
      <c r="C75" s="155"/>
      <c r="D75" s="157"/>
    </row>
    <row r="76" spans="3:4" x14ac:dyDescent="0.25">
      <c r="C76" s="155"/>
      <c r="D76" s="157"/>
    </row>
    <row r="77" spans="3:4" x14ac:dyDescent="0.25">
      <c r="C77" s="155"/>
      <c r="D77" s="157"/>
    </row>
    <row r="78" spans="3:4" x14ac:dyDescent="0.25">
      <c r="C78" s="155"/>
      <c r="D78" s="157"/>
    </row>
    <row r="79" spans="3:4" x14ac:dyDescent="0.25">
      <c r="C79" s="155"/>
      <c r="D79" s="157"/>
    </row>
    <row r="80" spans="3:4" x14ac:dyDescent="0.25">
      <c r="C80" s="155"/>
      <c r="D80" s="157"/>
    </row>
    <row r="81" spans="3:4" x14ac:dyDescent="0.25">
      <c r="C81" s="155"/>
      <c r="D81" s="157"/>
    </row>
  </sheetData>
  <mergeCells count="7">
    <mergeCell ref="G30:H30"/>
    <mergeCell ref="G32:H32"/>
    <mergeCell ref="B28:C28"/>
    <mergeCell ref="A25:B25"/>
    <mergeCell ref="D25:E25"/>
    <mergeCell ref="G25:H25"/>
    <mergeCell ref="E28:F2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workbookViewId="0">
      <selection activeCell="A3" sqref="A3:B38"/>
    </sheetView>
  </sheetViews>
  <sheetFormatPr defaultRowHeight="12.5" x14ac:dyDescent="0.25"/>
  <cols>
    <col min="1" max="1" width="56.453125" customWidth="1"/>
    <col min="2" max="2" width="28.08984375" bestFit="1" customWidth="1"/>
  </cols>
  <sheetData>
    <row r="1" spans="1:2" ht="15.5" x14ac:dyDescent="0.35">
      <c r="A1" s="812" t="s">
        <v>795</v>
      </c>
      <c r="B1" s="812"/>
    </row>
    <row r="2" spans="1:2" ht="13" x14ac:dyDescent="0.3">
      <c r="A2" s="817" t="s">
        <v>260</v>
      </c>
      <c r="B2" s="817"/>
    </row>
    <row r="3" spans="1:2" ht="15.5" x14ac:dyDescent="0.35">
      <c r="A3" s="86" t="s">
        <v>16</v>
      </c>
      <c r="B3" s="87" t="s">
        <v>17</v>
      </c>
    </row>
    <row r="4" spans="1:2" ht="13" x14ac:dyDescent="0.3">
      <c r="A4" s="813" t="s">
        <v>136</v>
      </c>
      <c r="B4" s="813"/>
    </row>
    <row r="5" spans="1:2" ht="14.25" customHeight="1" x14ac:dyDescent="0.25">
      <c r="A5" s="13" t="s">
        <v>18</v>
      </c>
      <c r="B5" s="88">
        <v>10.6</v>
      </c>
    </row>
    <row r="6" spans="1:2" x14ac:dyDescent="0.25">
      <c r="A6" s="13" t="s">
        <v>181</v>
      </c>
      <c r="B6" s="88">
        <v>15.2</v>
      </c>
    </row>
    <row r="7" spans="1:2" x14ac:dyDescent="0.25">
      <c r="A7" s="84" t="s">
        <v>19</v>
      </c>
      <c r="B7" s="88">
        <v>24.1</v>
      </c>
    </row>
    <row r="8" spans="1:2" ht="13" x14ac:dyDescent="0.3">
      <c r="A8" s="813" t="s">
        <v>151</v>
      </c>
      <c r="B8" s="813"/>
    </row>
    <row r="9" spans="1:2" x14ac:dyDescent="0.25">
      <c r="A9" s="84" t="s">
        <v>144</v>
      </c>
      <c r="B9" s="85">
        <v>33.6</v>
      </c>
    </row>
    <row r="10" spans="1:2" x14ac:dyDescent="0.25">
      <c r="A10" s="84" t="s">
        <v>145</v>
      </c>
      <c r="B10" s="85">
        <v>38.799999999999997</v>
      </c>
    </row>
    <row r="11" spans="1:2" x14ac:dyDescent="0.25">
      <c r="A11" s="84" t="s">
        <v>149</v>
      </c>
      <c r="B11" s="85">
        <v>87</v>
      </c>
    </row>
    <row r="12" spans="1:2" x14ac:dyDescent="0.25">
      <c r="A12" s="84" t="s">
        <v>157</v>
      </c>
      <c r="B12" s="85">
        <v>11.1</v>
      </c>
    </row>
    <row r="13" spans="1:2" x14ac:dyDescent="0.25">
      <c r="A13" s="84" t="s">
        <v>156</v>
      </c>
      <c r="B13" s="85">
        <v>20.7</v>
      </c>
    </row>
    <row r="14" spans="1:2" x14ac:dyDescent="0.25">
      <c r="A14" s="84" t="s">
        <v>150</v>
      </c>
      <c r="B14" s="85">
        <v>83</v>
      </c>
    </row>
    <row r="15" spans="1:2" ht="13" x14ac:dyDescent="0.3">
      <c r="A15" s="813" t="s">
        <v>152</v>
      </c>
      <c r="B15" s="814"/>
    </row>
    <row r="16" spans="1:2" x14ac:dyDescent="0.25">
      <c r="A16" s="84" t="s">
        <v>142</v>
      </c>
      <c r="B16" s="85">
        <v>254</v>
      </c>
    </row>
    <row r="17" spans="1:2" x14ac:dyDescent="0.25">
      <c r="A17" s="84" t="s">
        <v>143</v>
      </c>
      <c r="B17" s="85">
        <v>112</v>
      </c>
    </row>
    <row r="18" spans="1:2" x14ac:dyDescent="0.25">
      <c r="A18" s="189" t="s">
        <v>796</v>
      </c>
      <c r="B18" s="703">
        <v>635</v>
      </c>
    </row>
    <row r="19" spans="1:2" x14ac:dyDescent="0.25">
      <c r="A19" s="84" t="s">
        <v>146</v>
      </c>
      <c r="B19" s="745">
        <v>1019</v>
      </c>
    </row>
    <row r="20" spans="1:2" ht="13" x14ac:dyDescent="0.3">
      <c r="A20" s="813" t="s">
        <v>153</v>
      </c>
      <c r="B20" s="814"/>
    </row>
    <row r="21" spans="1:2" x14ac:dyDescent="0.25">
      <c r="A21" s="129" t="s">
        <v>182</v>
      </c>
      <c r="B21" s="85">
        <v>1.7</v>
      </c>
    </row>
    <row r="22" spans="1:2" x14ac:dyDescent="0.25">
      <c r="A22" s="129" t="s">
        <v>183</v>
      </c>
      <c r="B22" s="88">
        <v>1.6</v>
      </c>
    </row>
    <row r="23" spans="1:2" ht="13" x14ac:dyDescent="0.3">
      <c r="A23" s="813" t="s">
        <v>154</v>
      </c>
      <c r="B23" s="814"/>
    </row>
    <row r="24" spans="1:2" x14ac:dyDescent="0.25">
      <c r="A24" s="84" t="s">
        <v>147</v>
      </c>
      <c r="B24" s="88">
        <v>8.1</v>
      </c>
    </row>
    <row r="25" spans="1:2" x14ac:dyDescent="0.25">
      <c r="A25" s="84" t="s">
        <v>155</v>
      </c>
      <c r="B25" s="88">
        <v>9.8000000000000007</v>
      </c>
    </row>
    <row r="26" spans="1:2" x14ac:dyDescent="0.25">
      <c r="A26" s="84" t="s">
        <v>148</v>
      </c>
      <c r="B26" s="85">
        <v>25.2</v>
      </c>
    </row>
    <row r="27" spans="1:2" ht="13" x14ac:dyDescent="0.3">
      <c r="A27" s="813" t="s">
        <v>158</v>
      </c>
      <c r="B27" s="813"/>
    </row>
    <row r="28" spans="1:2" x14ac:dyDescent="0.25">
      <c r="A28" s="815" t="s">
        <v>20</v>
      </c>
      <c r="B28" s="762" t="s">
        <v>13</v>
      </c>
    </row>
    <row r="29" spans="1:2" x14ac:dyDescent="0.25">
      <c r="A29" s="816"/>
      <c r="B29" s="762" t="s">
        <v>837</v>
      </c>
    </row>
    <row r="30" spans="1:2" x14ac:dyDescent="0.25">
      <c r="A30" s="816"/>
      <c r="B30" s="762" t="s">
        <v>255</v>
      </c>
    </row>
    <row r="31" spans="1:2" x14ac:dyDescent="0.25">
      <c r="A31" s="816"/>
      <c r="B31" s="762" t="s">
        <v>165</v>
      </c>
    </row>
    <row r="32" spans="1:2" x14ac:dyDescent="0.25">
      <c r="A32" s="816"/>
      <c r="B32" s="762" t="s">
        <v>164</v>
      </c>
    </row>
    <row r="33" spans="1:2" x14ac:dyDescent="0.25">
      <c r="A33" s="816"/>
      <c r="B33" s="762" t="s">
        <v>844</v>
      </c>
    </row>
    <row r="34" spans="1:2" x14ac:dyDescent="0.25">
      <c r="A34" s="816"/>
      <c r="B34" s="762" t="s">
        <v>834</v>
      </c>
    </row>
    <row r="35" spans="1:2" x14ac:dyDescent="0.25">
      <c r="A35" s="816"/>
      <c r="B35" s="762" t="s">
        <v>256</v>
      </c>
    </row>
    <row r="36" spans="1:2" x14ac:dyDescent="0.25">
      <c r="A36" s="816"/>
      <c r="B36" s="762" t="s">
        <v>850</v>
      </c>
    </row>
    <row r="37" spans="1:2" ht="13" x14ac:dyDescent="0.3">
      <c r="A37" s="782" t="s">
        <v>21</v>
      </c>
      <c r="B37" s="783" t="s">
        <v>867</v>
      </c>
    </row>
    <row r="38" spans="1:2" x14ac:dyDescent="0.25">
      <c r="A38" s="762" t="s">
        <v>13</v>
      </c>
      <c r="B38" s="745">
        <v>1363947.4731396737</v>
      </c>
    </row>
  </sheetData>
  <mergeCells count="9">
    <mergeCell ref="A1:B1"/>
    <mergeCell ref="A4:B4"/>
    <mergeCell ref="A8:B8"/>
    <mergeCell ref="A15:B15"/>
    <mergeCell ref="A28:A36"/>
    <mergeCell ref="A2:B2"/>
    <mergeCell ref="A20:B20"/>
    <mergeCell ref="A23:B23"/>
    <mergeCell ref="A27:B27"/>
  </mergeCells>
  <phoneticPr fontId="8" type="noConversion"/>
  <pageMargins left="0.5" right="0.5" top="1" bottom="1" header="0.5" footer="0.5"/>
  <pageSetup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69"/>
  <sheetViews>
    <sheetView workbookViewId="0">
      <selection activeCell="F4" sqref="F4:F18"/>
    </sheetView>
  </sheetViews>
  <sheetFormatPr defaultRowHeight="12.5" x14ac:dyDescent="0.25"/>
  <cols>
    <col min="1" max="1" width="15.08984375" customWidth="1"/>
    <col min="4" max="4" width="10.453125" customWidth="1"/>
    <col min="7" max="7" width="10.453125" customWidth="1"/>
    <col min="8" max="8" width="13" customWidth="1"/>
    <col min="13" max="13" width="8.08984375" bestFit="1" customWidth="1"/>
    <col min="14" max="14" width="9.453125" bestFit="1" customWidth="1"/>
    <col min="15" max="15" width="24.6328125" customWidth="1"/>
    <col min="16" max="16" width="13.90625" bestFit="1" customWidth="1"/>
    <col min="17" max="17" width="26.6328125" bestFit="1" customWidth="1"/>
    <col min="18" max="18" width="15.90625" bestFit="1" customWidth="1"/>
    <col min="19" max="19" width="16.6328125" bestFit="1" customWidth="1"/>
    <col min="20" max="21" width="8.36328125" bestFit="1" customWidth="1"/>
    <col min="25" max="25" width="14.36328125" bestFit="1" customWidth="1"/>
  </cols>
  <sheetData>
    <row r="1" spans="1:25" ht="14" x14ac:dyDescent="0.3">
      <c r="A1" s="135" t="s">
        <v>371</v>
      </c>
      <c r="M1" s="1"/>
      <c r="N1" s="1"/>
      <c r="O1" s="169"/>
      <c r="P1" s="169"/>
      <c r="Q1" s="1"/>
      <c r="R1" s="1"/>
      <c r="S1" s="1"/>
      <c r="T1" s="30"/>
      <c r="U1" s="170"/>
      <c r="V1" s="1"/>
      <c r="W1" s="1"/>
      <c r="X1" s="8"/>
      <c r="Y1" s="169"/>
    </row>
    <row r="2" spans="1:25" ht="13" x14ac:dyDescent="0.3">
      <c r="A2" s="1" t="s">
        <v>180</v>
      </c>
      <c r="B2" s="155">
        <v>40231</v>
      </c>
      <c r="M2" s="21"/>
      <c r="N2" s="21"/>
      <c r="O2" s="171"/>
      <c r="P2" s="171"/>
      <c r="Q2" s="21"/>
      <c r="R2" s="21"/>
      <c r="S2" s="21"/>
      <c r="T2" s="172"/>
      <c r="U2" s="173"/>
      <c r="V2" s="174"/>
      <c r="W2" s="175"/>
      <c r="X2" s="176"/>
      <c r="Y2" s="177"/>
    </row>
    <row r="3" spans="1:25" ht="14" x14ac:dyDescent="0.3">
      <c r="A3" s="209" t="s">
        <v>23</v>
      </c>
      <c r="B3" s="209" t="s">
        <v>184</v>
      </c>
      <c r="C3" s="209" t="s">
        <v>185</v>
      </c>
      <c r="D3" s="209" t="s">
        <v>186</v>
      </c>
      <c r="E3" s="209" t="s">
        <v>187</v>
      </c>
      <c r="F3" s="209" t="s">
        <v>188</v>
      </c>
      <c r="M3" s="21"/>
      <c r="N3" s="21"/>
      <c r="O3" s="171"/>
      <c r="P3" s="171"/>
      <c r="Q3" s="21"/>
      <c r="R3" s="21"/>
      <c r="S3" s="178"/>
      <c r="T3" s="179"/>
      <c r="U3" s="194"/>
      <c r="V3" s="11"/>
      <c r="W3" s="175"/>
      <c r="X3" s="176"/>
      <c r="Y3" s="180"/>
    </row>
    <row r="4" spans="1:25" ht="13" x14ac:dyDescent="0.3">
      <c r="A4" s="94" t="s">
        <v>238</v>
      </c>
      <c r="B4" s="143">
        <v>0.4069444444444445</v>
      </c>
      <c r="C4" s="84">
        <v>1.24</v>
      </c>
      <c r="D4" s="84">
        <v>12.42</v>
      </c>
      <c r="E4" s="84">
        <v>0.7</v>
      </c>
      <c r="F4" s="84">
        <v>8.17</v>
      </c>
      <c r="G4" s="92"/>
      <c r="M4" s="21"/>
      <c r="N4" s="21"/>
      <c r="O4" s="171"/>
      <c r="P4" s="171"/>
      <c r="Q4" s="189" t="s">
        <v>281</v>
      </c>
      <c r="R4" s="189" t="s">
        <v>283</v>
      </c>
      <c r="S4" s="21"/>
      <c r="T4" s="195"/>
      <c r="U4" s="196"/>
      <c r="V4" s="21"/>
      <c r="W4" s="21"/>
      <c r="X4" s="176"/>
      <c r="Y4" s="197"/>
    </row>
    <row r="5" spans="1:25" ht="13" x14ac:dyDescent="0.3">
      <c r="A5" s="94" t="s">
        <v>239</v>
      </c>
      <c r="B5" s="143">
        <v>0.42152777777777778</v>
      </c>
      <c r="C5" s="84">
        <v>0.432</v>
      </c>
      <c r="D5" s="84">
        <v>12.14</v>
      </c>
      <c r="E5" s="84">
        <v>0.1</v>
      </c>
      <c r="F5" s="84">
        <v>8.14</v>
      </c>
      <c r="G5" s="92"/>
      <c r="M5" s="21"/>
      <c r="N5" s="21"/>
      <c r="O5" s="171"/>
      <c r="P5" s="171"/>
      <c r="Q5" s="84"/>
      <c r="R5" s="84"/>
      <c r="S5" s="178"/>
      <c r="T5" s="179"/>
      <c r="U5" s="194"/>
      <c r="V5" s="183"/>
      <c r="W5" s="184"/>
      <c r="X5" s="185"/>
      <c r="Y5" s="180"/>
    </row>
    <row r="6" spans="1:25" ht="13" x14ac:dyDescent="0.3">
      <c r="A6" s="94" t="s">
        <v>240</v>
      </c>
      <c r="B6" s="143">
        <v>0.4381944444444445</v>
      </c>
      <c r="C6" s="84">
        <v>0.51900000000000002</v>
      </c>
      <c r="D6" s="84">
        <v>12.38</v>
      </c>
      <c r="E6" s="84">
        <v>2.1</v>
      </c>
      <c r="F6" s="84">
        <v>8.35</v>
      </c>
      <c r="G6" s="92"/>
      <c r="M6" s="21"/>
      <c r="N6" s="21"/>
      <c r="O6" s="171"/>
      <c r="P6" s="171"/>
      <c r="Q6" s="189" t="s">
        <v>282</v>
      </c>
      <c r="R6" s="501">
        <v>21</v>
      </c>
      <c r="S6" s="21"/>
      <c r="T6" s="172"/>
      <c r="U6" s="173"/>
      <c r="V6" s="29"/>
      <c r="W6" s="175"/>
      <c r="X6" s="176"/>
      <c r="Y6" s="177"/>
    </row>
    <row r="7" spans="1:25" ht="13" x14ac:dyDescent="0.3">
      <c r="A7" s="94" t="s">
        <v>229</v>
      </c>
      <c r="B7" s="318" t="s">
        <v>241</v>
      </c>
      <c r="C7" s="319"/>
      <c r="D7" s="319"/>
      <c r="E7" s="319"/>
      <c r="F7" s="320"/>
      <c r="G7" s="210" t="s">
        <v>201</v>
      </c>
      <c r="H7" s="210" t="s">
        <v>213</v>
      </c>
      <c r="M7" s="21"/>
      <c r="N7" s="21"/>
      <c r="O7" s="171"/>
      <c r="P7" s="171"/>
      <c r="Q7" s="189" t="s">
        <v>284</v>
      </c>
      <c r="R7" s="501">
        <v>1</v>
      </c>
      <c r="S7" s="178"/>
      <c r="T7" s="179"/>
      <c r="U7" s="194"/>
      <c r="V7" s="11"/>
      <c r="W7" s="175"/>
      <c r="X7" s="176"/>
      <c r="Y7" s="180"/>
    </row>
    <row r="8" spans="1:25" ht="13" x14ac:dyDescent="0.3">
      <c r="A8" s="126" t="s">
        <v>192</v>
      </c>
      <c r="B8" s="143">
        <v>0.4770833333333333</v>
      </c>
      <c r="C8" s="84">
        <v>0.52</v>
      </c>
      <c r="D8" s="84">
        <v>12.1</v>
      </c>
      <c r="E8" s="84">
        <v>1.9</v>
      </c>
      <c r="F8" s="84">
        <v>8.23</v>
      </c>
      <c r="G8" s="134">
        <v>1.7</v>
      </c>
      <c r="H8" s="188">
        <v>10.75</v>
      </c>
      <c r="M8" s="21"/>
      <c r="N8" s="21"/>
      <c r="O8" s="171"/>
      <c r="P8" s="171"/>
      <c r="Q8" s="189" t="s">
        <v>285</v>
      </c>
      <c r="R8" s="501">
        <v>0</v>
      </c>
      <c r="S8" s="21"/>
      <c r="T8" s="195"/>
      <c r="U8" s="196"/>
      <c r="V8" s="21"/>
      <c r="W8" s="21"/>
      <c r="X8" s="176"/>
      <c r="Y8" s="197"/>
    </row>
    <row r="9" spans="1:25" ht="13" x14ac:dyDescent="0.3">
      <c r="A9" s="126" t="s">
        <v>193</v>
      </c>
      <c r="B9" s="84"/>
      <c r="C9" s="84">
        <v>0.55400000000000005</v>
      </c>
      <c r="D9" s="84">
        <v>10.9</v>
      </c>
      <c r="E9" s="84">
        <v>2.7</v>
      </c>
      <c r="F9" s="84">
        <v>8.0500000000000007</v>
      </c>
      <c r="G9" s="92"/>
      <c r="I9" s="504" t="s">
        <v>340</v>
      </c>
      <c r="J9" s="6">
        <f>AVERAGE(E8:E10)</f>
        <v>2.7333333333333329</v>
      </c>
      <c r="M9" s="21"/>
      <c r="N9" s="21"/>
      <c r="O9" s="171"/>
      <c r="P9" s="171"/>
      <c r="Q9" s="189" t="s">
        <v>286</v>
      </c>
      <c r="R9" s="291">
        <v>1</v>
      </c>
      <c r="S9" s="178"/>
      <c r="T9" s="179"/>
      <c r="U9" s="194"/>
      <c r="V9" s="183"/>
      <c r="W9" s="184"/>
      <c r="X9" s="185"/>
      <c r="Y9" s="180"/>
    </row>
    <row r="10" spans="1:25" ht="13" x14ac:dyDescent="0.3">
      <c r="A10" s="126" t="s">
        <v>194</v>
      </c>
      <c r="B10" s="84"/>
      <c r="C10" s="84">
        <v>0.64700000000000002</v>
      </c>
      <c r="D10" s="84">
        <v>8.6</v>
      </c>
      <c r="E10" s="84">
        <v>3.6</v>
      </c>
      <c r="F10" s="84">
        <v>7.82</v>
      </c>
      <c r="G10" s="92"/>
      <c r="M10" s="21"/>
      <c r="N10" s="21"/>
      <c r="O10" s="171"/>
      <c r="P10" s="171"/>
      <c r="Q10" s="182"/>
      <c r="R10" s="21"/>
      <c r="S10" s="186"/>
      <c r="T10" s="185"/>
      <c r="U10" s="182"/>
      <c r="W10" s="184"/>
      <c r="X10" s="185"/>
      <c r="Y10" s="177"/>
    </row>
    <row r="11" spans="1:25" ht="13" x14ac:dyDescent="0.3">
      <c r="A11" s="126" t="s">
        <v>195</v>
      </c>
      <c r="B11" s="84"/>
      <c r="C11" s="84">
        <v>0.67400000000000004</v>
      </c>
      <c r="D11" s="84">
        <v>8.15</v>
      </c>
      <c r="E11" s="84">
        <v>3.7</v>
      </c>
      <c r="F11" s="84">
        <v>7.67</v>
      </c>
      <c r="G11" s="92"/>
      <c r="M11" s="21"/>
      <c r="N11" s="21"/>
      <c r="O11" s="171"/>
      <c r="P11" s="171"/>
      <c r="Q11" s="21"/>
      <c r="R11" s="21"/>
      <c r="S11" s="21"/>
      <c r="T11" s="172"/>
      <c r="U11" s="173"/>
      <c r="V11" s="29"/>
      <c r="W11" s="175"/>
      <c r="X11" s="176"/>
      <c r="Y11" s="177"/>
    </row>
    <row r="12" spans="1:25" ht="13" x14ac:dyDescent="0.3">
      <c r="A12" s="126" t="s">
        <v>196</v>
      </c>
      <c r="B12" s="84"/>
      <c r="C12" s="84">
        <v>0.69799999999999995</v>
      </c>
      <c r="D12" s="84">
        <v>8.06</v>
      </c>
      <c r="E12" s="84">
        <v>3.4</v>
      </c>
      <c r="F12" s="84">
        <v>7.61</v>
      </c>
      <c r="I12" s="21" t="s">
        <v>339</v>
      </c>
      <c r="J12" s="443">
        <f>AVERAGE(D8:D18)</f>
        <v>7.4272727272727277</v>
      </c>
      <c r="M12" s="21"/>
      <c r="N12" s="21"/>
      <c r="O12" s="171"/>
      <c r="P12" s="171"/>
      <c r="Q12" s="21"/>
      <c r="R12" s="21"/>
      <c r="S12" s="178"/>
      <c r="T12" s="179"/>
      <c r="U12" s="194"/>
      <c r="V12" s="11"/>
      <c r="W12" s="175"/>
      <c r="X12" s="176"/>
      <c r="Y12" s="180"/>
    </row>
    <row r="13" spans="1:25" ht="13" x14ac:dyDescent="0.3">
      <c r="A13" s="126" t="s">
        <v>197</v>
      </c>
      <c r="B13" s="84"/>
      <c r="C13" s="84">
        <v>0.71299999999999997</v>
      </c>
      <c r="D13" s="84">
        <v>7.45</v>
      </c>
      <c r="E13" s="84">
        <v>3.4</v>
      </c>
      <c r="F13" s="84">
        <v>7.65</v>
      </c>
      <c r="I13" s="21" t="s">
        <v>340</v>
      </c>
      <c r="J13" s="443">
        <f>AVERAGE(D8:D10)</f>
        <v>10.533333333333333</v>
      </c>
      <c r="M13" s="21"/>
      <c r="N13" s="21"/>
      <c r="O13" s="171"/>
      <c r="P13" s="171"/>
      <c r="R13" s="21"/>
      <c r="S13" s="21"/>
      <c r="T13" s="195"/>
      <c r="U13" s="196"/>
      <c r="V13" s="21"/>
      <c r="W13" s="21"/>
      <c r="X13" s="176"/>
      <c r="Y13" s="197"/>
    </row>
    <row r="14" spans="1:25" ht="13" x14ac:dyDescent="0.3">
      <c r="A14" s="126" t="s">
        <v>198</v>
      </c>
      <c r="B14" s="84"/>
      <c r="C14" s="84">
        <v>0.73099999999999998</v>
      </c>
      <c r="D14" s="84">
        <v>6.59</v>
      </c>
      <c r="E14" s="84">
        <v>3.6</v>
      </c>
      <c r="F14" s="84">
        <v>7.64</v>
      </c>
      <c r="G14" s="92"/>
      <c r="I14" s="21" t="s">
        <v>344</v>
      </c>
      <c r="J14">
        <f>AVERAGE(D8:D11)</f>
        <v>9.9375</v>
      </c>
      <c r="M14" s="21"/>
      <c r="N14" s="21"/>
      <c r="O14" s="171"/>
      <c r="P14" s="171"/>
      <c r="Q14" s="181"/>
      <c r="R14" s="21"/>
      <c r="S14" s="178"/>
      <c r="T14" s="179"/>
      <c r="U14" s="194"/>
      <c r="V14" s="183"/>
      <c r="W14" s="184"/>
      <c r="X14" s="185"/>
      <c r="Y14" s="180"/>
    </row>
    <row r="15" spans="1:25" ht="13" x14ac:dyDescent="0.3">
      <c r="A15" s="126" t="s">
        <v>199</v>
      </c>
      <c r="B15" s="84"/>
      <c r="C15" s="84">
        <v>0.746</v>
      </c>
      <c r="D15" s="84">
        <v>5.95</v>
      </c>
      <c r="E15" s="84">
        <v>3.8</v>
      </c>
      <c r="F15" s="84">
        <v>7.58</v>
      </c>
      <c r="G15" s="92"/>
      <c r="M15" s="21"/>
      <c r="N15" s="11"/>
      <c r="O15" s="171"/>
      <c r="P15" s="171"/>
      <c r="Q15" s="21"/>
      <c r="R15" s="21"/>
      <c r="S15" s="21"/>
      <c r="T15" s="172"/>
      <c r="U15" s="173"/>
      <c r="V15" s="29"/>
      <c r="W15" s="175"/>
      <c r="X15" s="176"/>
      <c r="Y15" s="177"/>
    </row>
    <row r="16" spans="1:25" ht="13" x14ac:dyDescent="0.3">
      <c r="A16" s="126" t="s">
        <v>200</v>
      </c>
      <c r="B16" s="143"/>
      <c r="C16" s="84">
        <v>0.76500000000000001</v>
      </c>
      <c r="D16" s="84">
        <v>4.5199999999999996</v>
      </c>
      <c r="E16" s="84">
        <v>4</v>
      </c>
      <c r="F16" s="84">
        <v>7.51</v>
      </c>
      <c r="G16" s="92"/>
      <c r="M16" s="21"/>
      <c r="N16" s="11"/>
      <c r="O16" s="171"/>
      <c r="P16" s="171"/>
      <c r="Q16" s="21"/>
      <c r="R16" s="21"/>
      <c r="S16" s="178"/>
      <c r="T16" s="179"/>
      <c r="U16" s="194"/>
      <c r="V16" s="11"/>
      <c r="W16" s="175"/>
      <c r="X16" s="176"/>
      <c r="Y16" s="180"/>
    </row>
    <row r="17" spans="1:25" ht="13" x14ac:dyDescent="0.3">
      <c r="A17" s="126" t="s">
        <v>227</v>
      </c>
      <c r="B17" s="143"/>
      <c r="C17" s="84">
        <v>0.79800000000000004</v>
      </c>
      <c r="D17" s="84">
        <v>4.46</v>
      </c>
      <c r="E17" s="84">
        <v>4.0999999999999996</v>
      </c>
      <c r="F17" s="84">
        <v>7.4</v>
      </c>
      <c r="G17" s="92"/>
      <c r="M17" s="21"/>
      <c r="N17" s="11"/>
      <c r="O17" s="171"/>
      <c r="P17" s="171"/>
      <c r="Q17" s="21"/>
      <c r="R17" s="21"/>
      <c r="S17" s="21"/>
      <c r="T17" s="195"/>
      <c r="U17" s="196"/>
      <c r="V17" s="21"/>
      <c r="W17" s="21"/>
      <c r="X17" s="176"/>
      <c r="Y17" s="197"/>
    </row>
    <row r="18" spans="1:25" ht="13" x14ac:dyDescent="0.3">
      <c r="A18" s="126" t="s">
        <v>228</v>
      </c>
      <c r="B18" s="84"/>
      <c r="C18" s="84">
        <v>0.82299999999999995</v>
      </c>
      <c r="D18" s="84">
        <v>4.92</v>
      </c>
      <c r="E18" s="84">
        <v>4.0999999999999996</v>
      </c>
      <c r="F18" s="84">
        <v>7.49</v>
      </c>
      <c r="G18" s="92"/>
      <c r="M18" s="21"/>
      <c r="N18" s="11"/>
      <c r="O18" s="171"/>
      <c r="P18" s="171"/>
      <c r="Q18" s="181"/>
      <c r="R18" s="21"/>
      <c r="S18" s="178"/>
      <c r="T18" s="179"/>
      <c r="U18" s="194"/>
      <c r="V18" s="183"/>
      <c r="W18" s="184"/>
      <c r="X18" s="185"/>
      <c r="Y18" s="180"/>
    </row>
    <row r="19" spans="1:25" ht="13" x14ac:dyDescent="0.3">
      <c r="A19" s="208"/>
      <c r="B19" s="92"/>
      <c r="C19" s="92"/>
      <c r="D19" s="92"/>
      <c r="E19" s="92"/>
      <c r="F19" s="92"/>
      <c r="G19" s="92"/>
      <c r="M19" s="21"/>
      <c r="N19" s="21"/>
      <c r="O19" s="171"/>
      <c r="P19" s="171"/>
      <c r="Q19" s="21"/>
      <c r="R19" s="21"/>
      <c r="S19" s="21"/>
      <c r="T19" s="172"/>
      <c r="U19" s="173"/>
      <c r="V19" s="29"/>
      <c r="W19" s="175"/>
      <c r="X19" s="176"/>
      <c r="Y19" s="177"/>
    </row>
    <row r="20" spans="1:25" ht="13" x14ac:dyDescent="0.3">
      <c r="A20" s="126" t="s">
        <v>230</v>
      </c>
      <c r="B20" s="143">
        <v>0.51736111111111105</v>
      </c>
      <c r="C20" s="84">
        <v>1.83</v>
      </c>
      <c r="D20" s="84">
        <v>11.21</v>
      </c>
      <c r="E20" s="84">
        <v>0.1</v>
      </c>
      <c r="F20" s="84">
        <v>8.33</v>
      </c>
      <c r="G20" s="189" t="s">
        <v>337</v>
      </c>
      <c r="M20" s="21"/>
      <c r="N20" s="21"/>
      <c r="O20" s="171"/>
      <c r="P20" s="171"/>
      <c r="Q20" s="21"/>
      <c r="R20" s="21"/>
      <c r="S20" s="178"/>
      <c r="T20" s="179"/>
      <c r="U20" s="194"/>
      <c r="V20" s="11"/>
      <c r="W20" s="175"/>
      <c r="X20" s="176"/>
      <c r="Y20" s="180"/>
    </row>
    <row r="21" spans="1:25" ht="13" x14ac:dyDescent="0.3">
      <c r="A21" s="410" t="s">
        <v>231</v>
      </c>
      <c r="B21" s="143">
        <v>0.5229166666666667</v>
      </c>
      <c r="C21" s="84">
        <v>1.78</v>
      </c>
      <c r="D21" s="84">
        <v>12.16</v>
      </c>
      <c r="E21" s="84">
        <v>0.1</v>
      </c>
      <c r="F21" s="84">
        <v>8.3800000000000008</v>
      </c>
      <c r="G21" s="189" t="s">
        <v>338</v>
      </c>
      <c r="M21" s="21"/>
      <c r="N21" s="21"/>
      <c r="O21" s="171"/>
      <c r="P21" s="171"/>
      <c r="Q21" s="21"/>
      <c r="R21" s="21"/>
      <c r="S21" s="21"/>
      <c r="T21" s="195"/>
      <c r="U21" s="196"/>
      <c r="V21" s="21"/>
      <c r="W21" s="21"/>
      <c r="X21" s="176"/>
      <c r="Y21" s="197"/>
    </row>
    <row r="22" spans="1:25" x14ac:dyDescent="0.25">
      <c r="A22" s="131" t="s">
        <v>11</v>
      </c>
      <c r="B22" s="228" t="s">
        <v>332</v>
      </c>
      <c r="C22" s="132"/>
      <c r="D22" s="132"/>
      <c r="E22" s="132"/>
      <c r="F22" s="132"/>
      <c r="G22" s="132"/>
      <c r="M22" s="21"/>
      <c r="N22" s="21"/>
      <c r="O22" s="171"/>
      <c r="P22" s="171"/>
      <c r="Q22" s="181"/>
      <c r="R22" s="21"/>
      <c r="S22" s="178"/>
      <c r="T22" s="179"/>
      <c r="U22" s="194"/>
      <c r="V22" s="183"/>
      <c r="W22" s="184"/>
      <c r="X22" s="185"/>
      <c r="Y22" s="180"/>
    </row>
    <row r="23" spans="1:25" x14ac:dyDescent="0.25">
      <c r="A23" s="144"/>
      <c r="B23" s="229"/>
      <c r="C23" s="133"/>
      <c r="D23" s="133"/>
      <c r="E23" s="133"/>
      <c r="F23" s="133"/>
      <c r="G23" s="133"/>
    </row>
    <row r="24" spans="1:25" x14ac:dyDescent="0.25">
      <c r="A24" s="144"/>
      <c r="B24" s="133"/>
      <c r="C24" s="133"/>
      <c r="D24" s="133"/>
      <c r="E24" s="133"/>
      <c r="F24" s="133"/>
      <c r="G24" s="133"/>
    </row>
    <row r="25" spans="1:25" ht="15.5" x14ac:dyDescent="0.35">
      <c r="A25" s="853" t="s">
        <v>130</v>
      </c>
      <c r="B25" s="853"/>
      <c r="C25" s="395"/>
      <c r="D25" s="853" t="s">
        <v>133</v>
      </c>
      <c r="E25" s="853"/>
      <c r="F25" s="137"/>
      <c r="G25" s="849" t="s">
        <v>34</v>
      </c>
      <c r="H25" s="849"/>
      <c r="N25" s="21"/>
      <c r="P25" s="207"/>
    </row>
    <row r="26" spans="1:25" ht="15.5" x14ac:dyDescent="0.35">
      <c r="A26" s="162" t="s">
        <v>184</v>
      </c>
      <c r="B26" s="396">
        <v>0.4069444444444445</v>
      </c>
      <c r="C26" s="397"/>
      <c r="D26" s="162" t="s">
        <v>184</v>
      </c>
      <c r="E26" s="398">
        <v>0.42152777777777778</v>
      </c>
      <c r="F26" s="485">
        <v>3.82</v>
      </c>
      <c r="G26" s="162" t="s">
        <v>184</v>
      </c>
      <c r="H26" s="398">
        <v>0.43611111111111112</v>
      </c>
      <c r="O26" s="21"/>
      <c r="P26" s="207"/>
    </row>
    <row r="27" spans="1:25" ht="16" thickBot="1" x14ac:dyDescent="0.4">
      <c r="A27" s="162" t="s">
        <v>202</v>
      </c>
      <c r="B27" s="399">
        <v>12</v>
      </c>
      <c r="C27" s="399"/>
      <c r="D27" s="162" t="s">
        <v>202</v>
      </c>
      <c r="E27" s="400">
        <v>17</v>
      </c>
      <c r="F27" s="400"/>
      <c r="G27" s="162" t="s">
        <v>202</v>
      </c>
      <c r="H27" s="400">
        <v>50</v>
      </c>
      <c r="O27" s="181"/>
      <c r="P27" s="207"/>
    </row>
    <row r="28" spans="1:25" ht="25.5" thickBot="1" x14ac:dyDescent="0.3">
      <c r="A28" s="165" t="s">
        <v>203</v>
      </c>
      <c r="B28" s="262" t="s">
        <v>274</v>
      </c>
      <c r="C28" s="411" t="s">
        <v>333</v>
      </c>
      <c r="D28" s="163" t="s">
        <v>203</v>
      </c>
      <c r="E28" s="855" t="s">
        <v>334</v>
      </c>
      <c r="F28" s="855"/>
      <c r="G28" s="163" t="s">
        <v>203</v>
      </c>
      <c r="H28" s="412" t="s">
        <v>275</v>
      </c>
      <c r="O28" s="21"/>
    </row>
    <row r="29" spans="1:25" ht="23" x14ac:dyDescent="0.25">
      <c r="A29" s="159" t="s">
        <v>204</v>
      </c>
      <c r="B29" s="159" t="s">
        <v>205</v>
      </c>
      <c r="C29" s="161" t="s">
        <v>206</v>
      </c>
      <c r="D29" s="159" t="s">
        <v>204</v>
      </c>
      <c r="E29" s="161" t="s">
        <v>206</v>
      </c>
      <c r="F29" s="159" t="s">
        <v>204</v>
      </c>
      <c r="G29" s="159" t="s">
        <v>205</v>
      </c>
      <c r="H29" s="161" t="s">
        <v>206</v>
      </c>
      <c r="J29" s="141" t="s">
        <v>204</v>
      </c>
      <c r="K29" s="141" t="s">
        <v>205</v>
      </c>
      <c r="L29" s="142" t="s">
        <v>206</v>
      </c>
      <c r="M29" s="141" t="s">
        <v>207</v>
      </c>
      <c r="N29" s="142" t="s">
        <v>208</v>
      </c>
      <c r="P29" s="172"/>
    </row>
    <row r="30" spans="1:25" ht="15.5" x14ac:dyDescent="0.35">
      <c r="A30" s="160">
        <v>2</v>
      </c>
      <c r="B30" s="138">
        <v>0.7</v>
      </c>
      <c r="C30" s="138">
        <v>0.23</v>
      </c>
      <c r="D30" s="160">
        <v>2</v>
      </c>
      <c r="E30" s="138">
        <v>1</v>
      </c>
      <c r="F30" s="138">
        <v>0.65</v>
      </c>
      <c r="G30" s="849" t="s">
        <v>34</v>
      </c>
      <c r="H30" s="849"/>
      <c r="J30" s="138">
        <v>2</v>
      </c>
      <c r="K30" s="138">
        <v>0.15</v>
      </c>
      <c r="L30" s="139">
        <v>1.01</v>
      </c>
      <c r="M30" s="138">
        <f>K30*50</f>
        <v>7.5</v>
      </c>
      <c r="N30" s="139">
        <f>L30*M30</f>
        <v>7.5750000000000002</v>
      </c>
      <c r="O30" s="21"/>
      <c r="P30" s="179"/>
    </row>
    <row r="31" spans="1:25" ht="18.75" customHeight="1" x14ac:dyDescent="0.35">
      <c r="A31" s="160">
        <v>4</v>
      </c>
      <c r="B31" s="138">
        <v>0.55000000000000004</v>
      </c>
      <c r="C31" s="138">
        <v>0.16</v>
      </c>
      <c r="D31" s="160">
        <v>4</v>
      </c>
      <c r="E31" s="139">
        <v>0.95</v>
      </c>
      <c r="F31" s="138">
        <v>0.85</v>
      </c>
      <c r="G31" s="138">
        <v>0.15</v>
      </c>
      <c r="H31" s="139">
        <v>1.01</v>
      </c>
      <c r="I31">
        <v>7.9</v>
      </c>
      <c r="J31" s="138">
        <v>4</v>
      </c>
      <c r="K31" s="139">
        <v>0.95</v>
      </c>
      <c r="L31" s="138">
        <v>0.85</v>
      </c>
      <c r="M31" s="138">
        <f t="shared" ref="M31:M37" si="0">K31*2</f>
        <v>1.9</v>
      </c>
      <c r="N31" s="139">
        <f>L31*M31</f>
        <v>1.615</v>
      </c>
      <c r="O31" s="181"/>
    </row>
    <row r="32" spans="1:25" ht="15.5" x14ac:dyDescent="0.35">
      <c r="A32" s="160">
        <v>6</v>
      </c>
      <c r="B32" s="138">
        <v>0.33</v>
      </c>
      <c r="C32" s="138">
        <v>0.43</v>
      </c>
      <c r="D32" s="160">
        <v>6</v>
      </c>
      <c r="E32" s="138">
        <v>0.78</v>
      </c>
      <c r="F32" s="138">
        <v>0.92</v>
      </c>
      <c r="G32" s="850" t="s">
        <v>214</v>
      </c>
      <c r="H32" s="851"/>
      <c r="J32" s="138">
        <v>6</v>
      </c>
      <c r="K32" s="138">
        <v>0.78</v>
      </c>
      <c r="L32" s="138">
        <v>0.92</v>
      </c>
      <c r="M32" s="138">
        <f t="shared" si="0"/>
        <v>1.56</v>
      </c>
      <c r="N32" s="139">
        <f>L32*M32</f>
        <v>1.4352</v>
      </c>
      <c r="O32" s="21"/>
      <c r="P32" s="195"/>
    </row>
    <row r="33" spans="1:15" ht="15.5" x14ac:dyDescent="0.35">
      <c r="A33" s="160">
        <v>8</v>
      </c>
      <c r="B33" s="138">
        <v>0.48</v>
      </c>
      <c r="C33" s="138">
        <v>1.07</v>
      </c>
      <c r="D33" s="160">
        <v>8</v>
      </c>
      <c r="E33" s="138">
        <v>0.82</v>
      </c>
      <c r="F33" s="138">
        <v>0.6</v>
      </c>
      <c r="G33" s="138" t="s">
        <v>335</v>
      </c>
      <c r="H33" s="139">
        <v>0.52</v>
      </c>
      <c r="I33">
        <v>0.49</v>
      </c>
      <c r="J33" s="138">
        <v>8</v>
      </c>
      <c r="K33" s="138">
        <v>0.82</v>
      </c>
      <c r="L33" s="138">
        <v>0.6</v>
      </c>
      <c r="M33" s="138">
        <f t="shared" si="0"/>
        <v>1.64</v>
      </c>
      <c r="N33" s="139">
        <f>L33*M33</f>
        <v>0.98399999999999987</v>
      </c>
      <c r="O33" s="182"/>
    </row>
    <row r="34" spans="1:15" ht="15.5" x14ac:dyDescent="0.35">
      <c r="A34" s="160">
        <v>12</v>
      </c>
      <c r="B34" s="138">
        <v>0.53</v>
      </c>
      <c r="C34" s="138">
        <v>0.9</v>
      </c>
      <c r="D34" s="160">
        <v>10</v>
      </c>
      <c r="E34" s="138">
        <v>0.8</v>
      </c>
      <c r="F34" s="138">
        <v>1.17</v>
      </c>
      <c r="G34" s="138" t="s">
        <v>215</v>
      </c>
      <c r="H34" s="139"/>
      <c r="J34" s="138">
        <v>10</v>
      </c>
      <c r="K34" s="138">
        <v>0.8</v>
      </c>
      <c r="L34" s="138">
        <v>1.17</v>
      </c>
      <c r="M34" s="138">
        <f t="shared" si="0"/>
        <v>1.6</v>
      </c>
      <c r="N34" s="6"/>
    </row>
    <row r="35" spans="1:15" ht="15.5" x14ac:dyDescent="0.35">
      <c r="A35" s="128"/>
      <c r="B35" s="138"/>
      <c r="C35" s="138">
        <v>1.81</v>
      </c>
      <c r="D35" s="160">
        <v>12</v>
      </c>
      <c r="E35" s="140">
        <v>0.65</v>
      </c>
      <c r="F35" s="138">
        <v>1.68</v>
      </c>
      <c r="G35" s="503" t="s">
        <v>336</v>
      </c>
      <c r="H35" s="139">
        <v>0.69</v>
      </c>
      <c r="I35">
        <v>0.43</v>
      </c>
      <c r="J35" s="138">
        <v>12</v>
      </c>
      <c r="K35" s="140">
        <v>0.65</v>
      </c>
      <c r="L35" s="138">
        <v>1.68</v>
      </c>
      <c r="M35" s="138">
        <f t="shared" si="0"/>
        <v>1.3</v>
      </c>
      <c r="O35" s="21"/>
    </row>
    <row r="36" spans="1:15" ht="15.5" x14ac:dyDescent="0.35">
      <c r="A36" s="128"/>
      <c r="B36" s="416"/>
      <c r="C36" s="416"/>
      <c r="D36" s="160">
        <v>14</v>
      </c>
      <c r="E36" s="467">
        <v>0.6</v>
      </c>
      <c r="F36" s="416">
        <v>0.13</v>
      </c>
      <c r="G36" s="416"/>
      <c r="H36" s="418"/>
      <c r="J36" s="138">
        <v>14</v>
      </c>
      <c r="K36" s="140">
        <v>0.6</v>
      </c>
      <c r="L36" s="138">
        <v>0.13</v>
      </c>
      <c r="M36" s="138">
        <f t="shared" si="0"/>
        <v>1.2</v>
      </c>
      <c r="O36" s="21"/>
    </row>
    <row r="37" spans="1:15" ht="15.5" x14ac:dyDescent="0.35">
      <c r="A37" s="128"/>
      <c r="B37" s="416"/>
      <c r="C37" s="416"/>
      <c r="D37" s="160">
        <v>16</v>
      </c>
      <c r="E37" s="467">
        <v>0.5</v>
      </c>
      <c r="F37" s="416">
        <v>0.03</v>
      </c>
      <c r="G37" s="416"/>
      <c r="H37" s="418"/>
      <c r="J37" s="138">
        <v>16</v>
      </c>
      <c r="K37" s="140">
        <v>0.5</v>
      </c>
      <c r="L37" s="138">
        <v>0.03</v>
      </c>
      <c r="M37" s="138">
        <f t="shared" si="0"/>
        <v>1</v>
      </c>
      <c r="O37" s="21"/>
    </row>
    <row r="38" spans="1:15" ht="15.5" x14ac:dyDescent="0.35">
      <c r="F38" s="467">
        <v>5.33</v>
      </c>
      <c r="N38" s="6">
        <f>SUM(N30:N37)</f>
        <v>11.6092</v>
      </c>
      <c r="O38" s="181"/>
    </row>
    <row r="39" spans="1:15" ht="14" x14ac:dyDescent="0.3">
      <c r="A39" s="135" t="s">
        <v>232</v>
      </c>
      <c r="C39" s="11" t="s">
        <v>233</v>
      </c>
      <c r="D39" s="155">
        <v>40231</v>
      </c>
      <c r="O39" s="21"/>
    </row>
    <row r="40" spans="1:15" ht="14" x14ac:dyDescent="0.3">
      <c r="A40" s="209" t="s">
        <v>248</v>
      </c>
      <c r="B40" s="209" t="s">
        <v>184</v>
      </c>
      <c r="C40" s="209" t="s">
        <v>185</v>
      </c>
      <c r="D40" s="209" t="s">
        <v>186</v>
      </c>
      <c r="E40" s="209" t="s">
        <v>187</v>
      </c>
      <c r="F40" s="209" t="s">
        <v>188</v>
      </c>
      <c r="G40" s="209" t="s">
        <v>201</v>
      </c>
      <c r="H40" s="210" t="s">
        <v>213</v>
      </c>
      <c r="N40" s="21"/>
    </row>
    <row r="41" spans="1:15" ht="13" x14ac:dyDescent="0.3">
      <c r="A41" s="126" t="s">
        <v>192</v>
      </c>
      <c r="B41" s="143">
        <v>0.46319444444444446</v>
      </c>
      <c r="C41" s="84">
        <v>0.51800000000000002</v>
      </c>
      <c r="D41" s="84">
        <v>12.18</v>
      </c>
      <c r="E41" s="84">
        <v>2.1</v>
      </c>
      <c r="F41" s="84">
        <v>8.36</v>
      </c>
      <c r="G41" s="134">
        <v>1.8</v>
      </c>
      <c r="H41" s="84">
        <v>8.3000000000000007</v>
      </c>
      <c r="O41" s="21"/>
    </row>
    <row r="42" spans="1:15" ht="13" x14ac:dyDescent="0.3">
      <c r="A42" s="126" t="s">
        <v>193</v>
      </c>
      <c r="B42" s="84"/>
      <c r="C42" s="84">
        <v>0.53300000000000003</v>
      </c>
      <c r="D42" s="84">
        <v>11</v>
      </c>
      <c r="E42" s="84">
        <v>2.4</v>
      </c>
      <c r="F42" s="84">
        <v>8.1199999999999992</v>
      </c>
      <c r="G42" s="92"/>
      <c r="I42" s="21" t="s">
        <v>341</v>
      </c>
      <c r="J42" s="6">
        <f>AVERAGE(E41:E43)</f>
        <v>2.6999999999999997</v>
      </c>
      <c r="O42" s="181"/>
    </row>
    <row r="43" spans="1:15" ht="13" x14ac:dyDescent="0.3">
      <c r="A43" s="126" t="s">
        <v>194</v>
      </c>
      <c r="B43" s="84"/>
      <c r="C43" s="84">
        <v>0.61699999999999999</v>
      </c>
      <c r="D43" s="84">
        <v>8.4</v>
      </c>
      <c r="E43" s="84">
        <v>3.6</v>
      </c>
      <c r="F43" s="84">
        <v>7.93</v>
      </c>
      <c r="G43" s="92"/>
      <c r="O43" s="21"/>
    </row>
    <row r="44" spans="1:15" ht="13" x14ac:dyDescent="0.3">
      <c r="A44" s="126" t="s">
        <v>195</v>
      </c>
      <c r="B44" s="84"/>
      <c r="C44" s="84">
        <v>0.66900000000000004</v>
      </c>
      <c r="D44" s="84">
        <v>7.15</v>
      </c>
      <c r="E44" s="84">
        <v>3.7</v>
      </c>
      <c r="F44" s="84">
        <v>7.78</v>
      </c>
      <c r="G44" s="92"/>
      <c r="N44" s="11"/>
    </row>
    <row r="45" spans="1:15" ht="13" x14ac:dyDescent="0.3">
      <c r="A45" s="126" t="s">
        <v>196</v>
      </c>
      <c r="B45" s="84"/>
      <c r="C45" s="84">
        <v>0.68700000000000006</v>
      </c>
      <c r="D45" s="84">
        <v>6.85</v>
      </c>
      <c r="E45" s="84">
        <v>3.6</v>
      </c>
      <c r="F45" s="84">
        <v>7.68</v>
      </c>
      <c r="G45" s="92"/>
      <c r="O45" s="21"/>
    </row>
    <row r="46" spans="1:15" ht="13" x14ac:dyDescent="0.3">
      <c r="A46" s="126" t="s">
        <v>197</v>
      </c>
      <c r="B46" s="84"/>
      <c r="C46" s="84">
        <v>0.70699999999999996</v>
      </c>
      <c r="D46" s="84">
        <v>5.2</v>
      </c>
      <c r="E46" s="84">
        <v>3.8</v>
      </c>
      <c r="F46" s="84">
        <v>7.6</v>
      </c>
      <c r="G46" s="92"/>
      <c r="O46" s="181"/>
    </row>
    <row r="47" spans="1:15" ht="13" x14ac:dyDescent="0.3">
      <c r="A47" s="126" t="s">
        <v>198</v>
      </c>
      <c r="B47" s="84"/>
      <c r="C47" s="84">
        <v>0.72199999999999998</v>
      </c>
      <c r="D47" s="84">
        <v>2.2999999999999998</v>
      </c>
      <c r="E47" s="84">
        <v>4.5999999999999996</v>
      </c>
      <c r="F47" s="84">
        <v>7.51</v>
      </c>
      <c r="G47" s="92"/>
      <c r="O47" s="21"/>
    </row>
    <row r="48" spans="1:15" ht="13" x14ac:dyDescent="0.3">
      <c r="A48" s="126" t="s">
        <v>199</v>
      </c>
      <c r="B48" s="84"/>
      <c r="C48" s="84">
        <v>0.745</v>
      </c>
      <c r="D48" s="84">
        <v>2.2999999999999998</v>
      </c>
      <c r="E48" s="84">
        <v>4.7</v>
      </c>
      <c r="F48" s="84">
        <v>7.4</v>
      </c>
      <c r="G48" s="92"/>
    </row>
    <row r="50" spans="1:10" ht="14" x14ac:dyDescent="0.3">
      <c r="A50" s="209" t="s">
        <v>249</v>
      </c>
      <c r="B50" s="209" t="s">
        <v>184</v>
      </c>
      <c r="C50" s="209" t="s">
        <v>185</v>
      </c>
      <c r="D50" s="209" t="s">
        <v>186</v>
      </c>
      <c r="E50" s="209" t="s">
        <v>187</v>
      </c>
      <c r="F50" s="209" t="s">
        <v>188</v>
      </c>
      <c r="G50" s="209" t="s">
        <v>201</v>
      </c>
      <c r="H50" s="210" t="s">
        <v>213</v>
      </c>
    </row>
    <row r="51" spans="1:10" ht="13" x14ac:dyDescent="0.3">
      <c r="A51" s="126" t="s">
        <v>192</v>
      </c>
      <c r="B51" s="143">
        <v>0.49861111111111112</v>
      </c>
      <c r="C51" s="84">
        <v>0.51400000000000001</v>
      </c>
      <c r="D51" s="84">
        <v>11.46</v>
      </c>
      <c r="E51" s="84">
        <v>1.9</v>
      </c>
      <c r="F51" s="84">
        <v>8.2200000000000006</v>
      </c>
      <c r="G51" s="134">
        <v>1.65</v>
      </c>
      <c r="H51" s="431">
        <v>5</v>
      </c>
    </row>
    <row r="52" spans="1:10" ht="13" x14ac:dyDescent="0.3">
      <c r="A52" s="126" t="s">
        <v>193</v>
      </c>
      <c r="B52" s="84"/>
      <c r="C52" s="84">
        <v>0.55000000000000004</v>
      </c>
      <c r="D52" s="84">
        <v>10.130000000000001</v>
      </c>
      <c r="E52" s="84">
        <v>3.1</v>
      </c>
      <c r="F52" s="84">
        <v>8.06</v>
      </c>
      <c r="G52" s="92"/>
    </row>
    <row r="53" spans="1:10" ht="13" x14ac:dyDescent="0.3">
      <c r="A53" s="126" t="s">
        <v>194</v>
      </c>
      <c r="B53" s="84"/>
      <c r="C53" s="84">
        <v>0.63300000000000001</v>
      </c>
      <c r="D53" s="84">
        <v>7.58</v>
      </c>
      <c r="E53" s="84">
        <v>3.6</v>
      </c>
      <c r="F53" s="84">
        <v>7.89</v>
      </c>
      <c r="G53" s="92"/>
      <c r="I53" s="21" t="s">
        <v>341</v>
      </c>
      <c r="J53" s="6">
        <f>AVERAGE(E51:E53)</f>
        <v>2.8666666666666667</v>
      </c>
    </row>
    <row r="54" spans="1:10" ht="13" x14ac:dyDescent="0.3">
      <c r="A54" s="126" t="s">
        <v>195</v>
      </c>
      <c r="B54" s="84"/>
      <c r="C54" s="84">
        <v>0.67</v>
      </c>
      <c r="D54" s="84">
        <v>7.52</v>
      </c>
      <c r="E54" s="84">
        <v>3.6</v>
      </c>
      <c r="F54" s="84">
        <v>7.72</v>
      </c>
      <c r="G54" s="92"/>
    </row>
    <row r="55" spans="1:10" ht="13" x14ac:dyDescent="0.3">
      <c r="A55" s="126" t="s">
        <v>196</v>
      </c>
      <c r="B55" s="84"/>
      <c r="C55" s="84">
        <v>0.68300000000000005</v>
      </c>
      <c r="D55" s="84">
        <v>7.54</v>
      </c>
      <c r="E55" s="84">
        <v>3.6</v>
      </c>
      <c r="F55" s="84">
        <v>7.62</v>
      </c>
      <c r="G55" s="92"/>
    </row>
    <row r="56" spans="1:10" ht="13" x14ac:dyDescent="0.3">
      <c r="A56" s="126" t="s">
        <v>197</v>
      </c>
      <c r="B56" s="84"/>
      <c r="C56" s="84"/>
      <c r="D56" s="84"/>
      <c r="E56" s="84"/>
      <c r="F56" s="84"/>
      <c r="G56" s="92"/>
    </row>
    <row r="58" spans="1:10" ht="14" x14ac:dyDescent="0.3">
      <c r="A58" s="209" t="s">
        <v>250</v>
      </c>
      <c r="B58" s="209" t="s">
        <v>184</v>
      </c>
      <c r="C58" s="209" t="s">
        <v>185</v>
      </c>
      <c r="D58" s="209" t="s">
        <v>186</v>
      </c>
      <c r="E58" s="209" t="s">
        <v>187</v>
      </c>
      <c r="F58" s="209" t="s">
        <v>188</v>
      </c>
      <c r="G58" s="209" t="s">
        <v>201</v>
      </c>
      <c r="H58" s="210" t="s">
        <v>213</v>
      </c>
    </row>
    <row r="59" spans="1:10" ht="13" x14ac:dyDescent="0.3">
      <c r="A59" s="126" t="s">
        <v>192</v>
      </c>
      <c r="B59" s="143"/>
      <c r="C59" s="84"/>
      <c r="D59" s="84"/>
      <c r="E59" s="84"/>
      <c r="F59" s="84"/>
      <c r="G59" s="134"/>
      <c r="H59" s="84"/>
    </row>
    <row r="60" spans="1:10" ht="13" x14ac:dyDescent="0.3">
      <c r="A60" s="126" t="s">
        <v>193</v>
      </c>
      <c r="B60" s="84"/>
      <c r="C60" s="84"/>
      <c r="D60" s="84"/>
      <c r="E60" s="84"/>
      <c r="F60" s="84"/>
      <c r="G60" s="92"/>
    </row>
    <row r="61" spans="1:10" ht="13" x14ac:dyDescent="0.3">
      <c r="A61" s="126" t="s">
        <v>194</v>
      </c>
      <c r="B61" s="84"/>
      <c r="C61" s="84"/>
      <c r="D61" s="84"/>
      <c r="E61" s="84"/>
      <c r="F61" s="84"/>
      <c r="G61" s="92"/>
    </row>
    <row r="63" spans="1:10" ht="14" x14ac:dyDescent="0.3">
      <c r="A63" s="209" t="s">
        <v>251</v>
      </c>
      <c r="B63" s="209" t="s">
        <v>184</v>
      </c>
      <c r="C63" s="209" t="s">
        <v>185</v>
      </c>
      <c r="D63" s="209" t="s">
        <v>186</v>
      </c>
      <c r="E63" s="209" t="s">
        <v>187</v>
      </c>
      <c r="F63" s="209" t="s">
        <v>188</v>
      </c>
      <c r="G63" s="209" t="s">
        <v>201</v>
      </c>
      <c r="H63" s="210" t="s">
        <v>213</v>
      </c>
    </row>
    <row r="64" spans="1:10" ht="13" x14ac:dyDescent="0.3">
      <c r="A64" s="126" t="s">
        <v>192</v>
      </c>
      <c r="B64" s="143"/>
      <c r="C64" s="84"/>
      <c r="D64" s="84"/>
      <c r="E64" s="84"/>
      <c r="F64" s="84"/>
      <c r="G64" s="134"/>
      <c r="H64" s="84"/>
    </row>
    <row r="65" spans="1:7" ht="13" x14ac:dyDescent="0.3">
      <c r="A65" s="126" t="s">
        <v>193</v>
      </c>
      <c r="B65" s="84"/>
      <c r="C65" s="84"/>
      <c r="D65" s="84"/>
      <c r="E65" s="84"/>
      <c r="F65" s="84"/>
      <c r="G65" s="92"/>
    </row>
    <row r="66" spans="1:7" ht="13" x14ac:dyDescent="0.3">
      <c r="A66" s="126" t="s">
        <v>194</v>
      </c>
      <c r="B66" s="84"/>
      <c r="C66" s="84"/>
      <c r="D66" s="84"/>
      <c r="E66" s="84"/>
      <c r="F66" s="84"/>
      <c r="G66" s="92"/>
    </row>
    <row r="67" spans="1:7" ht="13" x14ac:dyDescent="0.3">
      <c r="A67" s="126" t="s">
        <v>195</v>
      </c>
      <c r="B67" s="84"/>
      <c r="C67" s="84"/>
      <c r="D67" s="84"/>
      <c r="E67" s="84"/>
      <c r="F67" s="84"/>
      <c r="G67" s="92"/>
    </row>
    <row r="68" spans="1:7" ht="13" x14ac:dyDescent="0.3">
      <c r="A68" s="126" t="s">
        <v>196</v>
      </c>
      <c r="B68" s="84"/>
      <c r="C68" s="84"/>
      <c r="D68" s="84"/>
      <c r="E68" s="84"/>
      <c r="F68" s="84"/>
      <c r="G68" s="92"/>
    </row>
    <row r="69" spans="1:7" ht="13" x14ac:dyDescent="0.3">
      <c r="A69" s="126" t="s">
        <v>197</v>
      </c>
      <c r="B69" s="84"/>
      <c r="C69" s="84"/>
      <c r="D69" s="84"/>
      <c r="E69" s="84"/>
      <c r="F69" s="84"/>
      <c r="G69" s="92"/>
    </row>
  </sheetData>
  <mergeCells count="6">
    <mergeCell ref="G32:H32"/>
    <mergeCell ref="A25:B25"/>
    <mergeCell ref="D25:E25"/>
    <mergeCell ref="G25:H25"/>
    <mergeCell ref="E28:F28"/>
    <mergeCell ref="G30:H30"/>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66"/>
  <sheetViews>
    <sheetView workbookViewId="0">
      <selection activeCell="F4" sqref="F4:F18"/>
    </sheetView>
  </sheetViews>
  <sheetFormatPr defaultRowHeight="12.5" x14ac:dyDescent="0.25"/>
  <cols>
    <col min="1" max="1" width="13.08984375" customWidth="1"/>
    <col min="3" max="3" width="7" bestFit="1" customWidth="1"/>
    <col min="4" max="4" width="10.54296875" bestFit="1" customWidth="1"/>
    <col min="5" max="5" width="7.08984375" bestFit="1" customWidth="1"/>
    <col min="6" max="6" width="8" customWidth="1"/>
    <col min="7" max="7" width="9.453125" bestFit="1" customWidth="1"/>
    <col min="8" max="8" width="12.08984375" customWidth="1"/>
    <col min="9" max="9" width="10.08984375" customWidth="1"/>
    <col min="11" max="11" width="16.36328125" bestFit="1" customWidth="1"/>
    <col min="12" max="12" width="15.90625" bestFit="1" customWidth="1"/>
  </cols>
  <sheetData>
    <row r="1" spans="1:16" ht="14.5" thickBot="1" x14ac:dyDescent="0.35">
      <c r="A1" s="135" t="s">
        <v>323</v>
      </c>
      <c r="K1" s="189" t="s">
        <v>281</v>
      </c>
      <c r="L1" s="515" t="s">
        <v>283</v>
      </c>
      <c r="M1" s="516"/>
      <c r="N1" s="516"/>
      <c r="O1" s="516"/>
      <c r="P1" s="516"/>
    </row>
    <row r="2" spans="1:16" ht="13.5" thickBot="1" x14ac:dyDescent="0.35">
      <c r="A2" s="1" t="s">
        <v>180</v>
      </c>
      <c r="B2" s="155">
        <v>40266</v>
      </c>
      <c r="K2" s="189" t="s">
        <v>291</v>
      </c>
      <c r="L2" s="497" t="s">
        <v>237</v>
      </c>
      <c r="M2" s="497"/>
      <c r="N2" s="509"/>
      <c r="O2" s="509"/>
      <c r="P2" s="509"/>
    </row>
    <row r="3" spans="1:16" ht="14.5" thickBot="1" x14ac:dyDescent="0.35">
      <c r="A3" s="209" t="s">
        <v>23</v>
      </c>
      <c r="B3" s="209" t="s">
        <v>184</v>
      </c>
      <c r="C3" s="209" t="s">
        <v>185</v>
      </c>
      <c r="D3" s="209" t="s">
        <v>186</v>
      </c>
      <c r="E3" s="209" t="s">
        <v>187</v>
      </c>
      <c r="F3" s="209" t="s">
        <v>188</v>
      </c>
      <c r="G3" s="209" t="s">
        <v>347</v>
      </c>
      <c r="K3" s="189" t="s">
        <v>292</v>
      </c>
      <c r="L3" s="510" t="s">
        <v>345</v>
      </c>
      <c r="M3" s="510"/>
      <c r="N3" s="509"/>
      <c r="O3" s="509"/>
      <c r="P3" s="509"/>
    </row>
    <row r="4" spans="1:16" ht="13.5" thickBot="1" x14ac:dyDescent="0.35">
      <c r="A4" s="94" t="s">
        <v>238</v>
      </c>
      <c r="B4" s="143">
        <v>0.40972222222222227</v>
      </c>
      <c r="C4" s="431">
        <v>0.9</v>
      </c>
      <c r="D4" s="431">
        <v>12.41</v>
      </c>
      <c r="E4" s="431">
        <v>2.4</v>
      </c>
      <c r="F4" s="431">
        <v>8.3800000000000008</v>
      </c>
      <c r="G4" s="431">
        <v>1.96</v>
      </c>
      <c r="H4" s="92"/>
      <c r="K4" s="189" t="s">
        <v>282</v>
      </c>
      <c r="L4" s="497">
        <v>43</v>
      </c>
      <c r="M4" s="510"/>
      <c r="N4" s="510"/>
      <c r="O4" s="510"/>
      <c r="P4" s="510"/>
    </row>
    <row r="5" spans="1:16" ht="13.5" thickBot="1" x14ac:dyDescent="0.35">
      <c r="A5" s="94" t="s">
        <v>239</v>
      </c>
      <c r="B5" s="143">
        <v>0.4236111111111111</v>
      </c>
      <c r="C5" s="84">
        <v>0.46100000000000002</v>
      </c>
      <c r="D5" s="431">
        <v>12.2</v>
      </c>
      <c r="E5" s="431">
        <v>3.4</v>
      </c>
      <c r="F5" s="431">
        <v>8.8800000000000008</v>
      </c>
      <c r="G5" s="431">
        <v>2.63</v>
      </c>
      <c r="H5" s="92"/>
      <c r="K5" s="189" t="s">
        <v>284</v>
      </c>
      <c r="L5" s="497">
        <v>36</v>
      </c>
      <c r="M5" s="510"/>
      <c r="N5" s="510"/>
      <c r="O5" s="510"/>
      <c r="P5" s="510"/>
    </row>
    <row r="6" spans="1:16" ht="13.5" thickBot="1" x14ac:dyDescent="0.35">
      <c r="A6" s="94" t="s">
        <v>240</v>
      </c>
      <c r="B6" s="143">
        <v>0.44236111111111115</v>
      </c>
      <c r="C6" s="84">
        <v>0.65900000000000003</v>
      </c>
      <c r="D6" s="431">
        <v>11.17</v>
      </c>
      <c r="E6" s="6">
        <v>5.5</v>
      </c>
      <c r="F6" s="431">
        <v>8.3699999999999992</v>
      </c>
      <c r="G6" s="431">
        <v>2.12</v>
      </c>
      <c r="H6" s="92"/>
      <c r="K6" s="189" t="s">
        <v>285</v>
      </c>
      <c r="L6" s="497">
        <v>1</v>
      </c>
      <c r="M6" s="510"/>
      <c r="N6" s="510"/>
      <c r="O6" s="510"/>
      <c r="P6" s="510"/>
    </row>
    <row r="7" spans="1:16" ht="14.5" thickBot="1" x14ac:dyDescent="0.35">
      <c r="A7" s="94" t="s">
        <v>229</v>
      </c>
      <c r="B7" s="318"/>
      <c r="C7" s="319"/>
      <c r="D7" s="319"/>
      <c r="E7" s="319"/>
      <c r="F7" s="320"/>
      <c r="G7" s="506"/>
      <c r="H7" s="209" t="s">
        <v>201</v>
      </c>
      <c r="I7" s="210" t="s">
        <v>213</v>
      </c>
      <c r="K7" s="189" t="s">
        <v>290</v>
      </c>
      <c r="L7" s="497" t="s">
        <v>345</v>
      </c>
      <c r="M7" s="510"/>
      <c r="N7" s="510"/>
      <c r="O7" s="510"/>
      <c r="P7" s="510"/>
    </row>
    <row r="8" spans="1:16" ht="13.5" thickBot="1" x14ac:dyDescent="0.35">
      <c r="A8" s="126" t="s">
        <v>192</v>
      </c>
      <c r="B8" s="143">
        <v>0.49583333333333335</v>
      </c>
      <c r="C8" s="84">
        <v>0.65200000000000002</v>
      </c>
      <c r="D8" s="84">
        <v>10.24</v>
      </c>
      <c r="E8" s="84">
        <v>5.6</v>
      </c>
      <c r="F8" s="431">
        <v>7.93</v>
      </c>
      <c r="G8" s="431">
        <v>2.83</v>
      </c>
      <c r="H8" s="512">
        <v>1.6</v>
      </c>
      <c r="I8" s="188">
        <v>10.85</v>
      </c>
      <c r="K8" s="189" t="s">
        <v>286</v>
      </c>
      <c r="L8" s="496">
        <v>46</v>
      </c>
      <c r="M8" s="509"/>
      <c r="N8" s="510"/>
      <c r="O8" s="510"/>
      <c r="P8" s="510"/>
    </row>
    <row r="9" spans="1:16" ht="13" x14ac:dyDescent="0.3">
      <c r="A9" s="126" t="s">
        <v>193</v>
      </c>
      <c r="B9" s="84"/>
      <c r="C9" s="84">
        <v>0.65300000000000002</v>
      </c>
      <c r="D9" s="84">
        <v>9.86</v>
      </c>
      <c r="E9" s="84">
        <v>5.3</v>
      </c>
      <c r="F9" s="431">
        <v>7.84</v>
      </c>
      <c r="G9" s="431">
        <v>2.62</v>
      </c>
      <c r="H9" s="84"/>
      <c r="L9" s="21" t="s">
        <v>346</v>
      </c>
    </row>
    <row r="10" spans="1:16" ht="13" x14ac:dyDescent="0.3">
      <c r="A10" s="126" t="s">
        <v>194</v>
      </c>
      <c r="B10" s="84"/>
      <c r="C10" s="84">
        <v>0.65400000000000003</v>
      </c>
      <c r="D10" s="84">
        <v>9.52</v>
      </c>
      <c r="E10" s="84">
        <v>5.2</v>
      </c>
      <c r="F10" s="431">
        <v>7.81</v>
      </c>
      <c r="G10" s="431">
        <v>2.46</v>
      </c>
      <c r="H10" s="84"/>
    </row>
    <row r="11" spans="1:16" ht="13" x14ac:dyDescent="0.3">
      <c r="A11" s="126" t="s">
        <v>195</v>
      </c>
      <c r="B11" s="84"/>
      <c r="C11" s="84">
        <v>0.65400000000000003</v>
      </c>
      <c r="D11" s="84">
        <v>9.5500000000000007</v>
      </c>
      <c r="E11" s="84">
        <v>5.0999999999999996</v>
      </c>
      <c r="F11" s="431">
        <v>7.82</v>
      </c>
      <c r="G11" s="431">
        <v>2.4</v>
      </c>
      <c r="H11" s="84"/>
    </row>
    <row r="12" spans="1:16" ht="13" x14ac:dyDescent="0.3">
      <c r="A12" s="126" t="s">
        <v>196</v>
      </c>
      <c r="B12" s="84"/>
      <c r="C12" s="84">
        <v>0.65400000000000003</v>
      </c>
      <c r="D12" s="84">
        <v>9.67</v>
      </c>
      <c r="E12" s="84">
        <v>5</v>
      </c>
      <c r="F12" s="431">
        <v>7.78</v>
      </c>
      <c r="G12" s="431">
        <v>2.3199999999999998</v>
      </c>
      <c r="H12" s="84"/>
      <c r="J12" t="s">
        <v>354</v>
      </c>
      <c r="K12" s="6">
        <f>AVERAGE(E8:E10)</f>
        <v>5.3666666666666663</v>
      </c>
    </row>
    <row r="13" spans="1:16" ht="13" x14ac:dyDescent="0.3">
      <c r="A13" s="126" t="s">
        <v>197</v>
      </c>
      <c r="B13" s="84"/>
      <c r="C13" s="84">
        <v>0.65400000000000003</v>
      </c>
      <c r="D13" s="84">
        <v>9.3699999999999992</v>
      </c>
      <c r="E13" s="84">
        <v>4.7</v>
      </c>
      <c r="F13" s="431">
        <v>7.73</v>
      </c>
      <c r="G13" s="431">
        <v>2.23</v>
      </c>
      <c r="H13" s="84"/>
      <c r="J13" t="s">
        <v>355</v>
      </c>
      <c r="K13" s="6">
        <f>AVERAGE(D8:D18)</f>
        <v>7.691545454545456</v>
      </c>
    </row>
    <row r="14" spans="1:16" ht="13" x14ac:dyDescent="0.3">
      <c r="A14" s="126" t="s">
        <v>198</v>
      </c>
      <c r="B14" s="84"/>
      <c r="C14" s="84">
        <v>0.68500000000000005</v>
      </c>
      <c r="D14" s="84">
        <v>9.0500000000000007</v>
      </c>
      <c r="E14" s="84">
        <v>4.7</v>
      </c>
      <c r="F14" s="431">
        <v>7.71</v>
      </c>
      <c r="G14" s="431">
        <v>2.16</v>
      </c>
      <c r="H14" s="84"/>
      <c r="J14" t="s">
        <v>354</v>
      </c>
      <c r="K14" s="6">
        <f>AVERAGE(D8:D10)</f>
        <v>9.8733333333333331</v>
      </c>
    </row>
    <row r="15" spans="1:16" ht="13" x14ac:dyDescent="0.3">
      <c r="A15" s="126" t="s">
        <v>199</v>
      </c>
      <c r="B15" s="84"/>
      <c r="C15" s="84">
        <v>0.69299999999999995</v>
      </c>
      <c r="D15" s="84">
        <v>8.7769999999999992</v>
      </c>
      <c r="E15" s="84">
        <v>4.7</v>
      </c>
      <c r="F15" s="431">
        <v>7.67</v>
      </c>
      <c r="G15" s="431">
        <v>2.09</v>
      </c>
      <c r="H15" s="84"/>
      <c r="J15" t="s">
        <v>356</v>
      </c>
      <c r="K15" s="6">
        <f>AVERAGE(D8:D11)</f>
        <v>9.7925000000000004</v>
      </c>
    </row>
    <row r="16" spans="1:16" ht="13" x14ac:dyDescent="0.3">
      <c r="A16" s="126" t="s">
        <v>200</v>
      </c>
      <c r="B16" s="143"/>
      <c r="C16" s="84">
        <v>0.73899999999999999</v>
      </c>
      <c r="D16" s="84">
        <v>4.8</v>
      </c>
      <c r="E16" s="84">
        <v>4.7</v>
      </c>
      <c r="F16" s="431">
        <v>7.57</v>
      </c>
      <c r="G16" s="431">
        <v>1.91</v>
      </c>
      <c r="H16" s="84"/>
    </row>
    <row r="17" spans="1:15" ht="13" x14ac:dyDescent="0.3">
      <c r="A17" s="126" t="s">
        <v>227</v>
      </c>
      <c r="B17" s="143"/>
      <c r="C17" s="84">
        <v>0.80500000000000005</v>
      </c>
      <c r="D17" s="84">
        <v>2.23</v>
      </c>
      <c r="E17" s="84">
        <v>4.8</v>
      </c>
      <c r="F17" s="431">
        <v>7.31</v>
      </c>
      <c r="G17" s="431">
        <v>1.63</v>
      </c>
      <c r="H17" s="84"/>
    </row>
    <row r="18" spans="1:15" ht="13" x14ac:dyDescent="0.3">
      <c r="A18" s="126" t="s">
        <v>228</v>
      </c>
      <c r="B18" s="84"/>
      <c r="C18" s="84">
        <v>0.81</v>
      </c>
      <c r="D18" s="84">
        <v>1.54</v>
      </c>
      <c r="E18" s="84">
        <v>4.8</v>
      </c>
      <c r="F18" s="431">
        <v>7.25</v>
      </c>
      <c r="G18" s="431">
        <v>1.57</v>
      </c>
      <c r="H18" s="84"/>
    </row>
    <row r="19" spans="1:15" ht="13" x14ac:dyDescent="0.3">
      <c r="A19" s="208"/>
      <c r="B19" s="92"/>
      <c r="C19" s="92"/>
      <c r="D19" s="92"/>
      <c r="E19" s="92"/>
      <c r="F19" s="92"/>
      <c r="G19" s="92"/>
      <c r="H19" s="92"/>
    </row>
    <row r="20" spans="1:15" ht="13" x14ac:dyDescent="0.3">
      <c r="A20" s="126" t="s">
        <v>230</v>
      </c>
      <c r="B20" s="143">
        <v>0.45416666666666666</v>
      </c>
      <c r="C20" s="84">
        <v>0.99</v>
      </c>
      <c r="D20" s="84">
        <v>9.4</v>
      </c>
      <c r="E20" s="84">
        <v>4.9000000000000004</v>
      </c>
      <c r="F20" s="84">
        <v>8.3000000000000007</v>
      </c>
      <c r="G20" s="84">
        <v>2.04</v>
      </c>
      <c r="H20" s="189" t="s">
        <v>360</v>
      </c>
      <c r="I20" s="415"/>
    </row>
    <row r="21" spans="1:15" ht="13" x14ac:dyDescent="0.3">
      <c r="A21" s="414" t="s">
        <v>231</v>
      </c>
      <c r="B21" s="143">
        <v>0.4597222222222222</v>
      </c>
      <c r="C21" s="84">
        <v>0.97</v>
      </c>
      <c r="D21" s="84">
        <v>11.15</v>
      </c>
      <c r="E21" s="84">
        <v>5.2</v>
      </c>
      <c r="F21" s="84">
        <v>8.49</v>
      </c>
      <c r="G21" s="84">
        <v>2.5299999999999998</v>
      </c>
      <c r="H21" s="189" t="s">
        <v>359</v>
      </c>
      <c r="I21" s="415"/>
    </row>
    <row r="22" spans="1:15" x14ac:dyDescent="0.25">
      <c r="A22" s="131" t="s">
        <v>11</v>
      </c>
      <c r="B22" s="228" t="s">
        <v>351</v>
      </c>
      <c r="C22" s="132"/>
      <c r="D22" s="228"/>
      <c r="E22" s="228"/>
      <c r="F22" s="132"/>
      <c r="G22" s="132"/>
      <c r="H22" s="132"/>
    </row>
    <row r="23" spans="1:15" x14ac:dyDescent="0.25">
      <c r="A23" s="144"/>
      <c r="B23" s="133"/>
      <c r="C23" s="133"/>
      <c r="D23" s="229"/>
      <c r="E23" s="229"/>
      <c r="F23" s="133"/>
      <c r="G23" s="483"/>
      <c r="H23" s="133"/>
    </row>
    <row r="24" spans="1:15" x14ac:dyDescent="0.25">
      <c r="A24" s="144"/>
      <c r="B24" s="133"/>
      <c r="C24" s="133"/>
      <c r="D24" s="133"/>
      <c r="E24" s="133"/>
      <c r="F24" s="133"/>
      <c r="G24" s="483"/>
      <c r="H24" s="133"/>
    </row>
    <row r="25" spans="1:15" ht="15.5" x14ac:dyDescent="0.35">
      <c r="A25" s="853" t="s">
        <v>130</v>
      </c>
      <c r="B25" s="853"/>
      <c r="C25" s="395"/>
      <c r="D25" s="853" t="s">
        <v>133</v>
      </c>
      <c r="E25" s="853"/>
      <c r="F25" s="137"/>
      <c r="G25" s="137"/>
      <c r="H25" s="849" t="s">
        <v>34</v>
      </c>
      <c r="I25" s="849"/>
    </row>
    <row r="26" spans="1:15" ht="15.5" x14ac:dyDescent="0.35">
      <c r="A26" s="162" t="s">
        <v>184</v>
      </c>
      <c r="B26" s="396">
        <v>0.45416666666666666</v>
      </c>
      <c r="C26" s="397"/>
      <c r="D26" s="162" t="s">
        <v>184</v>
      </c>
      <c r="E26" s="398">
        <v>0.42152777777777778</v>
      </c>
      <c r="F26" s="485">
        <v>4.0999999999999996</v>
      </c>
      <c r="G26" s="396"/>
      <c r="H26" s="162" t="s">
        <v>184</v>
      </c>
      <c r="I26" s="398"/>
    </row>
    <row r="27" spans="1:15" ht="16" thickBot="1" x14ac:dyDescent="0.4">
      <c r="A27" s="162" t="s">
        <v>202</v>
      </c>
      <c r="B27" s="399">
        <v>13</v>
      </c>
      <c r="C27" s="399"/>
      <c r="D27" s="162" t="s">
        <v>202</v>
      </c>
      <c r="E27" s="400">
        <v>21</v>
      </c>
      <c r="F27" s="400"/>
      <c r="G27" s="399"/>
      <c r="H27" s="162" t="s">
        <v>202</v>
      </c>
      <c r="I27" s="400">
        <v>50</v>
      </c>
    </row>
    <row r="28" spans="1:15" ht="50.5" thickBot="1" x14ac:dyDescent="0.3">
      <c r="A28" s="165" t="s">
        <v>203</v>
      </c>
      <c r="B28" s="858" t="s">
        <v>349</v>
      </c>
      <c r="C28" s="858"/>
      <c r="D28" s="163" t="s">
        <v>203</v>
      </c>
      <c r="E28" s="855" t="s">
        <v>348</v>
      </c>
      <c r="F28" s="855"/>
      <c r="G28" s="511"/>
      <c r="H28" s="163" t="s">
        <v>203</v>
      </c>
      <c r="I28" s="412" t="s">
        <v>350</v>
      </c>
    </row>
    <row r="29" spans="1:15" ht="34.5" x14ac:dyDescent="0.25">
      <c r="A29" s="159" t="s">
        <v>204</v>
      </c>
      <c r="B29" s="159" t="s">
        <v>205</v>
      </c>
      <c r="C29" s="161" t="s">
        <v>206</v>
      </c>
      <c r="D29" s="159" t="s">
        <v>204</v>
      </c>
      <c r="E29" s="159" t="s">
        <v>243</v>
      </c>
      <c r="F29" s="161" t="s">
        <v>206</v>
      </c>
      <c r="G29" s="161"/>
      <c r="H29" s="159" t="s">
        <v>205</v>
      </c>
      <c r="I29" s="161" t="s">
        <v>206</v>
      </c>
      <c r="K29" s="141" t="s">
        <v>204</v>
      </c>
      <c r="L29" s="141" t="s">
        <v>205</v>
      </c>
      <c r="M29" s="142" t="s">
        <v>206</v>
      </c>
      <c r="N29" s="141" t="s">
        <v>207</v>
      </c>
      <c r="O29" s="142" t="s">
        <v>208</v>
      </c>
    </row>
    <row r="30" spans="1:15" ht="15.5" x14ac:dyDescent="0.35">
      <c r="A30" s="160">
        <v>2</v>
      </c>
      <c r="B30" s="138">
        <v>1</v>
      </c>
      <c r="C30" s="138">
        <v>0.27</v>
      </c>
      <c r="D30" s="160">
        <v>2</v>
      </c>
      <c r="E30" s="138">
        <v>0.74</v>
      </c>
      <c r="F30" s="138">
        <v>0.36</v>
      </c>
      <c r="G30" s="487"/>
      <c r="H30" s="859" t="s">
        <v>34</v>
      </c>
      <c r="I30" s="859"/>
      <c r="K30" s="138">
        <v>2</v>
      </c>
      <c r="L30" s="138">
        <v>0.38</v>
      </c>
      <c r="M30" s="139">
        <v>2.97</v>
      </c>
      <c r="N30" s="138">
        <f>L30*50</f>
        <v>19</v>
      </c>
      <c r="O30" s="139">
        <f t="shared" ref="O30:O39" si="0">M30*N30</f>
        <v>56.430000000000007</v>
      </c>
    </row>
    <row r="31" spans="1:15" ht="15.5" x14ac:dyDescent="0.35">
      <c r="A31" s="160">
        <v>4</v>
      </c>
      <c r="B31" s="138">
        <v>0.88</v>
      </c>
      <c r="C31" s="138">
        <v>0.43</v>
      </c>
      <c r="D31" s="160">
        <v>4</v>
      </c>
      <c r="E31" s="138">
        <v>1.48</v>
      </c>
      <c r="F31" s="138">
        <v>2.0099999999999998</v>
      </c>
      <c r="G31" s="138"/>
      <c r="H31" s="138">
        <v>0.38</v>
      </c>
      <c r="I31" s="139">
        <v>2.97</v>
      </c>
      <c r="J31" s="508">
        <v>58.7</v>
      </c>
      <c r="K31" s="138">
        <v>4</v>
      </c>
      <c r="L31" s="138">
        <v>1.48</v>
      </c>
      <c r="M31" s="138">
        <v>2.0099999999999998</v>
      </c>
      <c r="N31" s="138">
        <f>L31*2</f>
        <v>2.96</v>
      </c>
      <c r="O31" s="139">
        <f t="shared" si="0"/>
        <v>5.9495999999999993</v>
      </c>
    </row>
    <row r="32" spans="1:15" ht="15.5" x14ac:dyDescent="0.35">
      <c r="A32" s="160">
        <v>6</v>
      </c>
      <c r="B32" s="138">
        <v>0.7</v>
      </c>
      <c r="C32" s="138">
        <v>0.53</v>
      </c>
      <c r="D32" s="160">
        <v>6</v>
      </c>
      <c r="E32" s="138">
        <v>1.4</v>
      </c>
      <c r="F32" s="138">
        <v>2.13</v>
      </c>
      <c r="G32" s="477"/>
      <c r="H32" s="856" t="s">
        <v>214</v>
      </c>
      <c r="I32" s="857"/>
      <c r="K32" s="138">
        <v>6</v>
      </c>
      <c r="L32" s="138">
        <v>1.4</v>
      </c>
      <c r="M32" s="138">
        <v>2.13</v>
      </c>
      <c r="N32" s="138">
        <f>L32*2</f>
        <v>2.8</v>
      </c>
      <c r="O32" s="139">
        <f t="shared" si="0"/>
        <v>5.9639999999999995</v>
      </c>
    </row>
    <row r="33" spans="1:15" ht="15.5" x14ac:dyDescent="0.35">
      <c r="A33" s="160">
        <v>8</v>
      </c>
      <c r="B33" s="138">
        <v>0.82</v>
      </c>
      <c r="C33" s="138">
        <v>2.37</v>
      </c>
      <c r="D33" s="160">
        <v>8</v>
      </c>
      <c r="E33" s="138">
        <v>1.28</v>
      </c>
      <c r="F33" s="138">
        <v>1.93</v>
      </c>
      <c r="G33" s="138"/>
      <c r="H33" s="138" t="s">
        <v>352</v>
      </c>
      <c r="I33" s="139">
        <v>1.24</v>
      </c>
      <c r="J33" s="508">
        <v>2.4700000000000002</v>
      </c>
      <c r="K33" s="138">
        <v>8</v>
      </c>
      <c r="L33" s="138">
        <v>1.28</v>
      </c>
      <c r="M33" s="138">
        <v>1.93</v>
      </c>
      <c r="N33" s="138">
        <f>L33*3</f>
        <v>3.84</v>
      </c>
      <c r="O33" s="139">
        <f t="shared" si="0"/>
        <v>7.4111999999999991</v>
      </c>
    </row>
    <row r="34" spans="1:15" ht="15.5" x14ac:dyDescent="0.35">
      <c r="A34" s="160">
        <v>12</v>
      </c>
      <c r="B34" s="138">
        <v>1</v>
      </c>
      <c r="C34" s="138">
        <v>2.59</v>
      </c>
      <c r="D34" s="160">
        <v>10</v>
      </c>
      <c r="E34" s="138">
        <v>0.95</v>
      </c>
      <c r="F34" s="138">
        <v>0.67</v>
      </c>
      <c r="G34" s="138"/>
      <c r="H34" s="189" t="s">
        <v>215</v>
      </c>
      <c r="I34" s="139"/>
      <c r="K34" s="138">
        <v>10</v>
      </c>
      <c r="L34" s="138">
        <v>0.95</v>
      </c>
      <c r="M34" s="138">
        <v>0.67</v>
      </c>
      <c r="N34" s="138">
        <f t="shared" ref="N34:N39" si="1">L34*2</f>
        <v>1.9</v>
      </c>
      <c r="O34" s="139">
        <f t="shared" si="0"/>
        <v>1.2729999999999999</v>
      </c>
    </row>
    <row r="35" spans="1:15" ht="15.5" x14ac:dyDescent="0.35">
      <c r="A35" s="507">
        <v>14</v>
      </c>
      <c r="B35" s="138">
        <v>0.6</v>
      </c>
      <c r="C35" s="140">
        <v>0.38</v>
      </c>
      <c r="D35" s="160">
        <v>12</v>
      </c>
      <c r="E35" s="140">
        <v>1.2</v>
      </c>
      <c r="F35" s="138">
        <v>2.69</v>
      </c>
      <c r="G35" s="138"/>
      <c r="H35" s="138" t="s">
        <v>353</v>
      </c>
      <c r="I35" s="139">
        <v>1.84</v>
      </c>
      <c r="J35" s="508">
        <v>2.35</v>
      </c>
      <c r="K35" s="138">
        <v>12</v>
      </c>
      <c r="L35" s="140">
        <v>1.2</v>
      </c>
      <c r="M35" s="138">
        <v>2.69</v>
      </c>
      <c r="N35" s="138">
        <f t="shared" si="1"/>
        <v>2.4</v>
      </c>
      <c r="O35" s="139">
        <f t="shared" si="0"/>
        <v>6.4559999999999995</v>
      </c>
    </row>
    <row r="36" spans="1:15" ht="15.5" x14ac:dyDescent="0.35">
      <c r="A36" s="128"/>
      <c r="B36" s="416"/>
      <c r="C36" s="416"/>
      <c r="D36" s="160">
        <v>14</v>
      </c>
      <c r="E36" s="140">
        <v>1.2</v>
      </c>
      <c r="F36" s="138">
        <v>2.0299999999999998</v>
      </c>
      <c r="G36" s="416"/>
      <c r="H36" s="416"/>
      <c r="I36" s="418"/>
      <c r="K36" s="138">
        <v>14</v>
      </c>
      <c r="L36" s="140">
        <v>1.2</v>
      </c>
      <c r="M36" s="138">
        <v>2.0299999999999998</v>
      </c>
      <c r="N36" s="138">
        <f t="shared" si="1"/>
        <v>2.4</v>
      </c>
      <c r="O36" s="139">
        <f t="shared" si="0"/>
        <v>4.871999999999999</v>
      </c>
    </row>
    <row r="37" spans="1:15" ht="15.5" x14ac:dyDescent="0.35">
      <c r="A37" s="128"/>
      <c r="B37" s="416"/>
      <c r="C37" s="416"/>
      <c r="D37" s="160">
        <v>16</v>
      </c>
      <c r="E37" s="140">
        <v>0.95</v>
      </c>
      <c r="F37" s="138">
        <v>1.48</v>
      </c>
      <c r="G37" s="416"/>
      <c r="H37" s="416"/>
      <c r="I37" s="418"/>
      <c r="K37" s="138">
        <v>16</v>
      </c>
      <c r="L37" s="140">
        <v>0.95</v>
      </c>
      <c r="M37" s="138">
        <v>1.48</v>
      </c>
      <c r="N37" s="138">
        <f t="shared" si="1"/>
        <v>1.9</v>
      </c>
      <c r="O37" s="139">
        <f t="shared" si="0"/>
        <v>2.8119999999999998</v>
      </c>
    </row>
    <row r="38" spans="1:15" ht="15.5" x14ac:dyDescent="0.35">
      <c r="C38" s="10"/>
      <c r="D38" s="160">
        <v>18</v>
      </c>
      <c r="E38" s="140">
        <v>0.78</v>
      </c>
      <c r="F38" s="140">
        <v>0.8</v>
      </c>
      <c r="G38" s="467"/>
      <c r="K38" s="138">
        <v>18</v>
      </c>
      <c r="L38" s="140">
        <v>0.78</v>
      </c>
      <c r="M38" s="140">
        <v>0.8</v>
      </c>
      <c r="N38" s="138">
        <f t="shared" si="1"/>
        <v>1.56</v>
      </c>
      <c r="O38" s="139">
        <f t="shared" si="0"/>
        <v>1.2480000000000002</v>
      </c>
    </row>
    <row r="39" spans="1:15" ht="15.5" x14ac:dyDescent="0.35">
      <c r="C39" s="513">
        <v>13.51</v>
      </c>
      <c r="D39" s="160">
        <v>20</v>
      </c>
      <c r="E39" s="140">
        <v>0.35</v>
      </c>
      <c r="F39" s="140">
        <v>0.22</v>
      </c>
      <c r="G39" s="419">
        <v>35.299999999999997</v>
      </c>
      <c r="K39" s="138">
        <v>20</v>
      </c>
      <c r="L39" s="140">
        <v>0.35</v>
      </c>
      <c r="M39" s="140">
        <v>0.22</v>
      </c>
      <c r="N39" s="138">
        <f t="shared" si="1"/>
        <v>0.7</v>
      </c>
      <c r="O39" s="139">
        <f t="shared" si="0"/>
        <v>0.154</v>
      </c>
    </row>
    <row r="40" spans="1:15" ht="15.5" x14ac:dyDescent="0.35">
      <c r="A40" s="135" t="s">
        <v>232</v>
      </c>
      <c r="C40" s="11" t="s">
        <v>233</v>
      </c>
      <c r="D40" s="155">
        <v>39888</v>
      </c>
      <c r="E40" s="230"/>
      <c r="O40" s="6">
        <f>SUM(O30:O37)</f>
        <v>91.1678</v>
      </c>
    </row>
    <row r="41" spans="1:15" ht="14" x14ac:dyDescent="0.3">
      <c r="A41" s="209" t="s">
        <v>248</v>
      </c>
      <c r="B41" s="209" t="s">
        <v>184</v>
      </c>
      <c r="C41" s="209" t="s">
        <v>185</v>
      </c>
      <c r="D41" s="209" t="s">
        <v>186</v>
      </c>
      <c r="E41" s="209" t="s">
        <v>187</v>
      </c>
      <c r="F41" s="209" t="s">
        <v>188</v>
      </c>
      <c r="G41" s="209" t="s">
        <v>358</v>
      </c>
      <c r="H41" s="209" t="s">
        <v>201</v>
      </c>
      <c r="I41" s="210" t="s">
        <v>213</v>
      </c>
    </row>
    <row r="42" spans="1:15" ht="13" x14ac:dyDescent="0.3">
      <c r="A42" s="126" t="s">
        <v>192</v>
      </c>
      <c r="B42" s="143">
        <v>0.51111111111111118</v>
      </c>
      <c r="C42" s="84">
        <v>0.65600000000000003</v>
      </c>
      <c r="D42" s="431">
        <v>9.68</v>
      </c>
      <c r="E42" s="431">
        <v>5.6</v>
      </c>
      <c r="F42" s="431">
        <v>7.87</v>
      </c>
      <c r="G42" s="431">
        <v>2.2000000000000002</v>
      </c>
      <c r="H42" s="134">
        <v>1.81</v>
      </c>
      <c r="I42" s="84">
        <v>8</v>
      </c>
    </row>
    <row r="43" spans="1:15" ht="13" x14ac:dyDescent="0.3">
      <c r="A43" s="126" t="s">
        <v>193</v>
      </c>
      <c r="B43" s="84"/>
      <c r="C43" s="84">
        <v>0.65400000000000003</v>
      </c>
      <c r="D43" s="431">
        <v>9.35</v>
      </c>
      <c r="E43" s="431">
        <v>5.4</v>
      </c>
      <c r="F43" s="431">
        <v>7.86</v>
      </c>
      <c r="G43" s="431">
        <v>2.19</v>
      </c>
      <c r="H43" s="84"/>
      <c r="K43" s="6">
        <f>AVERAGE(E42:E44)</f>
        <v>5.4333333333333336</v>
      </c>
    </row>
    <row r="44" spans="1:15" ht="13" x14ac:dyDescent="0.3">
      <c r="A44" s="126" t="s">
        <v>194</v>
      </c>
      <c r="B44" s="84"/>
      <c r="C44" s="84">
        <v>0.65500000000000003</v>
      </c>
      <c r="D44" s="431">
        <v>9.94</v>
      </c>
      <c r="E44" s="431">
        <v>5.3</v>
      </c>
      <c r="F44" s="514">
        <v>7.79</v>
      </c>
      <c r="G44" s="431">
        <v>2.14</v>
      </c>
      <c r="H44" s="84"/>
      <c r="K44" s="6"/>
    </row>
    <row r="45" spans="1:15" ht="13" x14ac:dyDescent="0.3">
      <c r="A45" s="126" t="s">
        <v>195</v>
      </c>
      <c r="B45" s="84"/>
      <c r="C45" s="84">
        <v>0.65500000000000003</v>
      </c>
      <c r="D45" s="431">
        <v>9.83</v>
      </c>
      <c r="E45" s="431">
        <v>5.0999999999999996</v>
      </c>
      <c r="F45" s="431">
        <v>7.79</v>
      </c>
      <c r="G45" s="431">
        <v>2.13</v>
      </c>
      <c r="H45" s="84"/>
      <c r="K45" s="6"/>
    </row>
    <row r="46" spans="1:15" ht="13" x14ac:dyDescent="0.3">
      <c r="A46" s="126" t="s">
        <v>196</v>
      </c>
      <c r="B46" s="84"/>
      <c r="C46" s="84">
        <v>0.65600000000000003</v>
      </c>
      <c r="D46" s="431">
        <v>9.83</v>
      </c>
      <c r="E46" s="431">
        <v>5</v>
      </c>
      <c r="F46" s="431">
        <v>7.76</v>
      </c>
      <c r="G46" s="431">
        <v>2.09</v>
      </c>
      <c r="H46" s="84"/>
      <c r="K46" s="6"/>
    </row>
    <row r="47" spans="1:15" ht="13" x14ac:dyDescent="0.3">
      <c r="A47" s="126" t="s">
        <v>197</v>
      </c>
      <c r="B47" s="84"/>
      <c r="C47" s="84">
        <v>0.65700000000000003</v>
      </c>
      <c r="D47" s="431">
        <v>9.7100000000000009</v>
      </c>
      <c r="E47" s="431">
        <v>5</v>
      </c>
      <c r="F47" s="431">
        <v>7.78</v>
      </c>
      <c r="G47" s="431">
        <v>2.06</v>
      </c>
      <c r="H47" s="84"/>
      <c r="K47" s="6"/>
    </row>
    <row r="48" spans="1:15" ht="13" x14ac:dyDescent="0.3">
      <c r="A48" s="126" t="s">
        <v>198</v>
      </c>
      <c r="B48" s="84"/>
      <c r="C48" s="84">
        <v>0.67300000000000004</v>
      </c>
      <c r="D48" s="431">
        <v>9.07</v>
      </c>
      <c r="E48" s="431">
        <v>4.8</v>
      </c>
      <c r="F48" s="431">
        <v>7.7</v>
      </c>
      <c r="G48" s="431">
        <v>2</v>
      </c>
      <c r="H48" s="84"/>
      <c r="K48" s="6"/>
    </row>
    <row r="49" spans="1:11" ht="13" x14ac:dyDescent="0.3">
      <c r="A49" s="126" t="s">
        <v>199</v>
      </c>
      <c r="B49" s="84"/>
      <c r="C49" s="84">
        <v>0.68600000000000005</v>
      </c>
      <c r="D49" s="431">
        <v>4.43</v>
      </c>
      <c r="E49" s="431">
        <v>4.7</v>
      </c>
      <c r="F49" s="431">
        <v>7.61</v>
      </c>
      <c r="G49" s="431">
        <v>1.79</v>
      </c>
      <c r="H49" s="84"/>
      <c r="K49" s="6"/>
    </row>
    <row r="50" spans="1:11" ht="14" x14ac:dyDescent="0.3">
      <c r="A50" s="209" t="s">
        <v>249</v>
      </c>
      <c r="B50" s="209" t="s">
        <v>184</v>
      </c>
      <c r="C50" s="209" t="s">
        <v>185</v>
      </c>
      <c r="D50" s="209" t="s">
        <v>186</v>
      </c>
      <c r="E50" s="209" t="s">
        <v>187</v>
      </c>
      <c r="F50" s="209" t="s">
        <v>188</v>
      </c>
      <c r="G50" s="209"/>
      <c r="H50" s="209" t="s">
        <v>201</v>
      </c>
      <c r="I50" s="210" t="s">
        <v>213</v>
      </c>
      <c r="K50" s="6"/>
    </row>
    <row r="51" spans="1:11" ht="13" x14ac:dyDescent="0.3">
      <c r="A51" s="126" t="s">
        <v>192</v>
      </c>
      <c r="B51" s="143">
        <v>0.52222222222222225</v>
      </c>
      <c r="C51" s="84">
        <v>0.65600000000000003</v>
      </c>
      <c r="D51" s="431">
        <v>9.83</v>
      </c>
      <c r="E51" s="431">
        <v>5.0999999999999996</v>
      </c>
      <c r="F51" s="431">
        <v>7.99</v>
      </c>
      <c r="G51" s="431">
        <v>2.1</v>
      </c>
      <c r="H51" s="134">
        <v>1.68</v>
      </c>
      <c r="I51" s="84">
        <v>4.8</v>
      </c>
      <c r="K51" s="6"/>
    </row>
    <row r="52" spans="1:11" ht="13" x14ac:dyDescent="0.3">
      <c r="A52" s="126" t="s">
        <v>193</v>
      </c>
      <c r="B52" s="84"/>
      <c r="C52" s="84">
        <v>0.65600000000000003</v>
      </c>
      <c r="D52" s="431">
        <v>9.6300000000000008</v>
      </c>
      <c r="E52" s="431">
        <v>5</v>
      </c>
      <c r="F52" s="431">
        <v>7.84</v>
      </c>
      <c r="G52" s="431">
        <v>2.08</v>
      </c>
      <c r="H52" s="84"/>
      <c r="K52" s="6">
        <f>AVERAGE(E51:E53)</f>
        <v>5.0333333333333332</v>
      </c>
    </row>
    <row r="53" spans="1:11" ht="13" x14ac:dyDescent="0.3">
      <c r="A53" s="126" t="s">
        <v>194</v>
      </c>
      <c r="B53" s="84"/>
      <c r="C53" s="84">
        <v>0.65700000000000003</v>
      </c>
      <c r="D53" s="431">
        <v>9.52</v>
      </c>
      <c r="E53" s="431">
        <v>5</v>
      </c>
      <c r="F53" s="431">
        <v>7.8</v>
      </c>
      <c r="G53" s="431">
        <v>2.04</v>
      </c>
      <c r="H53" s="84"/>
      <c r="K53" s="6"/>
    </row>
    <row r="54" spans="1:11" ht="13" x14ac:dyDescent="0.3">
      <c r="A54" s="126" t="s">
        <v>195</v>
      </c>
      <c r="B54" s="84"/>
      <c r="C54" s="84">
        <v>0.66700000000000004</v>
      </c>
      <c r="D54" s="431">
        <v>9.08</v>
      </c>
      <c r="E54" s="431">
        <v>4.9000000000000004</v>
      </c>
      <c r="F54" s="431">
        <v>7.73</v>
      </c>
      <c r="G54" s="431">
        <v>1.97</v>
      </c>
      <c r="H54" s="84"/>
      <c r="K54" s="6"/>
    </row>
    <row r="55" spans="1:11" ht="13" x14ac:dyDescent="0.3">
      <c r="A55" s="126" t="s">
        <v>196</v>
      </c>
      <c r="B55" s="84"/>
      <c r="C55" s="84">
        <v>0.67100000000000004</v>
      </c>
      <c r="D55" s="431">
        <v>9</v>
      </c>
      <c r="E55" s="431">
        <v>4.8</v>
      </c>
      <c r="F55" s="431">
        <v>7.68</v>
      </c>
      <c r="G55" s="431">
        <v>1.93</v>
      </c>
      <c r="H55" s="84"/>
      <c r="K55" s="6"/>
    </row>
    <row r="56" spans="1:11" ht="14" x14ac:dyDescent="0.3">
      <c r="A56" s="209" t="s">
        <v>250</v>
      </c>
      <c r="B56" s="209" t="s">
        <v>184</v>
      </c>
      <c r="C56" s="209" t="s">
        <v>185</v>
      </c>
      <c r="D56" s="209" t="s">
        <v>186</v>
      </c>
      <c r="E56" s="209" t="s">
        <v>187</v>
      </c>
      <c r="F56" s="209" t="s">
        <v>188</v>
      </c>
      <c r="G56" s="209"/>
      <c r="H56" s="209" t="s">
        <v>201</v>
      </c>
      <c r="I56" s="210" t="s">
        <v>213</v>
      </c>
      <c r="K56" s="6"/>
    </row>
    <row r="57" spans="1:11" ht="13" x14ac:dyDescent="0.3">
      <c r="A57" s="126" t="s">
        <v>192</v>
      </c>
      <c r="B57" s="143">
        <v>0.53055555555555556</v>
      </c>
      <c r="C57" s="84">
        <v>0.66900000000000004</v>
      </c>
      <c r="D57" s="431">
        <v>9.61</v>
      </c>
      <c r="E57" s="431">
        <v>6</v>
      </c>
      <c r="F57" s="431">
        <v>7.79</v>
      </c>
      <c r="G57" s="431">
        <v>2.7</v>
      </c>
      <c r="H57" s="134">
        <v>1.81</v>
      </c>
      <c r="I57" s="84">
        <v>2.8</v>
      </c>
      <c r="K57" s="6">
        <f>AVERAGE(E57:E59)</f>
        <v>5.7333333333333334</v>
      </c>
    </row>
    <row r="58" spans="1:11" ht="13" x14ac:dyDescent="0.3">
      <c r="A58" s="126" t="s">
        <v>193</v>
      </c>
      <c r="B58" s="84"/>
      <c r="C58" s="84">
        <v>0.67600000000000005</v>
      </c>
      <c r="D58" s="431">
        <v>9.99</v>
      </c>
      <c r="E58" s="431">
        <v>5.9</v>
      </c>
      <c r="F58" s="431">
        <v>7.81</v>
      </c>
      <c r="G58" s="431">
        <v>2.19</v>
      </c>
      <c r="H58" s="84"/>
      <c r="K58" s="6"/>
    </row>
    <row r="59" spans="1:11" ht="13" x14ac:dyDescent="0.3">
      <c r="A59" s="126" t="s">
        <v>194</v>
      </c>
      <c r="B59" s="84"/>
      <c r="C59" s="84">
        <v>0.752</v>
      </c>
      <c r="D59" s="431">
        <v>10.69</v>
      </c>
      <c r="E59" s="431">
        <v>5.3</v>
      </c>
      <c r="F59" s="431">
        <v>7.94</v>
      </c>
      <c r="G59" s="431">
        <v>2.2999999999999998</v>
      </c>
      <c r="H59" s="84"/>
      <c r="K59" s="6"/>
    </row>
    <row r="60" spans="1:11" ht="14" x14ac:dyDescent="0.3">
      <c r="A60" s="209" t="s">
        <v>251</v>
      </c>
      <c r="B60" s="209" t="s">
        <v>184</v>
      </c>
      <c r="C60" s="209" t="s">
        <v>185</v>
      </c>
      <c r="D60" s="209" t="s">
        <v>186</v>
      </c>
      <c r="E60" s="209" t="s">
        <v>187</v>
      </c>
      <c r="F60" s="209" t="s">
        <v>188</v>
      </c>
      <c r="G60" s="209"/>
      <c r="H60" s="209" t="s">
        <v>201</v>
      </c>
      <c r="I60" s="210" t="s">
        <v>213</v>
      </c>
      <c r="K60" s="6"/>
    </row>
    <row r="61" spans="1:11" ht="13" x14ac:dyDescent="0.3">
      <c r="A61" s="126" t="s">
        <v>192</v>
      </c>
      <c r="B61" s="255">
        <v>0.53819444444444442</v>
      </c>
      <c r="C61" s="84">
        <v>0.65700000000000003</v>
      </c>
      <c r="D61" s="84">
        <v>9.58</v>
      </c>
      <c r="E61" s="84">
        <v>5.4</v>
      </c>
      <c r="F61" s="84">
        <v>7.9</v>
      </c>
      <c r="G61" s="84">
        <v>2.06</v>
      </c>
      <c r="H61" s="134">
        <v>1.61</v>
      </c>
      <c r="I61" s="84">
        <v>5.82</v>
      </c>
      <c r="K61" s="6"/>
    </row>
    <row r="62" spans="1:11" ht="13" x14ac:dyDescent="0.3">
      <c r="A62" s="126" t="s">
        <v>193</v>
      </c>
      <c r="B62" s="84"/>
      <c r="C62" s="84">
        <v>0.65800000000000003</v>
      </c>
      <c r="D62" s="84">
        <v>9.6</v>
      </c>
      <c r="E62" s="84">
        <v>5.3</v>
      </c>
      <c r="F62" s="84">
        <v>7.84</v>
      </c>
      <c r="G62" s="84">
        <v>2.04</v>
      </c>
      <c r="H62" s="84"/>
      <c r="K62" s="6">
        <f>AVERAGE(E61:E63)</f>
        <v>5.2666666666666666</v>
      </c>
    </row>
    <row r="63" spans="1:11" ht="13" x14ac:dyDescent="0.3">
      <c r="A63" s="126" t="s">
        <v>194</v>
      </c>
      <c r="B63" s="84"/>
      <c r="C63" s="84">
        <v>0.65900000000000003</v>
      </c>
      <c r="D63" s="84">
        <v>9.5299999999999994</v>
      </c>
      <c r="E63" s="84">
        <v>5.0999999999999996</v>
      </c>
      <c r="F63" s="84">
        <v>7.86</v>
      </c>
      <c r="G63" s="84">
        <v>2.0299999999999998</v>
      </c>
      <c r="H63" s="84"/>
    </row>
    <row r="64" spans="1:11" ht="13" x14ac:dyDescent="0.3">
      <c r="A64" s="126" t="s">
        <v>195</v>
      </c>
      <c r="B64" s="84"/>
      <c r="C64" s="84">
        <v>0.65800000000000003</v>
      </c>
      <c r="D64" s="84">
        <v>9.3800000000000008</v>
      </c>
      <c r="E64" s="84">
        <v>5</v>
      </c>
      <c r="F64" s="84">
        <v>7.82</v>
      </c>
      <c r="G64" s="84">
        <v>2</v>
      </c>
      <c r="H64" s="84"/>
    </row>
    <row r="65" spans="1:8" ht="13" x14ac:dyDescent="0.3">
      <c r="A65" s="126" t="s">
        <v>196</v>
      </c>
      <c r="B65" s="84"/>
      <c r="C65" s="84">
        <v>0.65900000000000003</v>
      </c>
      <c r="D65" s="84">
        <v>9.3000000000000007</v>
      </c>
      <c r="E65" s="84">
        <v>4.9000000000000004</v>
      </c>
      <c r="F65" s="84">
        <v>8.81</v>
      </c>
      <c r="G65" s="84">
        <v>1.97</v>
      </c>
      <c r="H65" s="84"/>
    </row>
    <row r="66" spans="1:8" ht="13" x14ac:dyDescent="0.3">
      <c r="A66" s="126" t="s">
        <v>197</v>
      </c>
      <c r="B66" s="84"/>
      <c r="C66" s="84">
        <v>0.67</v>
      </c>
      <c r="D66" s="84">
        <v>8.85</v>
      </c>
      <c r="E66" s="84">
        <v>5</v>
      </c>
      <c r="F66" s="84">
        <v>7.77</v>
      </c>
      <c r="G66" s="84">
        <v>1.92</v>
      </c>
      <c r="H66" s="84"/>
    </row>
  </sheetData>
  <mergeCells count="7">
    <mergeCell ref="H32:I32"/>
    <mergeCell ref="B28:C28"/>
    <mergeCell ref="A25:B25"/>
    <mergeCell ref="D25:E25"/>
    <mergeCell ref="H25:I25"/>
    <mergeCell ref="E28:F28"/>
    <mergeCell ref="H30:I30"/>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72"/>
  <sheetViews>
    <sheetView workbookViewId="0">
      <selection activeCell="F4" sqref="F4:F18"/>
    </sheetView>
  </sheetViews>
  <sheetFormatPr defaultRowHeight="12.5" x14ac:dyDescent="0.25"/>
  <cols>
    <col min="1" max="1" width="14.453125" customWidth="1"/>
    <col min="2" max="2" width="11" customWidth="1"/>
    <col min="4" max="4" width="11.90625" customWidth="1"/>
    <col min="8" max="8" width="11.36328125" customWidth="1"/>
    <col min="9" max="9" width="14.90625" customWidth="1"/>
    <col min="10" max="10" width="16.36328125" customWidth="1"/>
    <col min="11" max="11" width="15.6328125" customWidth="1"/>
  </cols>
  <sheetData>
    <row r="1" spans="1:13" ht="14" x14ac:dyDescent="0.3">
      <c r="A1" s="135" t="s">
        <v>371</v>
      </c>
    </row>
    <row r="2" spans="1:13" ht="13" x14ac:dyDescent="0.3">
      <c r="A2" s="1" t="s">
        <v>180</v>
      </c>
      <c r="B2" s="155">
        <v>40294</v>
      </c>
    </row>
    <row r="3" spans="1:13" ht="14" x14ac:dyDescent="0.3">
      <c r="A3" s="209" t="s">
        <v>23</v>
      </c>
      <c r="B3" s="209" t="s">
        <v>184</v>
      </c>
      <c r="C3" s="209" t="s">
        <v>185</v>
      </c>
      <c r="D3" s="209" t="s">
        <v>186</v>
      </c>
      <c r="E3" s="209" t="s">
        <v>187</v>
      </c>
      <c r="F3" s="209" t="s">
        <v>188</v>
      </c>
      <c r="G3" s="209" t="s">
        <v>347</v>
      </c>
      <c r="J3" s="189" t="s">
        <v>281</v>
      </c>
      <c r="K3" s="189" t="s">
        <v>283</v>
      </c>
    </row>
    <row r="4" spans="1:13" ht="13" x14ac:dyDescent="0.3">
      <c r="A4" s="94" t="s">
        <v>189</v>
      </c>
      <c r="B4" s="143">
        <v>0.40138888888888885</v>
      </c>
      <c r="C4" s="84">
        <v>0.34799999999999998</v>
      </c>
      <c r="D4" s="84">
        <v>11.44</v>
      </c>
      <c r="E4" s="84">
        <v>3</v>
      </c>
      <c r="F4" s="84">
        <v>7.83</v>
      </c>
      <c r="G4" s="84">
        <v>1.1100000000000001</v>
      </c>
      <c r="H4" s="92"/>
      <c r="J4" s="189" t="s">
        <v>288</v>
      </c>
      <c r="K4" s="518">
        <v>6</v>
      </c>
    </row>
    <row r="5" spans="1:13" ht="13" x14ac:dyDescent="0.3">
      <c r="A5" s="94" t="s">
        <v>190</v>
      </c>
      <c r="B5" s="143">
        <v>0.42083333333333334</v>
      </c>
      <c r="C5" s="84">
        <v>0.28799999999999998</v>
      </c>
      <c r="D5" s="84">
        <v>10.65</v>
      </c>
      <c r="E5" s="84">
        <v>4.7</v>
      </c>
      <c r="F5" s="84">
        <v>8.07</v>
      </c>
      <c r="G5" s="84">
        <v>1.03</v>
      </c>
      <c r="H5" s="92"/>
      <c r="J5" s="189" t="s">
        <v>282</v>
      </c>
      <c r="K5" s="85">
        <v>33</v>
      </c>
      <c r="L5" s="21" t="s">
        <v>366</v>
      </c>
      <c r="M5">
        <v>11</v>
      </c>
    </row>
    <row r="6" spans="1:13" ht="13" x14ac:dyDescent="0.3">
      <c r="A6" s="94" t="s">
        <v>191</v>
      </c>
      <c r="B6" s="143">
        <v>0.43611111111111112</v>
      </c>
      <c r="C6" s="84">
        <v>0.35899999999999999</v>
      </c>
      <c r="D6" s="84">
        <v>10.36</v>
      </c>
      <c r="E6" s="84">
        <v>7.8</v>
      </c>
      <c r="F6" s="84">
        <v>8.09</v>
      </c>
      <c r="G6" s="84">
        <v>0.95</v>
      </c>
      <c r="H6" s="92"/>
      <c r="J6" s="189" t="s">
        <v>284</v>
      </c>
      <c r="K6" s="85">
        <v>17</v>
      </c>
    </row>
    <row r="7" spans="1:13" ht="14" x14ac:dyDescent="0.3">
      <c r="A7" s="94" t="s">
        <v>229</v>
      </c>
      <c r="B7" s="143"/>
      <c r="C7" s="84"/>
      <c r="D7" s="84"/>
      <c r="E7" s="84"/>
      <c r="F7" s="84"/>
      <c r="G7" s="84"/>
      <c r="H7" s="209" t="s">
        <v>201</v>
      </c>
      <c r="I7" s="210" t="s">
        <v>213</v>
      </c>
      <c r="J7" s="189" t="s">
        <v>285</v>
      </c>
      <c r="K7" s="85">
        <v>1</v>
      </c>
      <c r="L7" s="21" t="s">
        <v>367</v>
      </c>
    </row>
    <row r="8" spans="1:13" ht="13" x14ac:dyDescent="0.3">
      <c r="A8" s="126" t="s">
        <v>192</v>
      </c>
      <c r="B8" s="143">
        <v>0.5</v>
      </c>
      <c r="C8" s="84">
        <v>0.35699999999999998</v>
      </c>
      <c r="D8" s="84">
        <v>8.75</v>
      </c>
      <c r="E8" s="84">
        <v>7.5</v>
      </c>
      <c r="F8" s="84">
        <v>8.3699999999999992</v>
      </c>
      <c r="G8" s="84">
        <v>0.9</v>
      </c>
      <c r="H8" s="134">
        <v>0.15</v>
      </c>
      <c r="I8" s="188">
        <v>10.85</v>
      </c>
      <c r="J8" s="189" t="s">
        <v>286</v>
      </c>
      <c r="K8" s="291">
        <v>27</v>
      </c>
    </row>
    <row r="9" spans="1:13" ht="13" x14ac:dyDescent="0.3">
      <c r="A9" s="126" t="s">
        <v>193</v>
      </c>
      <c r="B9" s="84"/>
      <c r="C9" s="84">
        <v>0.35699999999999998</v>
      </c>
      <c r="D9" s="84">
        <v>8.68</v>
      </c>
      <c r="E9" s="84">
        <v>7.5</v>
      </c>
      <c r="F9" s="84">
        <v>8.08</v>
      </c>
      <c r="G9" s="84">
        <v>0.79</v>
      </c>
      <c r="H9" s="84"/>
    </row>
    <row r="10" spans="1:13" ht="13" x14ac:dyDescent="0.3">
      <c r="A10" s="126" t="s">
        <v>194</v>
      </c>
      <c r="B10" s="84"/>
      <c r="C10" s="84">
        <v>0.35899999999999999</v>
      </c>
      <c r="D10" s="84">
        <v>8.66</v>
      </c>
      <c r="E10" s="84">
        <v>7.3</v>
      </c>
      <c r="F10" s="84">
        <v>7.93</v>
      </c>
      <c r="G10" s="84">
        <v>0.74</v>
      </c>
      <c r="H10" s="84"/>
    </row>
    <row r="11" spans="1:13" ht="13" x14ac:dyDescent="0.3">
      <c r="A11" s="126" t="s">
        <v>195</v>
      </c>
      <c r="B11" s="84"/>
      <c r="C11" s="84">
        <v>0.35899999999999999</v>
      </c>
      <c r="D11" s="84">
        <v>8.61</v>
      </c>
      <c r="E11" s="84">
        <v>7.2</v>
      </c>
      <c r="F11" s="84">
        <v>7.91</v>
      </c>
      <c r="G11" s="84">
        <v>0.71</v>
      </c>
      <c r="H11" s="84"/>
      <c r="J11" s="6">
        <f>AVERAGE(E8:E10)</f>
        <v>7.4333333333333336</v>
      </c>
    </row>
    <row r="12" spans="1:13" ht="13" x14ac:dyDescent="0.3">
      <c r="A12" s="126" t="s">
        <v>196</v>
      </c>
      <c r="B12" s="84"/>
      <c r="C12" s="84">
        <v>0.36299999999999999</v>
      </c>
      <c r="D12" s="84">
        <v>8.7799999999999994</v>
      </c>
      <c r="E12" s="84">
        <v>7.1</v>
      </c>
      <c r="F12" s="84">
        <v>7.87</v>
      </c>
      <c r="G12" s="84">
        <v>0.68</v>
      </c>
      <c r="H12" s="84"/>
    </row>
    <row r="13" spans="1:13" ht="13" x14ac:dyDescent="0.3">
      <c r="A13" s="126" t="s">
        <v>197</v>
      </c>
      <c r="B13" s="84"/>
      <c r="C13" s="84">
        <v>0.36599999999999999</v>
      </c>
      <c r="D13" s="84">
        <v>8.66</v>
      </c>
      <c r="E13" s="84">
        <v>7.1</v>
      </c>
      <c r="F13" s="84">
        <v>7.84</v>
      </c>
      <c r="G13" s="84">
        <v>0.67</v>
      </c>
      <c r="H13" s="84"/>
    </row>
    <row r="14" spans="1:13" ht="13" x14ac:dyDescent="0.3">
      <c r="A14" s="126" t="s">
        <v>198</v>
      </c>
      <c r="B14" s="84"/>
      <c r="C14" s="84">
        <v>0.36599999999999999</v>
      </c>
      <c r="D14" s="84">
        <v>8.67</v>
      </c>
      <c r="E14" s="84">
        <v>7</v>
      </c>
      <c r="F14" s="84">
        <v>7.81</v>
      </c>
      <c r="G14" s="84">
        <v>0.66</v>
      </c>
      <c r="H14" s="84"/>
      <c r="I14" s="6">
        <f>AVERAGE(D8:D18)</f>
        <v>8.6872727272727275</v>
      </c>
    </row>
    <row r="15" spans="1:13" ht="13" x14ac:dyDescent="0.3">
      <c r="A15" s="126" t="s">
        <v>199</v>
      </c>
      <c r="B15" s="84"/>
      <c r="C15" s="84">
        <v>0.376</v>
      </c>
      <c r="D15" s="84">
        <v>8.7799999999999994</v>
      </c>
      <c r="E15" s="84">
        <v>6.9</v>
      </c>
      <c r="F15" s="84">
        <v>7.78</v>
      </c>
      <c r="G15" s="84">
        <v>0.65</v>
      </c>
      <c r="H15" s="84"/>
      <c r="I15" s="6">
        <f>AVERAGE(D8:D10)</f>
        <v>8.6966666666666672</v>
      </c>
    </row>
    <row r="16" spans="1:13" ht="13" x14ac:dyDescent="0.3">
      <c r="A16" s="126" t="s">
        <v>200</v>
      </c>
      <c r="B16" s="143"/>
      <c r="C16" s="84">
        <v>0.372</v>
      </c>
      <c r="D16" s="84">
        <v>8.56</v>
      </c>
      <c r="E16" s="84">
        <v>6.8</v>
      </c>
      <c r="F16" s="84">
        <v>7.8</v>
      </c>
      <c r="G16" s="84">
        <v>0.65</v>
      </c>
      <c r="H16" s="84"/>
      <c r="I16" s="6">
        <f>AVERAGE(D8:D12)</f>
        <v>8.6960000000000015</v>
      </c>
    </row>
    <row r="17" spans="1:15" ht="13" x14ac:dyDescent="0.3">
      <c r="A17" s="126" t="s">
        <v>227</v>
      </c>
      <c r="B17" s="143"/>
      <c r="C17" s="84">
        <v>0.35799999999999998</v>
      </c>
      <c r="D17" s="84">
        <v>8.75</v>
      </c>
      <c r="E17" s="84">
        <v>6.3</v>
      </c>
      <c r="F17" s="84">
        <v>7.79</v>
      </c>
      <c r="G17" s="84">
        <v>0.64</v>
      </c>
      <c r="H17" s="84"/>
    </row>
    <row r="18" spans="1:15" ht="13" x14ac:dyDescent="0.3">
      <c r="A18" s="126" t="s">
        <v>228</v>
      </c>
      <c r="B18" s="84"/>
      <c r="C18" s="84">
        <v>0.35799999999999998</v>
      </c>
      <c r="D18" s="84">
        <v>8.66</v>
      </c>
      <c r="E18" s="84">
        <v>6.3</v>
      </c>
      <c r="F18" s="84">
        <v>7.79</v>
      </c>
      <c r="G18" s="84">
        <v>0.63</v>
      </c>
      <c r="H18" s="84"/>
    </row>
    <row r="19" spans="1:15" ht="13" x14ac:dyDescent="0.3">
      <c r="A19" s="208"/>
      <c r="B19" s="92"/>
      <c r="C19" s="92"/>
      <c r="D19" s="92"/>
      <c r="E19" s="92"/>
      <c r="F19" s="92"/>
      <c r="G19" s="92"/>
      <c r="H19" s="92"/>
    </row>
    <row r="20" spans="1:15" ht="13" x14ac:dyDescent="0.3">
      <c r="A20" s="208" t="s">
        <v>230</v>
      </c>
      <c r="B20" s="143">
        <v>0.45069444444444445</v>
      </c>
      <c r="C20" s="206">
        <v>0.58899999999999997</v>
      </c>
      <c r="D20" s="206">
        <v>8.9499999999999993</v>
      </c>
      <c r="E20" s="206">
        <v>6.62</v>
      </c>
      <c r="F20" s="206">
        <v>8.17</v>
      </c>
      <c r="G20" s="206">
        <v>0.87</v>
      </c>
      <c r="H20" s="189" t="s">
        <v>368</v>
      </c>
    </row>
    <row r="21" spans="1:15" ht="13" x14ac:dyDescent="0.3">
      <c r="A21" s="198" t="s">
        <v>231</v>
      </c>
      <c r="B21" s="143">
        <v>0.45833333333333331</v>
      </c>
      <c r="C21" s="206">
        <v>0.59299999999999997</v>
      </c>
      <c r="D21" s="206">
        <v>9.7799999999999994</v>
      </c>
      <c r="E21" s="206">
        <v>6.8</v>
      </c>
      <c r="F21" s="206">
        <v>8.31</v>
      </c>
      <c r="G21" s="206">
        <v>1.01</v>
      </c>
      <c r="H21" s="189" t="s">
        <v>768</v>
      </c>
    </row>
    <row r="22" spans="1:15" x14ac:dyDescent="0.25">
      <c r="A22" s="131" t="s">
        <v>11</v>
      </c>
      <c r="B22" s="228" t="s">
        <v>361</v>
      </c>
      <c r="C22" s="132"/>
      <c r="D22" s="132"/>
      <c r="E22" s="132"/>
      <c r="F22" s="132"/>
      <c r="G22" s="132"/>
      <c r="H22" s="132"/>
    </row>
    <row r="23" spans="1:15" x14ac:dyDescent="0.25">
      <c r="A23" s="144"/>
      <c r="B23" s="229" t="s">
        <v>362</v>
      </c>
      <c r="C23" s="133"/>
      <c r="D23" s="133"/>
      <c r="E23" s="133"/>
      <c r="F23" s="133"/>
      <c r="G23" s="483"/>
      <c r="H23" s="133"/>
    </row>
    <row r="24" spans="1:15" x14ac:dyDescent="0.25">
      <c r="A24" s="144"/>
      <c r="B24" s="133"/>
      <c r="C24" s="133"/>
      <c r="D24" s="133"/>
      <c r="E24" s="133"/>
      <c r="F24" s="133"/>
      <c r="G24" s="483"/>
      <c r="H24" s="133"/>
    </row>
    <row r="25" spans="1:15" ht="15.5" x14ac:dyDescent="0.35">
      <c r="A25" s="164" t="s">
        <v>180</v>
      </c>
      <c r="B25" s="254">
        <v>40294</v>
      </c>
      <c r="C25" s="167"/>
      <c r="D25" s="164"/>
      <c r="E25" s="167"/>
      <c r="F25" s="167"/>
      <c r="G25" s="167"/>
      <c r="H25" s="168"/>
      <c r="I25" s="136"/>
    </row>
    <row r="26" spans="1:15" ht="15.5" x14ac:dyDescent="0.35">
      <c r="A26" s="853" t="s">
        <v>130</v>
      </c>
      <c r="B26" s="853"/>
      <c r="C26" s="199"/>
      <c r="D26" s="853" t="s">
        <v>133</v>
      </c>
      <c r="E26" s="853"/>
      <c r="F26" s="137"/>
      <c r="G26" s="137"/>
      <c r="H26" s="849" t="s">
        <v>34</v>
      </c>
      <c r="I26" s="849"/>
    </row>
    <row r="27" spans="1:15" ht="15.5" x14ac:dyDescent="0.35">
      <c r="A27" s="162" t="s">
        <v>184</v>
      </c>
      <c r="B27" s="200">
        <v>0.40138888888888885</v>
      </c>
      <c r="C27" s="201"/>
      <c r="D27" s="162" t="s">
        <v>184</v>
      </c>
      <c r="E27" s="202">
        <v>0.42083333333333334</v>
      </c>
      <c r="F27" s="485">
        <v>4.88</v>
      </c>
      <c r="G27" s="396"/>
      <c r="H27" s="162" t="s">
        <v>184</v>
      </c>
      <c r="I27" s="202">
        <v>0.43402777777777773</v>
      </c>
    </row>
    <row r="28" spans="1:15" ht="16" thickBot="1" x14ac:dyDescent="0.4">
      <c r="A28" s="162" t="s">
        <v>202</v>
      </c>
      <c r="B28" s="203">
        <v>18</v>
      </c>
      <c r="C28" s="203"/>
      <c r="D28" s="162" t="s">
        <v>202</v>
      </c>
      <c r="E28" s="205">
        <v>26</v>
      </c>
      <c r="F28" s="205"/>
      <c r="G28" s="399"/>
      <c r="H28" s="162" t="s">
        <v>202</v>
      </c>
      <c r="I28" s="205">
        <v>50</v>
      </c>
    </row>
    <row r="29" spans="1:15" ht="16" thickBot="1" x14ac:dyDescent="0.3">
      <c r="A29" s="165" t="s">
        <v>203</v>
      </c>
      <c r="B29" s="262" t="s">
        <v>365</v>
      </c>
      <c r="C29" s="204"/>
      <c r="D29" s="163" t="s">
        <v>203</v>
      </c>
      <c r="E29" s="854" t="s">
        <v>365</v>
      </c>
      <c r="F29" s="854"/>
      <c r="G29" s="486"/>
      <c r="H29" s="163" t="s">
        <v>203</v>
      </c>
      <c r="I29" s="166" t="s">
        <v>365</v>
      </c>
    </row>
    <row r="30" spans="1:15" ht="23.5" x14ac:dyDescent="0.3">
      <c r="A30" s="159" t="s">
        <v>204</v>
      </c>
      <c r="B30" s="159" t="s">
        <v>205</v>
      </c>
      <c r="C30" s="161" t="s">
        <v>206</v>
      </c>
      <c r="D30" s="159" t="s">
        <v>204</v>
      </c>
      <c r="E30" s="159" t="s">
        <v>205</v>
      </c>
      <c r="F30" s="161" t="s">
        <v>206</v>
      </c>
      <c r="G30" s="522"/>
      <c r="H30" s="159" t="s">
        <v>205</v>
      </c>
      <c r="I30" s="161" t="s">
        <v>206</v>
      </c>
      <c r="K30" s="141" t="s">
        <v>204</v>
      </c>
      <c r="L30" s="141" t="s">
        <v>205</v>
      </c>
      <c r="M30" s="142" t="s">
        <v>206</v>
      </c>
      <c r="N30" s="141" t="s">
        <v>207</v>
      </c>
      <c r="O30" s="142" t="s">
        <v>208</v>
      </c>
    </row>
    <row r="31" spans="1:15" ht="15.5" x14ac:dyDescent="0.35">
      <c r="A31" s="160">
        <v>0</v>
      </c>
      <c r="B31" s="138"/>
      <c r="C31" s="138"/>
      <c r="D31" s="160">
        <v>2</v>
      </c>
      <c r="E31" s="138"/>
      <c r="F31" s="138"/>
      <c r="G31" s="138"/>
      <c r="H31" s="138">
        <v>0.7</v>
      </c>
      <c r="I31" s="139">
        <v>4.13</v>
      </c>
      <c r="J31" s="230">
        <v>150.30000000000001</v>
      </c>
      <c r="K31" s="138">
        <v>2</v>
      </c>
      <c r="L31" s="138">
        <v>1.05</v>
      </c>
      <c r="M31" s="139">
        <v>1.32</v>
      </c>
      <c r="N31" s="138">
        <f>L31*3.75</f>
        <v>3.9375</v>
      </c>
      <c r="O31" s="139">
        <f t="shared" ref="O31:O36" si="0">M31*N31</f>
        <v>5.1975000000000007</v>
      </c>
    </row>
    <row r="32" spans="1:15" ht="15.5" x14ac:dyDescent="0.35">
      <c r="A32" s="160">
        <v>2</v>
      </c>
      <c r="B32" s="138">
        <v>1.6</v>
      </c>
      <c r="C32" s="138">
        <v>7.77</v>
      </c>
      <c r="D32" s="160">
        <v>4</v>
      </c>
      <c r="E32" s="138">
        <v>2</v>
      </c>
      <c r="F32" s="138">
        <v>4.51</v>
      </c>
      <c r="G32" s="138"/>
      <c r="H32" s="138"/>
      <c r="I32" s="139"/>
      <c r="K32" s="138">
        <v>4</v>
      </c>
      <c r="L32" s="138">
        <v>2</v>
      </c>
      <c r="M32" s="138">
        <v>5.26</v>
      </c>
      <c r="N32" s="138">
        <f>L32*6</f>
        <v>12</v>
      </c>
      <c r="O32" s="139">
        <f t="shared" si="0"/>
        <v>63.12</v>
      </c>
    </row>
    <row r="33" spans="1:15" ht="15.5" x14ac:dyDescent="0.35">
      <c r="A33" s="160">
        <v>4</v>
      </c>
      <c r="B33" s="138"/>
      <c r="C33" s="138"/>
      <c r="D33" s="160">
        <v>6</v>
      </c>
      <c r="E33" s="138"/>
      <c r="F33" s="138"/>
      <c r="G33" s="477"/>
      <c r="H33" s="850" t="s">
        <v>214</v>
      </c>
      <c r="I33" s="851"/>
      <c r="K33" s="138">
        <v>6</v>
      </c>
      <c r="L33" s="138">
        <v>1.4</v>
      </c>
      <c r="M33" s="138">
        <v>5.54</v>
      </c>
      <c r="N33" s="138">
        <f>L33*5</f>
        <v>7</v>
      </c>
      <c r="O33" s="139">
        <f t="shared" si="0"/>
        <v>38.78</v>
      </c>
    </row>
    <row r="34" spans="1:15" ht="15.5" x14ac:dyDescent="0.35">
      <c r="A34" s="160">
        <v>6</v>
      </c>
      <c r="B34" s="138"/>
      <c r="C34" s="138"/>
      <c r="D34" s="160">
        <v>8</v>
      </c>
      <c r="E34" s="138">
        <v>2.7</v>
      </c>
      <c r="F34" s="138">
        <v>4.16</v>
      </c>
      <c r="G34" s="138"/>
      <c r="H34" s="138" t="s">
        <v>363</v>
      </c>
      <c r="I34" s="139">
        <v>1.32</v>
      </c>
      <c r="J34">
        <v>5.2</v>
      </c>
      <c r="K34" s="138">
        <v>8</v>
      </c>
      <c r="L34" s="138"/>
      <c r="M34" s="138"/>
      <c r="N34" s="138">
        <f>L34*3</f>
        <v>0</v>
      </c>
      <c r="O34" s="139">
        <f t="shared" si="0"/>
        <v>0</v>
      </c>
    </row>
    <row r="35" spans="1:15" ht="15.5" x14ac:dyDescent="0.35">
      <c r="A35" s="160">
        <v>8</v>
      </c>
      <c r="B35" s="138">
        <v>2</v>
      </c>
      <c r="C35" s="138">
        <v>5.26</v>
      </c>
      <c r="D35" s="160">
        <v>10</v>
      </c>
      <c r="E35" s="138"/>
      <c r="F35" s="138"/>
      <c r="G35" s="138"/>
      <c r="H35" s="138"/>
      <c r="I35" s="139"/>
      <c r="K35" s="138">
        <v>10</v>
      </c>
      <c r="L35" s="138"/>
      <c r="M35" s="138"/>
      <c r="N35" s="138">
        <f>L35*2</f>
        <v>0</v>
      </c>
      <c r="O35" s="139">
        <f t="shared" si="0"/>
        <v>0</v>
      </c>
    </row>
    <row r="36" spans="1:15" ht="15.5" x14ac:dyDescent="0.35">
      <c r="A36" s="160">
        <v>10</v>
      </c>
      <c r="B36" s="138"/>
      <c r="C36" s="138"/>
      <c r="D36" s="160">
        <v>12</v>
      </c>
      <c r="E36" s="138"/>
      <c r="F36" s="138"/>
      <c r="G36" s="138"/>
      <c r="H36" s="138" t="s">
        <v>215</v>
      </c>
      <c r="I36" s="139"/>
      <c r="K36" s="138">
        <v>12</v>
      </c>
      <c r="L36" s="138"/>
      <c r="M36" s="138"/>
      <c r="N36" s="138">
        <f>L36*3</f>
        <v>0</v>
      </c>
      <c r="O36" s="139">
        <f t="shared" si="0"/>
        <v>0</v>
      </c>
    </row>
    <row r="37" spans="1:15" ht="15.5" x14ac:dyDescent="0.35">
      <c r="A37" s="160">
        <v>12</v>
      </c>
      <c r="B37" s="138"/>
      <c r="C37" s="138"/>
      <c r="D37" s="160">
        <v>14</v>
      </c>
      <c r="E37" s="140"/>
      <c r="F37" s="138"/>
      <c r="G37" s="138"/>
      <c r="H37" s="138" t="s">
        <v>364</v>
      </c>
      <c r="I37" s="139">
        <v>2.12</v>
      </c>
      <c r="J37">
        <v>6.8</v>
      </c>
      <c r="K37" s="138">
        <v>14</v>
      </c>
      <c r="L37" s="140"/>
      <c r="M37" s="138"/>
      <c r="N37" s="138"/>
      <c r="O37" s="139"/>
    </row>
    <row r="38" spans="1:15" ht="15.5" x14ac:dyDescent="0.35">
      <c r="A38" s="160">
        <v>14</v>
      </c>
      <c r="B38" s="138"/>
      <c r="C38" s="138"/>
      <c r="D38" s="160">
        <v>16</v>
      </c>
      <c r="E38" s="467"/>
      <c r="F38" s="524">
        <v>263</v>
      </c>
      <c r="G38" s="416"/>
      <c r="H38" s="416"/>
      <c r="I38" s="418"/>
      <c r="K38" s="138">
        <v>16</v>
      </c>
      <c r="L38" s="140"/>
      <c r="M38" s="138"/>
      <c r="N38" s="138"/>
      <c r="O38" s="139"/>
    </row>
    <row r="39" spans="1:15" ht="15.5" x14ac:dyDescent="0.35">
      <c r="A39" s="160">
        <v>16</v>
      </c>
      <c r="B39" s="138">
        <v>1.4</v>
      </c>
      <c r="C39" s="138">
        <v>5.54</v>
      </c>
      <c r="D39" s="160">
        <v>18</v>
      </c>
      <c r="E39" s="467"/>
      <c r="F39" s="416"/>
      <c r="G39" s="416"/>
      <c r="H39" s="416"/>
      <c r="I39" s="418"/>
      <c r="K39" s="138">
        <v>18</v>
      </c>
      <c r="L39" s="140"/>
      <c r="M39" s="138"/>
      <c r="N39" s="138"/>
      <c r="O39" s="139"/>
    </row>
    <row r="40" spans="1:15" ht="15.5" x14ac:dyDescent="0.35">
      <c r="C40" s="525">
        <v>164</v>
      </c>
      <c r="K40" s="138">
        <v>20</v>
      </c>
      <c r="L40" s="140"/>
      <c r="M40" s="138"/>
      <c r="N40" s="138"/>
      <c r="O40" s="139">
        <f>SUM(O31:O37)</f>
        <v>107.0975</v>
      </c>
    </row>
    <row r="41" spans="1:15" ht="14" x14ac:dyDescent="0.3">
      <c r="A41" s="135" t="s">
        <v>232</v>
      </c>
      <c r="C41" s="11" t="s">
        <v>233</v>
      </c>
      <c r="D41" s="155">
        <v>40294</v>
      </c>
    </row>
    <row r="42" spans="1:15" ht="14" x14ac:dyDescent="0.3">
      <c r="A42" s="209" t="s">
        <v>223</v>
      </c>
      <c r="B42" s="209" t="s">
        <v>184</v>
      </c>
      <c r="C42" s="209" t="s">
        <v>185</v>
      </c>
      <c r="D42" s="209" t="s">
        <v>186</v>
      </c>
      <c r="E42" s="209" t="s">
        <v>187</v>
      </c>
      <c r="F42" s="209" t="s">
        <v>188</v>
      </c>
      <c r="G42" s="209" t="s">
        <v>347</v>
      </c>
      <c r="H42" s="209" t="s">
        <v>201</v>
      </c>
      <c r="I42" s="210" t="s">
        <v>213</v>
      </c>
    </row>
    <row r="43" spans="1:15" ht="13" x14ac:dyDescent="0.3">
      <c r="A43" s="126" t="s">
        <v>192</v>
      </c>
      <c r="B43" s="143">
        <v>0.51250000000000007</v>
      </c>
      <c r="C43" s="84">
        <v>0.36</v>
      </c>
      <c r="D43" s="84">
        <v>8.9</v>
      </c>
      <c r="E43" s="84">
        <v>7.8</v>
      </c>
      <c r="F43" s="84">
        <v>8</v>
      </c>
      <c r="G43" s="84">
        <v>0.63</v>
      </c>
      <c r="H43" s="134">
        <v>0.59</v>
      </c>
      <c r="I43" s="84">
        <v>8</v>
      </c>
    </row>
    <row r="44" spans="1:15" ht="13" x14ac:dyDescent="0.3">
      <c r="A44" s="126" t="s">
        <v>193</v>
      </c>
      <c r="B44" s="84"/>
      <c r="C44" s="84">
        <v>0.36099999999999999</v>
      </c>
      <c r="D44" s="84">
        <v>8.74</v>
      </c>
      <c r="E44" s="84">
        <v>7.4</v>
      </c>
      <c r="F44" s="84">
        <v>7.83</v>
      </c>
      <c r="G44" s="84">
        <v>0.61</v>
      </c>
      <c r="H44" s="84"/>
    </row>
    <row r="45" spans="1:15" ht="13" x14ac:dyDescent="0.3">
      <c r="A45" s="126" t="s">
        <v>194</v>
      </c>
      <c r="B45" s="84"/>
      <c r="C45" s="84">
        <v>0.36</v>
      </c>
      <c r="D45" s="84">
        <v>8.89</v>
      </c>
      <c r="E45" s="84">
        <v>7.2</v>
      </c>
      <c r="F45" s="84">
        <v>7.82</v>
      </c>
      <c r="G45" s="84">
        <v>0.61</v>
      </c>
      <c r="H45" s="84"/>
      <c r="J45" s="6">
        <f>AVERAGE(E43:E45)</f>
        <v>7.4666666666666659</v>
      </c>
    </row>
    <row r="46" spans="1:15" ht="13" x14ac:dyDescent="0.3">
      <c r="A46" s="126" t="s">
        <v>195</v>
      </c>
      <c r="B46" s="84"/>
      <c r="C46" s="84">
        <v>0.35699999999999998</v>
      </c>
      <c r="D46" s="84">
        <v>8.85</v>
      </c>
      <c r="E46" s="84">
        <v>6.8</v>
      </c>
      <c r="F46" s="84">
        <v>7.8</v>
      </c>
      <c r="G46" s="84">
        <v>0.53</v>
      </c>
      <c r="H46" s="84"/>
    </row>
    <row r="47" spans="1:15" ht="13" x14ac:dyDescent="0.3">
      <c r="A47" s="126" t="s">
        <v>196</v>
      </c>
      <c r="B47" s="84"/>
      <c r="C47" s="84">
        <v>0.35599999999999998</v>
      </c>
      <c r="D47" s="84">
        <v>8.93</v>
      </c>
      <c r="E47" s="84">
        <v>6.6</v>
      </c>
      <c r="F47" s="84">
        <v>7.83</v>
      </c>
      <c r="G47" s="84">
        <v>0.62</v>
      </c>
      <c r="H47" s="84"/>
    </row>
    <row r="48" spans="1:15" ht="13" x14ac:dyDescent="0.3">
      <c r="A48" s="126" t="s">
        <v>197</v>
      </c>
      <c r="B48" s="84"/>
      <c r="C48" s="84">
        <v>0.35599999999999998</v>
      </c>
      <c r="D48" s="84">
        <v>8.99</v>
      </c>
      <c r="E48" s="84">
        <v>6.6</v>
      </c>
      <c r="F48" s="84">
        <v>7.79</v>
      </c>
      <c r="G48" s="84">
        <v>0.62</v>
      </c>
      <c r="H48" s="84"/>
    </row>
    <row r="49" spans="1:10" ht="13" x14ac:dyDescent="0.3">
      <c r="A49" s="126" t="s">
        <v>198</v>
      </c>
      <c r="B49" s="84"/>
      <c r="C49" s="84">
        <v>0.35599999999999998</v>
      </c>
      <c r="D49" s="84">
        <v>9.0500000000000007</v>
      </c>
      <c r="E49" s="84">
        <v>6.6</v>
      </c>
      <c r="F49" s="84">
        <v>7.81</v>
      </c>
      <c r="G49" s="84">
        <v>0.62</v>
      </c>
      <c r="H49" s="84"/>
    </row>
    <row r="50" spans="1:10" ht="13" x14ac:dyDescent="0.3">
      <c r="A50" s="421" t="s">
        <v>199</v>
      </c>
      <c r="B50" s="84"/>
      <c r="C50" s="84">
        <v>0.35599999999999998</v>
      </c>
      <c r="D50" s="84">
        <v>9.02</v>
      </c>
      <c r="E50" s="84">
        <v>6.4</v>
      </c>
      <c r="F50" s="84">
        <v>7.76</v>
      </c>
      <c r="G50" s="84">
        <v>0.61</v>
      </c>
      <c r="H50" s="84"/>
    </row>
    <row r="51" spans="1:10" ht="14" x14ac:dyDescent="0.3">
      <c r="A51" s="209" t="s">
        <v>224</v>
      </c>
      <c r="B51" s="523" t="s">
        <v>184</v>
      </c>
      <c r="C51" s="523" t="s">
        <v>185</v>
      </c>
      <c r="D51" s="523" t="s">
        <v>186</v>
      </c>
      <c r="E51" s="523" t="s">
        <v>187</v>
      </c>
      <c r="F51" s="523" t="s">
        <v>188</v>
      </c>
      <c r="G51" s="522" t="s">
        <v>347</v>
      </c>
      <c r="H51" s="523" t="s">
        <v>201</v>
      </c>
      <c r="I51" s="210" t="s">
        <v>213</v>
      </c>
    </row>
    <row r="52" spans="1:10" ht="13" x14ac:dyDescent="0.3">
      <c r="A52" s="126" t="s">
        <v>192</v>
      </c>
      <c r="B52" s="143">
        <v>0.52013888888888882</v>
      </c>
      <c r="C52" s="84">
        <v>0.36199999999999999</v>
      </c>
      <c r="D52" s="84">
        <v>8.8000000000000007</v>
      </c>
      <c r="E52" s="84">
        <v>7.6</v>
      </c>
      <c r="F52" s="84">
        <v>8.01</v>
      </c>
      <c r="G52" s="189">
        <v>0.67</v>
      </c>
      <c r="H52" s="84">
        <v>0.51</v>
      </c>
      <c r="I52" s="84">
        <v>5.45</v>
      </c>
    </row>
    <row r="53" spans="1:10" ht="13" x14ac:dyDescent="0.3">
      <c r="A53" s="126" t="s">
        <v>193</v>
      </c>
      <c r="B53" s="84"/>
      <c r="C53" s="84">
        <v>0.35899999999999999</v>
      </c>
      <c r="D53" s="84">
        <v>8.7799999999999994</v>
      </c>
      <c r="E53" s="84">
        <v>7.2</v>
      </c>
      <c r="F53" s="84">
        <v>7.87</v>
      </c>
      <c r="G53" s="84">
        <v>0.61</v>
      </c>
      <c r="H53" s="84"/>
      <c r="J53" s="6">
        <f>AVERAGE(E52:E54)</f>
        <v>7.3</v>
      </c>
    </row>
    <row r="54" spans="1:10" ht="13" x14ac:dyDescent="0.3">
      <c r="A54" s="126" t="s">
        <v>194</v>
      </c>
      <c r="B54" s="84"/>
      <c r="C54" s="84">
        <v>0.35899999999999999</v>
      </c>
      <c r="D54" s="84">
        <v>8.7899999999999991</v>
      </c>
      <c r="E54" s="84">
        <v>7.1</v>
      </c>
      <c r="F54" s="84">
        <v>7.85</v>
      </c>
      <c r="G54" s="84">
        <v>0.63</v>
      </c>
      <c r="H54" s="84"/>
    </row>
    <row r="55" spans="1:10" ht="13" x14ac:dyDescent="0.3">
      <c r="A55" s="126" t="s">
        <v>195</v>
      </c>
      <c r="B55" s="84"/>
      <c r="C55" s="84">
        <v>0.35899999999999999</v>
      </c>
      <c r="D55" s="84">
        <v>8.7200000000000006</v>
      </c>
      <c r="E55" s="84">
        <v>7</v>
      </c>
      <c r="F55" s="84">
        <v>7.83</v>
      </c>
      <c r="G55" s="84">
        <v>0.63</v>
      </c>
      <c r="H55" s="84"/>
    </row>
    <row r="56" spans="1:10" ht="13" x14ac:dyDescent="0.3">
      <c r="A56" s="126" t="s">
        <v>196</v>
      </c>
      <c r="B56" s="84"/>
      <c r="C56" s="84">
        <v>0.35899999999999999</v>
      </c>
      <c r="D56" s="84">
        <v>8.91</v>
      </c>
      <c r="E56" s="84">
        <v>6.5</v>
      </c>
      <c r="F56" s="84">
        <v>7.82</v>
      </c>
      <c r="G56" s="84">
        <v>0.63</v>
      </c>
      <c r="H56" s="84"/>
    </row>
    <row r="57" spans="1:10" ht="13" x14ac:dyDescent="0.3">
      <c r="A57" s="421" t="s">
        <v>197</v>
      </c>
      <c r="C57" s="84">
        <v>0.35699999999999998</v>
      </c>
      <c r="D57" s="221">
        <v>9.0500000000000007</v>
      </c>
      <c r="E57" s="221">
        <v>6.3</v>
      </c>
      <c r="F57" s="221">
        <v>7.76</v>
      </c>
      <c r="G57" s="221">
        <v>0.62</v>
      </c>
    </row>
    <row r="58" spans="1:10" ht="14" x14ac:dyDescent="0.3">
      <c r="A58" s="209" t="s">
        <v>225</v>
      </c>
      <c r="B58" s="209" t="s">
        <v>184</v>
      </c>
      <c r="C58" s="209" t="s">
        <v>185</v>
      </c>
      <c r="D58" s="209" t="s">
        <v>186</v>
      </c>
      <c r="E58" s="209" t="s">
        <v>187</v>
      </c>
      <c r="F58" s="209" t="s">
        <v>188</v>
      </c>
      <c r="G58" s="209" t="s">
        <v>347</v>
      </c>
      <c r="H58" s="209" t="s">
        <v>201</v>
      </c>
      <c r="I58" s="210" t="s">
        <v>213</v>
      </c>
    </row>
    <row r="59" spans="1:10" ht="13" x14ac:dyDescent="0.3">
      <c r="A59" s="126" t="s">
        <v>192</v>
      </c>
      <c r="B59" s="143">
        <v>0.52916666666666667</v>
      </c>
      <c r="C59" s="84">
        <v>0.35899999999999999</v>
      </c>
      <c r="D59" s="84">
        <v>9.0299999999999994</v>
      </c>
      <c r="E59" s="84">
        <v>7.2</v>
      </c>
      <c r="F59" s="84">
        <v>8.06</v>
      </c>
      <c r="G59" s="84">
        <v>0.63</v>
      </c>
      <c r="H59" s="134">
        <v>0.45</v>
      </c>
      <c r="I59" s="206">
        <v>2.8</v>
      </c>
    </row>
    <row r="60" spans="1:10" ht="13" x14ac:dyDescent="0.3">
      <c r="A60" s="126" t="s">
        <v>193</v>
      </c>
      <c r="B60" s="84"/>
      <c r="C60" s="84">
        <v>0.36</v>
      </c>
      <c r="D60" s="221">
        <v>8.99</v>
      </c>
      <c r="E60" s="84">
        <v>7.1</v>
      </c>
      <c r="F60" s="84">
        <v>7.97</v>
      </c>
      <c r="G60" s="84">
        <v>0.57999999999999996</v>
      </c>
      <c r="H60" s="84"/>
      <c r="J60" s="6">
        <f>AVERAGE(E59:E61)</f>
        <v>7.0333333333333341</v>
      </c>
    </row>
    <row r="61" spans="1:10" ht="13" x14ac:dyDescent="0.3">
      <c r="A61" s="126" t="s">
        <v>194</v>
      </c>
      <c r="B61" s="84"/>
      <c r="C61" s="84">
        <v>0.36899999999999999</v>
      </c>
      <c r="D61" s="84">
        <v>8.4</v>
      </c>
      <c r="E61" s="84">
        <v>6.8</v>
      </c>
      <c r="F61" s="84">
        <v>7.8</v>
      </c>
      <c r="G61" s="84">
        <v>0.56999999999999995</v>
      </c>
      <c r="H61" s="84"/>
    </row>
    <row r="62" spans="1:10" ht="13" x14ac:dyDescent="0.3">
      <c r="A62" s="126"/>
      <c r="B62" s="84"/>
      <c r="C62" s="84"/>
      <c r="D62" s="84"/>
      <c r="E62" s="84"/>
      <c r="F62" s="84"/>
      <c r="G62" s="84"/>
      <c r="H62" s="84"/>
    </row>
    <row r="63" spans="1:10" ht="13" x14ac:dyDescent="0.3">
      <c r="A63" s="126"/>
      <c r="B63" s="84"/>
      <c r="C63" s="84"/>
      <c r="D63" s="84"/>
      <c r="E63" s="84"/>
      <c r="F63" s="84"/>
      <c r="G63" s="84"/>
      <c r="H63" s="84"/>
    </row>
    <row r="65" spans="1:10" ht="14" x14ac:dyDescent="0.3">
      <c r="A65" s="209" t="s">
        <v>226</v>
      </c>
      <c r="B65" s="209" t="s">
        <v>184</v>
      </c>
      <c r="C65" s="209" t="s">
        <v>185</v>
      </c>
      <c r="D65" s="209" t="s">
        <v>186</v>
      </c>
      <c r="E65" s="209" t="s">
        <v>187</v>
      </c>
      <c r="F65" s="209" t="s">
        <v>188</v>
      </c>
      <c r="G65" s="209" t="s">
        <v>347</v>
      </c>
      <c r="H65" s="209" t="s">
        <v>201</v>
      </c>
      <c r="I65" s="210" t="s">
        <v>213</v>
      </c>
    </row>
    <row r="66" spans="1:10" ht="13" x14ac:dyDescent="0.3">
      <c r="A66" s="126" t="s">
        <v>192</v>
      </c>
      <c r="B66" s="143">
        <v>0.52083333333333337</v>
      </c>
      <c r="C66" s="84">
        <v>0.36199999999999999</v>
      </c>
      <c r="D66" s="84">
        <v>8.82</v>
      </c>
      <c r="E66" s="84">
        <v>8.6999999999999993</v>
      </c>
      <c r="F66" s="84">
        <v>8.11</v>
      </c>
      <c r="G66" s="84">
        <v>0.57999999999999996</v>
      </c>
      <c r="H66" s="134">
        <v>0.55000000000000004</v>
      </c>
      <c r="I66" s="84">
        <v>6.55</v>
      </c>
    </row>
    <row r="67" spans="1:10" ht="13" x14ac:dyDescent="0.3">
      <c r="A67" s="126" t="s">
        <v>193</v>
      </c>
      <c r="B67" s="84"/>
      <c r="C67" s="84">
        <v>0.36399999999999999</v>
      </c>
      <c r="D67" s="84">
        <v>8.74</v>
      </c>
      <c r="E67" s="84">
        <v>7.6</v>
      </c>
      <c r="F67" s="84">
        <v>7.93</v>
      </c>
      <c r="G67" s="84">
        <v>0.54</v>
      </c>
      <c r="H67" s="84"/>
      <c r="J67" s="6">
        <f>AVERAGE(E66:E68)</f>
        <v>7.8999999999999986</v>
      </c>
    </row>
    <row r="68" spans="1:10" ht="13" x14ac:dyDescent="0.3">
      <c r="A68" s="126" t="s">
        <v>194</v>
      </c>
      <c r="B68" s="84"/>
      <c r="C68" s="84">
        <v>0.36599999999999999</v>
      </c>
      <c r="D68" s="84">
        <v>8.5299999999999994</v>
      </c>
      <c r="E68" s="84">
        <v>7.4</v>
      </c>
      <c r="F68" s="84">
        <v>7.85</v>
      </c>
      <c r="G68" s="84">
        <v>0.56000000000000005</v>
      </c>
      <c r="H68" s="84"/>
    </row>
    <row r="69" spans="1:10" ht="13" x14ac:dyDescent="0.3">
      <c r="A69" s="126" t="s">
        <v>195</v>
      </c>
      <c r="B69" s="84"/>
      <c r="C69" s="84">
        <v>0.36699999999999999</v>
      </c>
      <c r="D69" s="84">
        <v>8.57</v>
      </c>
      <c r="E69" s="84">
        <v>7.4</v>
      </c>
      <c r="F69" s="84">
        <v>7.83</v>
      </c>
      <c r="G69" s="84">
        <v>0.56999999999999995</v>
      </c>
      <c r="H69" s="84"/>
    </row>
    <row r="70" spans="1:10" ht="13" x14ac:dyDescent="0.3">
      <c r="A70" s="126" t="s">
        <v>196</v>
      </c>
      <c r="B70" s="84"/>
      <c r="C70" s="84">
        <v>0.37</v>
      </c>
      <c r="D70" s="84">
        <v>8.6199999999999992</v>
      </c>
      <c r="E70" s="84">
        <v>7.4</v>
      </c>
      <c r="F70" s="84">
        <v>7.8</v>
      </c>
      <c r="G70" s="84">
        <v>0.56999999999999995</v>
      </c>
      <c r="H70" s="84"/>
    </row>
    <row r="71" spans="1:10" ht="13" x14ac:dyDescent="0.3">
      <c r="A71" s="126" t="s">
        <v>197</v>
      </c>
      <c r="B71" s="84"/>
      <c r="C71" s="84">
        <v>0.38400000000000001</v>
      </c>
      <c r="D71" s="84">
        <v>8.23</v>
      </c>
      <c r="E71" s="84">
        <v>7.3</v>
      </c>
      <c r="F71" s="84">
        <v>7.79</v>
      </c>
      <c r="G71" s="84">
        <v>0.56000000000000005</v>
      </c>
      <c r="H71" s="84"/>
    </row>
    <row r="72" spans="1:10" ht="13" x14ac:dyDescent="0.3">
      <c r="A72" s="126" t="s">
        <v>198</v>
      </c>
      <c r="B72" s="84"/>
      <c r="C72" s="84">
        <v>0.40699999999999997</v>
      </c>
      <c r="D72" s="84">
        <v>7.75</v>
      </c>
      <c r="E72" s="84">
        <v>7.2</v>
      </c>
      <c r="F72" s="84">
        <v>7.74</v>
      </c>
      <c r="G72" s="84">
        <v>0.53</v>
      </c>
      <c r="H72" s="84"/>
    </row>
  </sheetData>
  <mergeCells count="5">
    <mergeCell ref="A26:B26"/>
    <mergeCell ref="D26:E26"/>
    <mergeCell ref="H26:I26"/>
    <mergeCell ref="E29:F29"/>
    <mergeCell ref="H33:I33"/>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71"/>
  <sheetViews>
    <sheetView workbookViewId="0">
      <selection activeCell="F5" sqref="F5:F15"/>
    </sheetView>
  </sheetViews>
  <sheetFormatPr defaultRowHeight="12.5" x14ac:dyDescent="0.25"/>
  <cols>
    <col min="1" max="1" width="16.6328125" customWidth="1"/>
    <col min="2" max="2" width="10.08984375" bestFit="1" customWidth="1"/>
    <col min="4" max="4" width="11.54296875" customWidth="1"/>
    <col min="8" max="8" width="12" customWidth="1"/>
    <col min="9" max="9" width="16" customWidth="1"/>
    <col min="10" max="10" width="23.6328125" customWidth="1"/>
    <col min="11" max="11" width="14.90625" customWidth="1"/>
  </cols>
  <sheetData>
    <row r="1" spans="1:18" x14ac:dyDescent="0.25">
      <c r="J1" s="189" t="s">
        <v>281</v>
      </c>
      <c r="K1" s="189" t="s">
        <v>283</v>
      </c>
      <c r="N1" s="189" t="s">
        <v>321</v>
      </c>
      <c r="R1">
        <v>6</v>
      </c>
    </row>
    <row r="2" spans="1:18" ht="14" x14ac:dyDescent="0.3">
      <c r="A2" s="135" t="s">
        <v>371</v>
      </c>
      <c r="J2" s="84"/>
      <c r="K2" s="84"/>
      <c r="N2" s="189" t="s">
        <v>320</v>
      </c>
      <c r="R2">
        <v>7</v>
      </c>
    </row>
    <row r="3" spans="1:18" ht="13" x14ac:dyDescent="0.3">
      <c r="A3" s="1" t="s">
        <v>180</v>
      </c>
      <c r="B3" s="155">
        <v>40322</v>
      </c>
      <c r="J3" s="189" t="s">
        <v>282</v>
      </c>
      <c r="K3" s="85">
        <v>14</v>
      </c>
      <c r="N3" s="189" t="s">
        <v>317</v>
      </c>
      <c r="R3">
        <v>5</v>
      </c>
    </row>
    <row r="4" spans="1:18" ht="14" x14ac:dyDescent="0.3">
      <c r="A4" s="209" t="s">
        <v>23</v>
      </c>
      <c r="B4" s="209" t="s">
        <v>184</v>
      </c>
      <c r="C4" s="209" t="s">
        <v>185</v>
      </c>
      <c r="D4" s="209" t="s">
        <v>186</v>
      </c>
      <c r="E4" s="209" t="s">
        <v>187</v>
      </c>
      <c r="F4" s="209" t="s">
        <v>188</v>
      </c>
      <c r="G4" s="209" t="s">
        <v>358</v>
      </c>
      <c r="J4" s="189" t="s">
        <v>284</v>
      </c>
      <c r="K4" s="85">
        <v>23</v>
      </c>
      <c r="N4" s="189" t="s">
        <v>318</v>
      </c>
      <c r="R4">
        <v>8.5399999999999991</v>
      </c>
    </row>
    <row r="5" spans="1:18" ht="13" x14ac:dyDescent="0.3">
      <c r="A5" s="94" t="s">
        <v>189</v>
      </c>
      <c r="B5" s="143">
        <v>0.41666666666666669</v>
      </c>
      <c r="C5" s="431">
        <v>0.34</v>
      </c>
      <c r="D5" s="431">
        <v>9.7100000000000009</v>
      </c>
      <c r="E5" s="431">
        <v>9.4</v>
      </c>
      <c r="F5" s="431">
        <v>8</v>
      </c>
      <c r="G5" s="431">
        <v>0.8</v>
      </c>
      <c r="H5" s="92"/>
      <c r="J5" s="189" t="s">
        <v>285</v>
      </c>
      <c r="K5" s="85">
        <v>2</v>
      </c>
      <c r="L5" t="s">
        <v>372</v>
      </c>
      <c r="N5" s="189" t="s">
        <v>357</v>
      </c>
      <c r="R5">
        <v>8.57</v>
      </c>
    </row>
    <row r="6" spans="1:18" ht="13" x14ac:dyDescent="0.3">
      <c r="A6" s="94" t="s">
        <v>190</v>
      </c>
      <c r="B6" s="143">
        <v>0.43055555555555558</v>
      </c>
      <c r="C6" s="431">
        <v>0.17100000000000001</v>
      </c>
      <c r="D6" s="431">
        <v>9.16</v>
      </c>
      <c r="E6" s="431">
        <v>10.6</v>
      </c>
      <c r="F6" s="431">
        <v>7.89</v>
      </c>
      <c r="G6" s="431">
        <v>0.68</v>
      </c>
      <c r="H6" s="92"/>
      <c r="J6" s="189" t="s">
        <v>286</v>
      </c>
      <c r="K6" s="291">
        <v>16</v>
      </c>
      <c r="N6" s="189" t="s">
        <v>319</v>
      </c>
      <c r="R6">
        <v>8.58</v>
      </c>
    </row>
    <row r="7" spans="1:18" ht="13" x14ac:dyDescent="0.3">
      <c r="A7" s="94" t="s">
        <v>191</v>
      </c>
      <c r="B7" s="143">
        <v>0.44791666666666669</v>
      </c>
      <c r="C7" s="431">
        <v>0.28599999999999998</v>
      </c>
      <c r="D7" s="431">
        <v>8.59</v>
      </c>
      <c r="E7" s="431">
        <v>13.7</v>
      </c>
      <c r="F7" s="431">
        <v>8.18</v>
      </c>
      <c r="G7" s="431">
        <v>0.96</v>
      </c>
      <c r="H7" s="92"/>
      <c r="J7" s="422" t="s">
        <v>288</v>
      </c>
      <c r="K7" s="291">
        <v>12</v>
      </c>
    </row>
    <row r="8" spans="1:18" ht="14" x14ac:dyDescent="0.3">
      <c r="A8" s="94" t="s">
        <v>229</v>
      </c>
      <c r="B8" s="143"/>
      <c r="C8" s="84"/>
      <c r="D8" s="84"/>
      <c r="E8" s="84"/>
      <c r="F8" s="84"/>
      <c r="G8" s="84"/>
      <c r="H8" s="209" t="s">
        <v>201</v>
      </c>
      <c r="I8" s="210" t="s">
        <v>213</v>
      </c>
    </row>
    <row r="9" spans="1:18" ht="13" x14ac:dyDescent="0.3">
      <c r="A9" s="126" t="s">
        <v>192</v>
      </c>
      <c r="B9" s="143">
        <v>0.49444444444444446</v>
      </c>
      <c r="C9" s="84">
        <v>0.28199999999999997</v>
      </c>
      <c r="D9" s="531">
        <v>8.4</v>
      </c>
      <c r="E9" s="431">
        <v>12.3</v>
      </c>
      <c r="F9" s="431">
        <v>8.58</v>
      </c>
      <c r="G9" s="84">
        <v>2.2799999999999998</v>
      </c>
      <c r="H9" s="134">
        <v>1.2</v>
      </c>
      <c r="I9" s="188">
        <v>7</v>
      </c>
    </row>
    <row r="10" spans="1:18" ht="13" x14ac:dyDescent="0.3">
      <c r="A10" s="126" t="s">
        <v>193</v>
      </c>
      <c r="B10" s="84"/>
      <c r="C10" s="84">
        <v>0.27700000000000002</v>
      </c>
      <c r="D10" s="531">
        <v>8.64</v>
      </c>
      <c r="E10" s="431">
        <v>12.3</v>
      </c>
      <c r="F10" s="431">
        <v>8.34</v>
      </c>
      <c r="G10" s="84">
        <v>1.83</v>
      </c>
      <c r="H10" s="84"/>
    </row>
    <row r="11" spans="1:18" ht="13" x14ac:dyDescent="0.3">
      <c r="A11" s="126" t="s">
        <v>194</v>
      </c>
      <c r="B11" s="84"/>
      <c r="C11" s="84">
        <v>0.27800000000000002</v>
      </c>
      <c r="D11" s="531">
        <v>8.67</v>
      </c>
      <c r="E11" s="431">
        <v>12.1</v>
      </c>
      <c r="F11" s="431">
        <v>8.2100000000000009</v>
      </c>
      <c r="G11" s="84">
        <v>1.85</v>
      </c>
      <c r="H11" s="84"/>
    </row>
    <row r="12" spans="1:18" ht="13" x14ac:dyDescent="0.3">
      <c r="A12" s="126" t="s">
        <v>195</v>
      </c>
      <c r="B12" s="84"/>
      <c r="C12" s="84">
        <v>0.27700000000000002</v>
      </c>
      <c r="D12" s="531">
        <v>8.67</v>
      </c>
      <c r="E12" s="431">
        <v>12.1</v>
      </c>
      <c r="F12" s="532">
        <v>8</v>
      </c>
      <c r="G12" s="221">
        <v>1.33</v>
      </c>
      <c r="H12" s="84"/>
      <c r="J12" s="6">
        <f>AVERAGE(E9:E15)</f>
        <v>11.985714285714286</v>
      </c>
    </row>
    <row r="13" spans="1:18" ht="13" x14ac:dyDescent="0.3">
      <c r="A13" s="126" t="s">
        <v>196</v>
      </c>
      <c r="B13" s="84"/>
      <c r="C13" s="221">
        <v>0.27700000000000002</v>
      </c>
      <c r="D13" s="531">
        <v>8.59</v>
      </c>
      <c r="E13" s="431">
        <v>12</v>
      </c>
      <c r="F13" s="431">
        <v>7.99</v>
      </c>
      <c r="G13" s="84">
        <v>1.2</v>
      </c>
      <c r="H13" s="84"/>
      <c r="J13" s="6"/>
    </row>
    <row r="14" spans="1:18" ht="13" x14ac:dyDescent="0.3">
      <c r="A14" s="126" t="s">
        <v>197</v>
      </c>
      <c r="B14" s="84"/>
      <c r="C14" s="84">
        <v>0.27800000000000002</v>
      </c>
      <c r="D14" s="531">
        <v>8.51</v>
      </c>
      <c r="E14" s="431">
        <v>12</v>
      </c>
      <c r="F14" s="431">
        <v>7.96</v>
      </c>
      <c r="G14" s="84">
        <v>1.1200000000000001</v>
      </c>
      <c r="H14" s="84"/>
      <c r="J14" s="6">
        <f>AVERAGE(D9:D19)</f>
        <v>8.5385714285714283</v>
      </c>
    </row>
    <row r="15" spans="1:18" ht="13" x14ac:dyDescent="0.3">
      <c r="A15" s="126" t="s">
        <v>198</v>
      </c>
      <c r="B15" s="84"/>
      <c r="C15" s="84">
        <v>0.27800000000000002</v>
      </c>
      <c r="D15" s="431">
        <v>8.2899999999999991</v>
      </c>
      <c r="E15" s="431">
        <v>11.1</v>
      </c>
      <c r="F15" s="431">
        <v>7.88</v>
      </c>
      <c r="G15" s="84">
        <v>1.01</v>
      </c>
      <c r="H15" s="84"/>
      <c r="J15" s="6">
        <f>AVERAGE(D9:D11)</f>
        <v>8.57</v>
      </c>
    </row>
    <row r="16" spans="1:18" ht="13" x14ac:dyDescent="0.3">
      <c r="A16" s="126" t="s">
        <v>199</v>
      </c>
      <c r="B16" s="84"/>
      <c r="C16" s="84"/>
      <c r="D16" s="84"/>
      <c r="E16" s="84"/>
      <c r="F16" s="84"/>
      <c r="G16" s="84"/>
      <c r="H16" s="84"/>
      <c r="J16" s="6">
        <f>AVERAGE(D9:D14)</f>
        <v>8.58</v>
      </c>
    </row>
    <row r="17" spans="1:15" ht="13" x14ac:dyDescent="0.3">
      <c r="A17" s="126" t="s">
        <v>200</v>
      </c>
      <c r="B17" s="143"/>
      <c r="C17" s="84"/>
      <c r="D17" s="84"/>
      <c r="E17" s="221"/>
      <c r="F17" s="221"/>
      <c r="G17" s="84"/>
      <c r="H17" s="84"/>
    </row>
    <row r="18" spans="1:15" ht="13" x14ac:dyDescent="0.3">
      <c r="A18" s="126" t="s">
        <v>227</v>
      </c>
      <c r="B18" s="143"/>
      <c r="C18" s="84"/>
      <c r="D18" s="84"/>
      <c r="E18" s="84"/>
      <c r="F18" s="84"/>
      <c r="G18" s="84"/>
      <c r="H18" s="84"/>
    </row>
    <row r="19" spans="1:15" ht="13" x14ac:dyDescent="0.3">
      <c r="A19" s="126" t="s">
        <v>228</v>
      </c>
      <c r="B19" s="84"/>
      <c r="C19" s="84"/>
      <c r="D19" s="84"/>
      <c r="E19" s="84"/>
      <c r="F19" s="84"/>
      <c r="G19" s="84"/>
      <c r="H19" s="84"/>
    </row>
    <row r="20" spans="1:15" ht="13" x14ac:dyDescent="0.3">
      <c r="A20" s="208"/>
      <c r="B20" s="92"/>
      <c r="C20" s="92"/>
      <c r="D20" s="92"/>
      <c r="E20" s="92"/>
      <c r="F20" s="92"/>
      <c r="G20" s="92"/>
      <c r="H20" s="92"/>
    </row>
    <row r="21" spans="1:15" ht="13" x14ac:dyDescent="0.3">
      <c r="A21" s="126" t="s">
        <v>230</v>
      </c>
      <c r="B21" s="143">
        <v>0.45833333333333331</v>
      </c>
      <c r="C21" s="84">
        <v>1.31</v>
      </c>
      <c r="D21" s="84">
        <v>9.5299999999999994</v>
      </c>
      <c r="E21" s="84">
        <v>11.8</v>
      </c>
      <c r="F21" s="84">
        <v>8.19</v>
      </c>
      <c r="G21" s="84">
        <v>0.85</v>
      </c>
      <c r="H21" s="189" t="s">
        <v>308</v>
      </c>
    </row>
    <row r="22" spans="1:15" ht="13" x14ac:dyDescent="0.3">
      <c r="A22" s="217" t="s">
        <v>231</v>
      </c>
      <c r="B22" s="143">
        <v>0.46527777777777773</v>
      </c>
      <c r="C22" s="84">
        <v>1.27</v>
      </c>
      <c r="D22" s="84">
        <v>9.19</v>
      </c>
      <c r="E22" s="84">
        <v>14.1</v>
      </c>
      <c r="F22" s="84">
        <v>8.5299999999999994</v>
      </c>
      <c r="G22" s="84">
        <v>0.88</v>
      </c>
      <c r="H22" s="189" t="s">
        <v>308</v>
      </c>
    </row>
    <row r="23" spans="1:15" x14ac:dyDescent="0.25">
      <c r="A23" s="131" t="s">
        <v>11</v>
      </c>
      <c r="B23" s="228" t="s">
        <v>373</v>
      </c>
      <c r="C23" s="218"/>
      <c r="D23" s="218"/>
      <c r="E23" s="132"/>
      <c r="F23" s="132"/>
      <c r="G23" s="132"/>
      <c r="H23" s="132"/>
    </row>
    <row r="24" spans="1:15" x14ac:dyDescent="0.25">
      <c r="A24" s="144"/>
      <c r="B24" s="229" t="s">
        <v>374</v>
      </c>
      <c r="C24" s="144"/>
      <c r="D24" s="144"/>
      <c r="E24" s="133"/>
      <c r="F24" s="483"/>
      <c r="G24" s="133"/>
      <c r="H24" s="133"/>
    </row>
    <row r="25" spans="1:15" x14ac:dyDescent="0.25">
      <c r="A25" s="144"/>
      <c r="B25" s="133"/>
      <c r="C25" s="133"/>
      <c r="D25" s="133"/>
      <c r="E25" s="133"/>
      <c r="F25" s="483"/>
      <c r="G25" s="133"/>
      <c r="H25" s="133"/>
    </row>
    <row r="26" spans="1:15" ht="15.5" x14ac:dyDescent="0.35">
      <c r="A26" s="164" t="s">
        <v>180</v>
      </c>
      <c r="B26" s="254">
        <v>40322</v>
      </c>
      <c r="C26" s="167"/>
      <c r="D26" s="164"/>
      <c r="E26" s="167"/>
      <c r="F26" s="167"/>
      <c r="G26" s="167"/>
      <c r="H26" s="168"/>
      <c r="I26" s="136"/>
    </row>
    <row r="27" spans="1:15" ht="15.5" x14ac:dyDescent="0.35">
      <c r="A27" s="853" t="s">
        <v>130</v>
      </c>
      <c r="B27" s="853"/>
      <c r="C27" s="214"/>
      <c r="D27" s="853" t="s">
        <v>133</v>
      </c>
      <c r="E27" s="853"/>
      <c r="F27" s="529"/>
      <c r="G27" s="137"/>
      <c r="H27" s="849" t="s">
        <v>34</v>
      </c>
      <c r="I27" s="849"/>
    </row>
    <row r="28" spans="1:15" ht="15.5" x14ac:dyDescent="0.35">
      <c r="A28" s="162" t="s">
        <v>184</v>
      </c>
      <c r="B28" s="211">
        <v>0.41666666666666669</v>
      </c>
      <c r="C28" s="212"/>
      <c r="D28" s="162" t="s">
        <v>184</v>
      </c>
      <c r="E28" s="216">
        <v>0.43055555555555558</v>
      </c>
      <c r="F28" s="485"/>
      <c r="G28" s="216"/>
      <c r="H28" s="162" t="s">
        <v>184</v>
      </c>
      <c r="I28" s="216">
        <v>0.44791666666666669</v>
      </c>
    </row>
    <row r="29" spans="1:15" ht="16" thickBot="1" x14ac:dyDescent="0.4">
      <c r="A29" s="162" t="s">
        <v>202</v>
      </c>
      <c r="B29" s="213">
        <v>21</v>
      </c>
      <c r="C29" s="213"/>
      <c r="D29" s="162" t="s">
        <v>202</v>
      </c>
      <c r="E29" s="215">
        <v>26</v>
      </c>
      <c r="F29" s="400"/>
      <c r="G29" s="215"/>
      <c r="H29" s="162" t="s">
        <v>202</v>
      </c>
      <c r="I29" s="215">
        <v>50</v>
      </c>
    </row>
    <row r="30" spans="1:15" ht="23.5" thickBot="1" x14ac:dyDescent="0.3">
      <c r="A30" s="165" t="s">
        <v>203</v>
      </c>
      <c r="B30" s="852" t="s">
        <v>375</v>
      </c>
      <c r="C30" s="852"/>
      <c r="D30" s="163" t="s">
        <v>203</v>
      </c>
      <c r="E30" s="854" t="s">
        <v>375</v>
      </c>
      <c r="F30" s="854"/>
      <c r="G30" s="854"/>
      <c r="H30" s="163" t="s">
        <v>203</v>
      </c>
      <c r="I30" s="166" t="s">
        <v>376</v>
      </c>
      <c r="K30" s="141" t="s">
        <v>204</v>
      </c>
      <c r="L30" s="141" t="s">
        <v>205</v>
      </c>
      <c r="M30" s="142" t="s">
        <v>206</v>
      </c>
      <c r="N30" s="141" t="s">
        <v>207</v>
      </c>
      <c r="O30" s="142" t="s">
        <v>208</v>
      </c>
    </row>
    <row r="31" spans="1:15" ht="24" x14ac:dyDescent="0.35">
      <c r="A31" s="159" t="s">
        <v>204</v>
      </c>
      <c r="B31" s="159" t="s">
        <v>205</v>
      </c>
      <c r="C31" s="161" t="s">
        <v>206</v>
      </c>
      <c r="D31" s="159" t="s">
        <v>204</v>
      </c>
      <c r="E31" s="159" t="s">
        <v>205</v>
      </c>
      <c r="F31" s="161" t="s">
        <v>206</v>
      </c>
      <c r="G31" s="256" t="s">
        <v>209</v>
      </c>
      <c r="H31" s="159" t="s">
        <v>205</v>
      </c>
      <c r="I31" s="161" t="s">
        <v>206</v>
      </c>
      <c r="K31" s="138">
        <v>2</v>
      </c>
      <c r="L31" s="138">
        <v>0.9</v>
      </c>
      <c r="M31" s="139">
        <v>3.16</v>
      </c>
      <c r="N31" s="138">
        <f>L31*50</f>
        <v>45</v>
      </c>
      <c r="O31" s="139">
        <f t="shared" ref="O31:O41" si="0">M31*N31</f>
        <v>142.20000000000002</v>
      </c>
    </row>
    <row r="32" spans="1:15" ht="15.5" x14ac:dyDescent="0.35">
      <c r="A32" s="160">
        <v>2</v>
      </c>
      <c r="B32" s="138">
        <v>0.7</v>
      </c>
      <c r="C32" s="138">
        <v>0.19</v>
      </c>
      <c r="D32" s="160">
        <v>2</v>
      </c>
      <c r="E32" s="138"/>
      <c r="F32" s="138"/>
      <c r="G32" s="139">
        <v>5</v>
      </c>
      <c r="H32" s="138">
        <v>0.9</v>
      </c>
      <c r="I32" s="139">
        <v>3.16</v>
      </c>
      <c r="J32" s="533">
        <v>148</v>
      </c>
      <c r="K32" s="138">
        <v>4</v>
      </c>
      <c r="L32" s="138">
        <v>2.4</v>
      </c>
      <c r="M32" s="139">
        <v>3.77</v>
      </c>
      <c r="N32" s="138">
        <f>L32*6</f>
        <v>14.399999999999999</v>
      </c>
      <c r="O32" s="139">
        <f t="shared" si="0"/>
        <v>54.287999999999997</v>
      </c>
    </row>
    <row r="33" spans="1:15" ht="15.5" x14ac:dyDescent="0.35">
      <c r="A33" s="160">
        <v>4</v>
      </c>
      <c r="B33" s="138">
        <v>1.05</v>
      </c>
      <c r="C33" s="139">
        <v>0.54</v>
      </c>
      <c r="D33" s="160">
        <v>4</v>
      </c>
      <c r="E33" s="138">
        <v>2.4</v>
      </c>
      <c r="F33" s="138">
        <v>3.11</v>
      </c>
      <c r="G33" s="138"/>
      <c r="H33" s="138"/>
      <c r="I33" s="139"/>
      <c r="K33" s="138">
        <v>6</v>
      </c>
      <c r="L33" s="138">
        <v>1.2</v>
      </c>
      <c r="M33" s="138">
        <v>1.8</v>
      </c>
      <c r="N33" s="138">
        <f>L33*12</f>
        <v>14.399999999999999</v>
      </c>
      <c r="O33" s="139">
        <f t="shared" si="0"/>
        <v>25.919999999999998</v>
      </c>
    </row>
    <row r="34" spans="1:15" ht="15.5" x14ac:dyDescent="0.35">
      <c r="A34" s="160">
        <v>6</v>
      </c>
      <c r="B34" s="138">
        <v>1.25</v>
      </c>
      <c r="C34" s="138">
        <v>1.92</v>
      </c>
      <c r="D34" s="160">
        <v>6</v>
      </c>
      <c r="E34" s="138"/>
      <c r="F34" s="138"/>
      <c r="G34" s="138"/>
      <c r="H34" s="850" t="s">
        <v>214</v>
      </c>
      <c r="I34" s="851"/>
      <c r="K34" s="138">
        <v>8</v>
      </c>
      <c r="L34" s="138"/>
      <c r="M34" s="138"/>
      <c r="N34" s="138">
        <f>L34*2</f>
        <v>0</v>
      </c>
      <c r="O34" s="139">
        <f t="shared" si="0"/>
        <v>0</v>
      </c>
    </row>
    <row r="35" spans="1:15" ht="15.5" x14ac:dyDescent="0.35">
      <c r="A35" s="160">
        <v>8</v>
      </c>
      <c r="B35" s="138">
        <v>1.4</v>
      </c>
      <c r="C35" s="138">
        <v>2.2000000000000002</v>
      </c>
      <c r="D35" s="160">
        <v>8</v>
      </c>
      <c r="E35" s="138">
        <v>2.4</v>
      </c>
      <c r="F35" s="138">
        <v>3.77</v>
      </c>
      <c r="G35" s="138"/>
      <c r="H35" s="138" t="s">
        <v>377</v>
      </c>
      <c r="I35" s="139">
        <v>0.68</v>
      </c>
      <c r="J35" s="528">
        <v>0.8</v>
      </c>
      <c r="K35" s="138">
        <v>10</v>
      </c>
      <c r="L35" s="138"/>
      <c r="M35" s="138"/>
      <c r="N35" s="138">
        <f>L35*2</f>
        <v>0</v>
      </c>
      <c r="O35" s="139">
        <f t="shared" si="0"/>
        <v>0</v>
      </c>
    </row>
    <row r="36" spans="1:15" ht="15.5" x14ac:dyDescent="0.35">
      <c r="A36" s="160">
        <v>10</v>
      </c>
      <c r="B36" s="138">
        <v>1.9</v>
      </c>
      <c r="C36" s="138">
        <v>2.4500000000000002</v>
      </c>
      <c r="D36" s="160">
        <v>10</v>
      </c>
      <c r="E36" s="138"/>
      <c r="F36" s="138"/>
      <c r="G36" s="138"/>
      <c r="H36" s="138"/>
      <c r="I36" s="139"/>
      <c r="K36" s="138">
        <v>12</v>
      </c>
      <c r="L36" s="138"/>
      <c r="M36" s="138"/>
      <c r="N36" s="138">
        <f>L36*2</f>
        <v>0</v>
      </c>
      <c r="O36" s="139">
        <f t="shared" si="0"/>
        <v>0</v>
      </c>
    </row>
    <row r="37" spans="1:15" ht="15.5" x14ac:dyDescent="0.35">
      <c r="A37" s="160">
        <v>12</v>
      </c>
      <c r="B37" s="138">
        <v>2</v>
      </c>
      <c r="C37" s="138">
        <v>2.35</v>
      </c>
      <c r="D37" s="160">
        <v>12</v>
      </c>
      <c r="E37" s="138"/>
      <c r="F37" s="138"/>
      <c r="G37" s="138"/>
      <c r="H37" s="138" t="s">
        <v>215</v>
      </c>
      <c r="I37" s="139"/>
      <c r="K37" s="138">
        <v>14</v>
      </c>
      <c r="L37" s="138"/>
      <c r="M37" s="138"/>
      <c r="N37" s="138">
        <f>L37*2</f>
        <v>0</v>
      </c>
      <c r="O37" s="139">
        <f t="shared" si="0"/>
        <v>0</v>
      </c>
    </row>
    <row r="38" spans="1:15" ht="15.5" x14ac:dyDescent="0.35">
      <c r="A38" s="160">
        <v>14</v>
      </c>
      <c r="B38" s="138">
        <v>1.7</v>
      </c>
      <c r="C38" s="138">
        <v>2.85</v>
      </c>
      <c r="D38" s="160">
        <v>14</v>
      </c>
      <c r="E38" s="140"/>
      <c r="F38" s="140"/>
      <c r="G38" s="138"/>
      <c r="H38" s="138" t="s">
        <v>377</v>
      </c>
      <c r="I38" s="139">
        <v>0.68</v>
      </c>
      <c r="J38" s="528">
        <v>0.8</v>
      </c>
      <c r="K38" s="138">
        <v>16</v>
      </c>
      <c r="L38" s="138"/>
      <c r="M38" s="139"/>
      <c r="N38" s="138">
        <f>L38*2</f>
        <v>0</v>
      </c>
      <c r="O38" s="139">
        <f t="shared" si="0"/>
        <v>0</v>
      </c>
    </row>
    <row r="39" spans="1:15" ht="15.5" x14ac:dyDescent="0.35">
      <c r="A39" s="160">
        <v>16</v>
      </c>
      <c r="B39" s="138">
        <v>1.2</v>
      </c>
      <c r="C39" s="139">
        <v>1.24</v>
      </c>
      <c r="D39" s="160">
        <v>16</v>
      </c>
      <c r="E39" s="138">
        <v>1.2</v>
      </c>
      <c r="F39" s="138">
        <v>1.8</v>
      </c>
      <c r="G39" s="138"/>
      <c r="H39" s="138"/>
      <c r="I39" s="139"/>
      <c r="K39" s="138">
        <v>18</v>
      </c>
      <c r="L39" s="138"/>
      <c r="M39" s="139"/>
      <c r="N39" s="138">
        <f>L39*4</f>
        <v>0</v>
      </c>
      <c r="O39" s="139">
        <f t="shared" si="0"/>
        <v>0</v>
      </c>
    </row>
    <row r="40" spans="1:15" ht="15.5" x14ac:dyDescent="0.35">
      <c r="A40" s="160">
        <v>18</v>
      </c>
      <c r="B40" s="138">
        <v>0.4</v>
      </c>
      <c r="C40" s="139">
        <v>1.19</v>
      </c>
      <c r="D40" s="160">
        <v>18</v>
      </c>
      <c r="E40" s="416"/>
      <c r="F40" s="416"/>
      <c r="G40" s="416">
        <v>140</v>
      </c>
      <c r="H40" s="416"/>
      <c r="I40" s="418"/>
      <c r="K40" s="138">
        <v>20</v>
      </c>
      <c r="L40" s="84"/>
      <c r="M40" s="84"/>
      <c r="N40" s="138">
        <f>L40*3</f>
        <v>0</v>
      </c>
      <c r="O40" s="139">
        <f t="shared" si="0"/>
        <v>0</v>
      </c>
    </row>
    <row r="41" spans="1:15" ht="15.5" x14ac:dyDescent="0.35">
      <c r="A41" s="160">
        <v>20</v>
      </c>
      <c r="B41" s="138"/>
      <c r="C41" s="139"/>
      <c r="D41" s="160">
        <v>20</v>
      </c>
      <c r="E41" s="416"/>
      <c r="F41" s="416"/>
      <c r="G41" s="416"/>
      <c r="H41" s="416"/>
      <c r="I41" s="418"/>
      <c r="K41" s="138">
        <v>22</v>
      </c>
      <c r="L41" s="84"/>
      <c r="M41" s="84"/>
      <c r="N41" s="138">
        <f>L41*3</f>
        <v>0</v>
      </c>
      <c r="O41" s="139">
        <f t="shared" si="0"/>
        <v>0</v>
      </c>
    </row>
    <row r="42" spans="1:15" ht="15.5" x14ac:dyDescent="0.35">
      <c r="C42" s="500">
        <v>45.8</v>
      </c>
      <c r="O42" s="530">
        <f>SUM(O31:O41)</f>
        <v>222.40799999999999</v>
      </c>
    </row>
    <row r="43" spans="1:15" ht="14" x14ac:dyDescent="0.3">
      <c r="A43" s="135" t="s">
        <v>232</v>
      </c>
      <c r="C43" s="11" t="s">
        <v>233</v>
      </c>
      <c r="D43" s="155">
        <v>40322</v>
      </c>
    </row>
    <row r="44" spans="1:15" ht="14" x14ac:dyDescent="0.3">
      <c r="A44" s="209" t="s">
        <v>248</v>
      </c>
      <c r="B44" s="209" t="s">
        <v>184</v>
      </c>
      <c r="C44" s="209" t="s">
        <v>185</v>
      </c>
      <c r="D44" s="209" t="s">
        <v>186</v>
      </c>
      <c r="E44" s="209" t="s">
        <v>187</v>
      </c>
      <c r="F44" s="209" t="s">
        <v>188</v>
      </c>
      <c r="G44" s="209" t="s">
        <v>358</v>
      </c>
      <c r="H44" s="209" t="s">
        <v>201</v>
      </c>
      <c r="I44" s="210" t="s">
        <v>213</v>
      </c>
    </row>
    <row r="45" spans="1:15" ht="13" x14ac:dyDescent="0.3">
      <c r="A45" s="126" t="s">
        <v>192</v>
      </c>
      <c r="B45" s="143"/>
      <c r="C45" s="84"/>
      <c r="D45" s="84"/>
      <c r="E45" s="84"/>
      <c r="F45" s="84"/>
      <c r="G45" s="84"/>
      <c r="H45" s="134"/>
      <c r="I45" s="84"/>
    </row>
    <row r="46" spans="1:15" ht="13" x14ac:dyDescent="0.3">
      <c r="A46" s="126" t="s">
        <v>193</v>
      </c>
      <c r="B46" s="84"/>
      <c r="C46" s="84"/>
      <c r="D46" s="84"/>
      <c r="E46" s="84"/>
      <c r="F46" s="84"/>
      <c r="G46" s="84"/>
      <c r="H46" s="84"/>
    </row>
    <row r="47" spans="1:15" ht="13" x14ac:dyDescent="0.3">
      <c r="A47" s="126" t="s">
        <v>194</v>
      </c>
      <c r="B47" s="84"/>
      <c r="C47" s="84"/>
      <c r="D47" s="84"/>
      <c r="E47" s="84"/>
      <c r="F47" s="84"/>
      <c r="G47" s="84"/>
      <c r="H47" s="84"/>
      <c r="J47" t="e">
        <f>AVERAGE(E45:E47)</f>
        <v>#DIV/0!</v>
      </c>
    </row>
    <row r="48" spans="1:15" ht="13" x14ac:dyDescent="0.3">
      <c r="A48" s="126" t="s">
        <v>195</v>
      </c>
      <c r="B48" s="84"/>
      <c r="C48" s="84"/>
      <c r="D48" s="84"/>
      <c r="E48" s="84"/>
      <c r="F48" s="84"/>
      <c r="G48" s="84"/>
      <c r="H48" s="84"/>
    </row>
    <row r="49" spans="1:10" ht="13" x14ac:dyDescent="0.3">
      <c r="A49" s="126" t="s">
        <v>196</v>
      </c>
      <c r="B49" s="84"/>
      <c r="C49" s="84"/>
      <c r="D49" s="84"/>
      <c r="E49" s="84"/>
      <c r="F49" s="84"/>
      <c r="G49" s="84"/>
      <c r="H49" s="84"/>
    </row>
    <row r="50" spans="1:10" ht="13" x14ac:dyDescent="0.3">
      <c r="A50" s="126" t="s">
        <v>197</v>
      </c>
      <c r="B50" s="84"/>
      <c r="C50" s="84"/>
      <c r="D50" s="84"/>
      <c r="E50" s="84"/>
      <c r="F50" s="84"/>
      <c r="G50" s="84"/>
      <c r="H50" s="84"/>
    </row>
    <row r="51" spans="1:10" ht="13" x14ac:dyDescent="0.3">
      <c r="A51" s="126" t="s">
        <v>198</v>
      </c>
      <c r="B51" s="84"/>
      <c r="C51" s="84"/>
      <c r="D51" s="84"/>
      <c r="E51" s="84"/>
      <c r="F51" s="84"/>
      <c r="G51" s="84"/>
      <c r="H51" s="84"/>
    </row>
    <row r="52" spans="1:10" ht="13" x14ac:dyDescent="0.3">
      <c r="A52" s="126" t="s">
        <v>199</v>
      </c>
      <c r="B52" s="84"/>
      <c r="C52" s="84"/>
      <c r="D52" s="84"/>
      <c r="E52" s="84"/>
      <c r="F52" s="84"/>
      <c r="G52" s="84"/>
      <c r="H52" s="84"/>
    </row>
    <row r="53" spans="1:10" ht="13" x14ac:dyDescent="0.3">
      <c r="A53" s="126" t="s">
        <v>200</v>
      </c>
      <c r="B53" s="84"/>
      <c r="C53" s="84"/>
      <c r="D53" s="84"/>
      <c r="E53" s="84"/>
      <c r="F53" s="84"/>
      <c r="G53" s="84"/>
      <c r="H53" s="84"/>
    </row>
    <row r="54" spans="1:10" ht="14" x14ac:dyDescent="0.3">
      <c r="A54" s="209" t="s">
        <v>249</v>
      </c>
      <c r="B54" s="209" t="s">
        <v>184</v>
      </c>
      <c r="C54" s="209" t="s">
        <v>185</v>
      </c>
      <c r="D54" s="209" t="s">
        <v>186</v>
      </c>
      <c r="E54" s="209" t="s">
        <v>187</v>
      </c>
      <c r="F54" s="209" t="s">
        <v>188</v>
      </c>
      <c r="G54" s="209" t="s">
        <v>358</v>
      </c>
      <c r="H54" s="209" t="s">
        <v>201</v>
      </c>
      <c r="I54" s="210" t="s">
        <v>213</v>
      </c>
    </row>
    <row r="55" spans="1:10" ht="13" x14ac:dyDescent="0.3">
      <c r="A55" s="126" t="s">
        <v>192</v>
      </c>
      <c r="B55" s="143"/>
      <c r="C55" s="84"/>
      <c r="D55" s="84"/>
      <c r="E55" s="84"/>
      <c r="F55" s="84"/>
      <c r="G55" s="84"/>
      <c r="H55" s="134"/>
      <c r="I55" s="84"/>
    </row>
    <row r="56" spans="1:10" ht="13" x14ac:dyDescent="0.3">
      <c r="A56" s="126" t="s">
        <v>193</v>
      </c>
      <c r="B56" s="84"/>
      <c r="C56" s="84"/>
      <c r="D56" s="84"/>
      <c r="E56" s="84"/>
      <c r="F56" s="84"/>
      <c r="G56" s="84"/>
      <c r="H56" s="84"/>
    </row>
    <row r="57" spans="1:10" ht="13" x14ac:dyDescent="0.3">
      <c r="A57" s="126" t="s">
        <v>194</v>
      </c>
      <c r="B57" s="84"/>
      <c r="C57" s="84"/>
      <c r="D57" s="84"/>
      <c r="E57" s="84"/>
      <c r="F57" s="84"/>
      <c r="G57" s="84"/>
      <c r="H57" s="84"/>
      <c r="J57" t="e">
        <f>AVERAGE(E55:E57)</f>
        <v>#DIV/0!</v>
      </c>
    </row>
    <row r="58" spans="1:10" ht="13" x14ac:dyDescent="0.3">
      <c r="A58" s="126" t="s">
        <v>195</v>
      </c>
      <c r="B58" s="84"/>
      <c r="C58" s="84"/>
      <c r="D58" s="84"/>
      <c r="E58" s="84"/>
      <c r="F58" s="84"/>
      <c r="G58" s="84"/>
      <c r="H58" s="84"/>
    </row>
    <row r="59" spans="1:10" ht="13" x14ac:dyDescent="0.3">
      <c r="A59" s="126" t="s">
        <v>196</v>
      </c>
      <c r="B59" s="84"/>
      <c r="C59" s="84"/>
      <c r="D59" s="84"/>
      <c r="E59" s="84"/>
      <c r="F59" s="84"/>
      <c r="G59" s="84"/>
      <c r="H59" s="84"/>
    </row>
    <row r="60" spans="1:10" ht="14" x14ac:dyDescent="0.3">
      <c r="A60" s="209" t="s">
        <v>250</v>
      </c>
      <c r="B60" s="209" t="s">
        <v>184</v>
      </c>
      <c r="C60" s="209" t="s">
        <v>185</v>
      </c>
      <c r="D60" s="209" t="s">
        <v>186</v>
      </c>
      <c r="E60" s="209" t="s">
        <v>187</v>
      </c>
      <c r="F60" s="209" t="s">
        <v>188</v>
      </c>
      <c r="G60" s="209" t="s">
        <v>358</v>
      </c>
      <c r="H60" s="209" t="s">
        <v>201</v>
      </c>
      <c r="I60" s="210" t="s">
        <v>213</v>
      </c>
    </row>
    <row r="61" spans="1:10" ht="13" x14ac:dyDescent="0.3">
      <c r="A61" s="126" t="s">
        <v>192</v>
      </c>
      <c r="B61" s="143"/>
      <c r="C61" s="84"/>
      <c r="D61" s="84"/>
      <c r="E61" s="84"/>
      <c r="F61" s="84"/>
      <c r="G61" s="84"/>
      <c r="H61" s="134"/>
      <c r="I61" s="84"/>
    </row>
    <row r="62" spans="1:10" ht="13" x14ac:dyDescent="0.3">
      <c r="A62" s="126" t="s">
        <v>193</v>
      </c>
      <c r="B62" s="84"/>
      <c r="C62" s="84"/>
      <c r="D62" s="84"/>
      <c r="E62" s="84"/>
      <c r="F62" s="84"/>
      <c r="G62" s="84"/>
      <c r="H62" s="84"/>
      <c r="J62" t="e">
        <f>AVERAGE(E61:E63)</f>
        <v>#DIV/0!</v>
      </c>
    </row>
    <row r="63" spans="1:10" ht="13" x14ac:dyDescent="0.3">
      <c r="A63" s="126" t="s">
        <v>194</v>
      </c>
      <c r="B63" s="84"/>
      <c r="C63" s="84"/>
      <c r="D63" s="84"/>
      <c r="E63" s="84"/>
      <c r="F63" s="84"/>
      <c r="G63" s="84"/>
      <c r="H63" s="84"/>
    </row>
    <row r="64" spans="1:10" ht="13" x14ac:dyDescent="0.3">
      <c r="A64" s="126" t="s">
        <v>195</v>
      </c>
      <c r="B64" s="84"/>
      <c r="C64" s="84"/>
      <c r="D64" s="84"/>
      <c r="E64" s="84"/>
      <c r="F64" s="84"/>
      <c r="G64" s="84"/>
      <c r="H64" s="84"/>
    </row>
    <row r="65" spans="1:10" ht="14" x14ac:dyDescent="0.3">
      <c r="A65" s="209" t="s">
        <v>251</v>
      </c>
      <c r="B65" s="209" t="s">
        <v>184</v>
      </c>
      <c r="C65" s="209" t="s">
        <v>185</v>
      </c>
      <c r="D65" s="209" t="s">
        <v>186</v>
      </c>
      <c r="E65" s="209" t="s">
        <v>187</v>
      </c>
      <c r="F65" s="209" t="s">
        <v>188</v>
      </c>
      <c r="G65" s="209" t="s">
        <v>358</v>
      </c>
      <c r="H65" s="209" t="s">
        <v>201</v>
      </c>
      <c r="I65" s="210" t="s">
        <v>213</v>
      </c>
    </row>
    <row r="66" spans="1:10" ht="13" x14ac:dyDescent="0.3">
      <c r="A66" s="126" t="s">
        <v>192</v>
      </c>
      <c r="B66" s="255"/>
      <c r="C66" s="84"/>
      <c r="D66" s="84"/>
      <c r="E66" s="84"/>
      <c r="F66" s="84"/>
      <c r="G66" s="84"/>
      <c r="H66" s="134"/>
      <c r="I66" s="84"/>
    </row>
    <row r="67" spans="1:10" ht="13" x14ac:dyDescent="0.3">
      <c r="A67" s="126" t="s">
        <v>193</v>
      </c>
      <c r="B67" s="84"/>
      <c r="C67" s="84"/>
      <c r="D67" s="84"/>
      <c r="E67" s="84"/>
      <c r="F67" s="84"/>
      <c r="G67" s="84"/>
      <c r="H67" s="84"/>
      <c r="J67" t="e">
        <f>AVERAGE(E66:E68)</f>
        <v>#DIV/0!</v>
      </c>
    </row>
    <row r="68" spans="1:10" ht="13" x14ac:dyDescent="0.3">
      <c r="A68" s="126" t="s">
        <v>194</v>
      </c>
      <c r="B68" s="84"/>
      <c r="C68" s="84"/>
      <c r="D68" s="84"/>
      <c r="E68" s="84"/>
      <c r="F68" s="84"/>
      <c r="G68" s="84"/>
      <c r="H68" s="84"/>
    </row>
    <row r="69" spans="1:10" ht="13" x14ac:dyDescent="0.3">
      <c r="A69" s="126" t="s">
        <v>195</v>
      </c>
      <c r="B69" s="84"/>
      <c r="C69" s="84"/>
      <c r="D69" s="84"/>
      <c r="E69" s="84"/>
      <c r="F69" s="84"/>
      <c r="G69" s="84"/>
      <c r="H69" s="84"/>
    </row>
    <row r="70" spans="1:10" ht="13" x14ac:dyDescent="0.3">
      <c r="A70" s="126" t="s">
        <v>196</v>
      </c>
      <c r="B70" s="84"/>
      <c r="C70" s="84"/>
      <c r="D70" s="84"/>
      <c r="E70" s="84"/>
      <c r="F70" s="84"/>
      <c r="G70" s="84"/>
      <c r="H70" s="84"/>
    </row>
    <row r="71" spans="1:10" ht="13" x14ac:dyDescent="0.3">
      <c r="A71" s="126" t="s">
        <v>197</v>
      </c>
      <c r="B71" s="84"/>
      <c r="C71" s="84"/>
      <c r="D71" s="84"/>
      <c r="E71" s="84"/>
      <c r="F71" s="84"/>
      <c r="G71" s="84"/>
      <c r="H71" s="84"/>
    </row>
  </sheetData>
  <mergeCells count="6">
    <mergeCell ref="A27:B27"/>
    <mergeCell ref="D27:E27"/>
    <mergeCell ref="H27:I27"/>
    <mergeCell ref="E30:G30"/>
    <mergeCell ref="H34:I34"/>
    <mergeCell ref="B30:C30"/>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R72"/>
  <sheetViews>
    <sheetView workbookViewId="0">
      <selection activeCell="F5" sqref="F5:F19"/>
    </sheetView>
  </sheetViews>
  <sheetFormatPr defaultRowHeight="12.5" x14ac:dyDescent="0.25"/>
  <cols>
    <col min="1" max="1" width="16.54296875" customWidth="1"/>
    <col min="2" max="2" width="10.54296875" bestFit="1" customWidth="1"/>
    <col min="4" max="4" width="10.08984375" customWidth="1"/>
    <col min="8" max="8" width="10.453125" customWidth="1"/>
    <col min="9" max="9" width="13.36328125" customWidth="1"/>
    <col min="10" max="10" width="12.08984375" customWidth="1"/>
    <col min="11" max="11" width="25.08984375" customWidth="1"/>
    <col min="12" max="12" width="15.54296875" customWidth="1"/>
  </cols>
  <sheetData>
    <row r="2" spans="1:18" ht="14" x14ac:dyDescent="0.3">
      <c r="A2" s="135" t="s">
        <v>273</v>
      </c>
      <c r="K2" s="189" t="s">
        <v>281</v>
      </c>
      <c r="L2" s="189" t="s">
        <v>283</v>
      </c>
      <c r="N2" s="189" t="s">
        <v>321</v>
      </c>
      <c r="R2" s="6">
        <v>5.5</v>
      </c>
    </row>
    <row r="3" spans="1:18" ht="13" x14ac:dyDescent="0.3">
      <c r="A3" s="1" t="s">
        <v>180</v>
      </c>
      <c r="B3" s="155">
        <v>40358</v>
      </c>
      <c r="K3" s="84" t="s">
        <v>291</v>
      </c>
      <c r="L3" s="540">
        <v>2</v>
      </c>
      <c r="N3" s="189" t="s">
        <v>320</v>
      </c>
      <c r="R3" s="6">
        <v>11</v>
      </c>
    </row>
    <row r="4" spans="1:18" ht="13" x14ac:dyDescent="0.3">
      <c r="A4" s="210" t="s">
        <v>23</v>
      </c>
      <c r="B4" s="210" t="s">
        <v>184</v>
      </c>
      <c r="C4" s="210" t="s">
        <v>185</v>
      </c>
      <c r="D4" s="210" t="s">
        <v>186</v>
      </c>
      <c r="E4" s="210" t="s">
        <v>187</v>
      </c>
      <c r="F4" s="210" t="s">
        <v>188</v>
      </c>
      <c r="G4" s="210" t="s">
        <v>407</v>
      </c>
      <c r="K4" s="189" t="s">
        <v>282</v>
      </c>
      <c r="L4" s="424">
        <v>12</v>
      </c>
      <c r="N4" s="189" t="s">
        <v>317</v>
      </c>
      <c r="R4" s="6">
        <v>4</v>
      </c>
    </row>
    <row r="5" spans="1:18" ht="13" x14ac:dyDescent="0.3">
      <c r="A5" s="94" t="s">
        <v>189</v>
      </c>
      <c r="B5" s="548">
        <v>0.36944444444444446</v>
      </c>
      <c r="C5" s="431">
        <v>0.71</v>
      </c>
      <c r="D5" s="431">
        <v>8.5500000000000007</v>
      </c>
      <c r="E5" s="431">
        <v>14.1</v>
      </c>
      <c r="F5" s="431">
        <v>8.14</v>
      </c>
      <c r="G5" s="431">
        <v>3.16</v>
      </c>
      <c r="H5" s="92"/>
      <c r="K5" s="189" t="s">
        <v>284</v>
      </c>
      <c r="L5" s="424">
        <v>23</v>
      </c>
      <c r="N5" s="189" t="s">
        <v>318</v>
      </c>
      <c r="R5" s="6">
        <v>6</v>
      </c>
    </row>
    <row r="6" spans="1:18" ht="13" x14ac:dyDescent="0.3">
      <c r="A6" s="94" t="s">
        <v>190</v>
      </c>
      <c r="B6" s="548">
        <v>0.38055555555555554</v>
      </c>
      <c r="C6" s="431">
        <v>0.19</v>
      </c>
      <c r="D6" s="431">
        <v>9.11</v>
      </c>
      <c r="E6" s="431">
        <v>15</v>
      </c>
      <c r="F6" s="431">
        <v>8.42</v>
      </c>
      <c r="G6" s="431">
        <v>3.82</v>
      </c>
      <c r="H6" s="92"/>
      <c r="K6" s="189" t="s">
        <v>285</v>
      </c>
      <c r="L6" s="539" t="s">
        <v>384</v>
      </c>
      <c r="N6" s="189" t="s">
        <v>357</v>
      </c>
      <c r="R6" s="6">
        <v>6.53</v>
      </c>
    </row>
    <row r="7" spans="1:18" ht="13" x14ac:dyDescent="0.3">
      <c r="A7" s="94" t="s">
        <v>191</v>
      </c>
      <c r="B7" s="548">
        <v>0.3972222222222222</v>
      </c>
      <c r="C7" s="431">
        <v>0.27400000000000002</v>
      </c>
      <c r="D7" s="431">
        <v>7.27</v>
      </c>
      <c r="E7" s="431">
        <v>19.3</v>
      </c>
      <c r="F7" s="431">
        <v>8.25</v>
      </c>
      <c r="G7" s="431">
        <v>3.81</v>
      </c>
      <c r="H7" s="92"/>
      <c r="K7" s="189" t="s">
        <v>286</v>
      </c>
      <c r="L7" s="291">
        <v>33</v>
      </c>
      <c r="N7" s="189" t="s">
        <v>319</v>
      </c>
      <c r="R7" s="6">
        <v>6.5</v>
      </c>
    </row>
    <row r="8" spans="1:18" ht="14" x14ac:dyDescent="0.3">
      <c r="A8" s="94" t="s">
        <v>229</v>
      </c>
      <c r="B8" s="728"/>
      <c r="C8" s="319"/>
      <c r="D8" s="319"/>
      <c r="E8" s="319"/>
      <c r="F8" s="320"/>
      <c r="G8" s="542"/>
      <c r="H8" s="209" t="s">
        <v>201</v>
      </c>
      <c r="I8" s="210" t="s">
        <v>213</v>
      </c>
      <c r="K8" s="422" t="s">
        <v>288</v>
      </c>
      <c r="L8" s="291" t="s">
        <v>385</v>
      </c>
    </row>
    <row r="9" spans="1:18" ht="13" x14ac:dyDescent="0.3">
      <c r="A9" s="126" t="s">
        <v>192</v>
      </c>
      <c r="B9" s="143">
        <v>0.42708333333333331</v>
      </c>
      <c r="C9" s="431">
        <v>0.27400000000000002</v>
      </c>
      <c r="D9" s="431">
        <v>6.7</v>
      </c>
      <c r="E9" s="431">
        <v>19</v>
      </c>
      <c r="F9" s="431">
        <v>8.09</v>
      </c>
      <c r="G9" s="431">
        <v>2.14</v>
      </c>
      <c r="H9" s="512">
        <v>2.8</v>
      </c>
      <c r="I9" s="546">
        <v>11</v>
      </c>
      <c r="K9" s="422" t="s">
        <v>292</v>
      </c>
      <c r="L9" s="291">
        <v>50</v>
      </c>
    </row>
    <row r="10" spans="1:18" ht="13" x14ac:dyDescent="0.3">
      <c r="A10" s="126" t="s">
        <v>193</v>
      </c>
      <c r="B10" s="431"/>
      <c r="C10" s="431">
        <v>0.27300000000000002</v>
      </c>
      <c r="D10" s="431">
        <v>6.47</v>
      </c>
      <c r="E10" s="431">
        <v>18.399999999999999</v>
      </c>
      <c r="F10" s="431">
        <v>8.0399999999999991</v>
      </c>
      <c r="G10" s="431">
        <v>2.63</v>
      </c>
      <c r="H10" s="431"/>
      <c r="I10" s="6"/>
      <c r="K10" s="422"/>
      <c r="L10" s="291"/>
    </row>
    <row r="11" spans="1:18" ht="13" x14ac:dyDescent="0.3">
      <c r="A11" s="126" t="s">
        <v>194</v>
      </c>
      <c r="B11" s="431"/>
      <c r="C11" s="431">
        <v>0.27300000000000002</v>
      </c>
      <c r="D11" s="431">
        <v>6.41</v>
      </c>
      <c r="E11" s="431">
        <v>18.7</v>
      </c>
      <c r="F11" s="431">
        <v>8.01</v>
      </c>
      <c r="G11" s="431">
        <v>2.44</v>
      </c>
      <c r="H11" s="431"/>
      <c r="I11" s="6"/>
      <c r="K11" s="426" t="s">
        <v>417</v>
      </c>
    </row>
    <row r="12" spans="1:18" ht="13" x14ac:dyDescent="0.3">
      <c r="A12" s="126" t="s">
        <v>195</v>
      </c>
      <c r="B12" s="6"/>
      <c r="C12" s="431">
        <v>0.249</v>
      </c>
      <c r="D12" s="431">
        <v>6.42</v>
      </c>
      <c r="E12" s="431">
        <v>18.399999999999999</v>
      </c>
      <c r="F12" s="431">
        <v>7.93</v>
      </c>
      <c r="G12" s="431">
        <v>2.41</v>
      </c>
      <c r="H12" s="431"/>
      <c r="I12" s="6"/>
      <c r="J12" s="6">
        <f>AVERAGE(E9:E19)</f>
        <v>18.118181818181821</v>
      </c>
    </row>
    <row r="13" spans="1:18" ht="13" x14ac:dyDescent="0.3">
      <c r="A13" s="126" t="s">
        <v>196</v>
      </c>
      <c r="B13" s="431"/>
      <c r="C13" s="431">
        <v>0.27400000000000002</v>
      </c>
      <c r="D13" s="431">
        <v>6.2</v>
      </c>
      <c r="E13" s="431">
        <v>18.3</v>
      </c>
      <c r="F13" s="431">
        <v>7.92</v>
      </c>
      <c r="G13" s="431">
        <v>2.34</v>
      </c>
      <c r="H13" s="431"/>
      <c r="I13" s="6"/>
      <c r="J13" s="6">
        <f>AVERAGE(E9:E11)</f>
        <v>18.7</v>
      </c>
    </row>
    <row r="14" spans="1:18" ht="13" x14ac:dyDescent="0.3">
      <c r="A14" s="126" t="s">
        <v>197</v>
      </c>
      <c r="B14" s="431"/>
      <c r="C14" s="431">
        <v>0.27500000000000002</v>
      </c>
      <c r="D14" s="431">
        <v>5.92</v>
      </c>
      <c r="E14" s="431">
        <v>18.2</v>
      </c>
      <c r="F14" s="431">
        <v>7.91</v>
      </c>
      <c r="G14" s="431">
        <v>2.29</v>
      </c>
      <c r="H14" s="431"/>
      <c r="I14" s="6"/>
      <c r="J14" s="6">
        <f>AVERAGE(D9:D19)</f>
        <v>6.0027272727272729</v>
      </c>
    </row>
    <row r="15" spans="1:18" ht="13" x14ac:dyDescent="0.3">
      <c r="A15" s="126" t="s">
        <v>198</v>
      </c>
      <c r="B15" s="431"/>
      <c r="C15" s="431">
        <v>0.28199999999999997</v>
      </c>
      <c r="D15" s="431">
        <v>5.94</v>
      </c>
      <c r="E15" s="431">
        <v>18.100000000000001</v>
      </c>
      <c r="F15" s="431">
        <v>7.88</v>
      </c>
      <c r="G15" s="431">
        <v>2.2000000000000002</v>
      </c>
      <c r="H15" s="431"/>
      <c r="I15" s="6"/>
      <c r="J15" s="6">
        <f>AVERAGE(D9:D11)</f>
        <v>6.5266666666666664</v>
      </c>
    </row>
    <row r="16" spans="1:18" ht="13" x14ac:dyDescent="0.3">
      <c r="A16" s="126" t="s">
        <v>199</v>
      </c>
      <c r="B16" s="431"/>
      <c r="C16" s="431">
        <v>0.27800000000000002</v>
      </c>
      <c r="D16" s="431">
        <v>5.9</v>
      </c>
      <c r="E16" s="431">
        <v>17.899999999999999</v>
      </c>
      <c r="F16" s="431">
        <v>7.86</v>
      </c>
      <c r="G16" s="431">
        <v>2.14</v>
      </c>
      <c r="H16" s="431"/>
      <c r="I16" s="6"/>
      <c r="J16" s="6">
        <f>AVERAGE(D9:D12)</f>
        <v>6.5</v>
      </c>
    </row>
    <row r="17" spans="1:16" ht="13" x14ac:dyDescent="0.3">
      <c r="A17" s="126" t="s">
        <v>200</v>
      </c>
      <c r="B17" s="431"/>
      <c r="C17" s="431">
        <v>0.28100000000000003</v>
      </c>
      <c r="D17" s="431">
        <v>5.65</v>
      </c>
      <c r="E17" s="547">
        <v>17.8</v>
      </c>
      <c r="F17" s="431">
        <v>7.84</v>
      </c>
      <c r="G17" s="431">
        <v>2.0699999999999998</v>
      </c>
      <c r="H17" s="431"/>
      <c r="I17" s="6"/>
    </row>
    <row r="18" spans="1:16" ht="13" x14ac:dyDescent="0.3">
      <c r="A18" s="126" t="s">
        <v>227</v>
      </c>
      <c r="B18" s="431"/>
      <c r="C18" s="431">
        <v>0.28399999999999997</v>
      </c>
      <c r="D18" s="431">
        <v>5.47</v>
      </c>
      <c r="E18" s="431">
        <v>17.5</v>
      </c>
      <c r="F18" s="431">
        <v>7.83</v>
      </c>
      <c r="G18" s="431">
        <v>2.0299999999999998</v>
      </c>
      <c r="H18" s="431"/>
      <c r="I18" s="6"/>
    </row>
    <row r="19" spans="1:16" ht="13" x14ac:dyDescent="0.3">
      <c r="A19" s="126" t="s">
        <v>228</v>
      </c>
      <c r="B19" s="431"/>
      <c r="C19" s="431">
        <v>0.28799999999999998</v>
      </c>
      <c r="D19" s="547">
        <v>4.95</v>
      </c>
      <c r="E19" s="431">
        <v>17</v>
      </c>
      <c r="F19" s="431">
        <v>7.74</v>
      </c>
      <c r="G19" s="431">
        <v>1.9</v>
      </c>
      <c r="H19" s="431"/>
      <c r="I19" s="6"/>
    </row>
    <row r="20" spans="1:16" ht="13" x14ac:dyDescent="0.3">
      <c r="A20" s="208"/>
      <c r="B20" s="92"/>
      <c r="C20" s="92"/>
      <c r="E20" s="92"/>
      <c r="F20" s="92"/>
      <c r="G20" s="92"/>
      <c r="H20" s="92"/>
    </row>
    <row r="21" spans="1:16" ht="13" x14ac:dyDescent="0.3">
      <c r="A21" s="126" t="s">
        <v>230</v>
      </c>
      <c r="B21" s="143">
        <v>0.40763888888888888</v>
      </c>
      <c r="C21" s="84">
        <v>1.25</v>
      </c>
      <c r="D21" s="84">
        <v>7.6</v>
      </c>
      <c r="E21" s="84">
        <v>14.7</v>
      </c>
      <c r="F21" s="84">
        <v>8.2799999999999994</v>
      </c>
      <c r="G21" s="84">
        <v>2.97</v>
      </c>
      <c r="H21" s="84" t="s">
        <v>416</v>
      </c>
    </row>
    <row r="22" spans="1:16" ht="13" x14ac:dyDescent="0.3">
      <c r="A22" s="227" t="s">
        <v>231</v>
      </c>
      <c r="B22" s="143">
        <v>0.41180555555555554</v>
      </c>
      <c r="C22" s="84">
        <v>1.25</v>
      </c>
      <c r="D22" s="84">
        <v>8.25</v>
      </c>
      <c r="E22" s="84">
        <v>16.5</v>
      </c>
      <c r="F22" s="84">
        <v>8.51</v>
      </c>
      <c r="G22" s="84">
        <v>2.46</v>
      </c>
      <c r="H22" s="84" t="s">
        <v>416</v>
      </c>
    </row>
    <row r="23" spans="1:16" x14ac:dyDescent="0.25">
      <c r="A23" s="131" t="s">
        <v>11</v>
      </c>
      <c r="B23" s="228" t="s">
        <v>408</v>
      </c>
      <c r="C23" s="218"/>
      <c r="D23" s="228"/>
      <c r="E23" s="132"/>
      <c r="F23" s="132"/>
      <c r="G23" s="132"/>
      <c r="H23" s="132"/>
    </row>
    <row r="24" spans="1:16" x14ac:dyDescent="0.25">
      <c r="A24" s="144"/>
      <c r="B24" s="229" t="s">
        <v>409</v>
      </c>
      <c r="C24" s="144"/>
      <c r="D24" s="229"/>
      <c r="E24" s="133"/>
      <c r="F24" s="133"/>
      <c r="G24" s="483"/>
      <c r="H24" s="133"/>
    </row>
    <row r="25" spans="1:16" x14ac:dyDescent="0.25">
      <c r="A25" s="144"/>
      <c r="B25" s="483" t="s">
        <v>410</v>
      </c>
      <c r="C25" s="133"/>
      <c r="D25" s="133"/>
      <c r="E25" s="133"/>
      <c r="F25" s="133"/>
      <c r="G25" s="483"/>
      <c r="H25" s="133"/>
    </row>
    <row r="26" spans="1:16" ht="15.5" x14ac:dyDescent="0.35">
      <c r="A26" s="164" t="s">
        <v>180</v>
      </c>
      <c r="B26" s="155">
        <v>40358</v>
      </c>
      <c r="C26" s="167"/>
      <c r="D26" s="164"/>
      <c r="E26" s="167"/>
      <c r="F26" s="167"/>
      <c r="G26" s="167"/>
      <c r="H26" s="168"/>
      <c r="I26" s="136"/>
    </row>
    <row r="27" spans="1:16" ht="15.5" x14ac:dyDescent="0.35">
      <c r="A27" s="860" t="s">
        <v>130</v>
      </c>
      <c r="B27" s="860"/>
      <c r="C27" s="222"/>
      <c r="D27" s="860" t="s">
        <v>133</v>
      </c>
      <c r="E27" s="860"/>
      <c r="F27" s="137"/>
      <c r="G27" s="137"/>
      <c r="H27" s="859" t="s">
        <v>34</v>
      </c>
      <c r="I27" s="859"/>
    </row>
    <row r="28" spans="1:16" ht="15.5" x14ac:dyDescent="0.35">
      <c r="A28" s="162" t="s">
        <v>184</v>
      </c>
      <c r="B28" s="549">
        <v>0.36944444444444446</v>
      </c>
      <c r="C28" s="223"/>
      <c r="D28" s="162" t="s">
        <v>184</v>
      </c>
      <c r="E28" s="224">
        <v>0.38055555555555554</v>
      </c>
      <c r="F28" s="224"/>
      <c r="G28" s="396"/>
      <c r="H28" s="162" t="s">
        <v>184</v>
      </c>
      <c r="I28" s="224">
        <v>0.39652777777777781</v>
      </c>
    </row>
    <row r="29" spans="1:16" ht="16" thickBot="1" x14ac:dyDescent="0.4">
      <c r="A29" s="162" t="s">
        <v>202</v>
      </c>
      <c r="B29" s="225">
        <v>12</v>
      </c>
      <c r="C29" s="225"/>
      <c r="D29" s="162" t="s">
        <v>202</v>
      </c>
      <c r="E29" s="226">
        <v>20</v>
      </c>
      <c r="F29" s="226"/>
      <c r="G29" s="399"/>
      <c r="H29" s="162" t="s">
        <v>202</v>
      </c>
      <c r="I29" s="226">
        <v>50</v>
      </c>
    </row>
    <row r="30" spans="1:16" ht="16" thickBot="1" x14ac:dyDescent="0.3">
      <c r="A30" s="165" t="s">
        <v>203</v>
      </c>
      <c r="B30" s="861" t="s">
        <v>411</v>
      </c>
      <c r="C30" s="861"/>
      <c r="D30" s="163" t="s">
        <v>203</v>
      </c>
      <c r="E30" s="854" t="s">
        <v>412</v>
      </c>
      <c r="F30" s="854"/>
      <c r="G30" s="486"/>
      <c r="H30" s="163" t="s">
        <v>203</v>
      </c>
      <c r="I30" s="166" t="s">
        <v>413</v>
      </c>
    </row>
    <row r="31" spans="1:16" ht="23" x14ac:dyDescent="0.25">
      <c r="A31" s="159" t="s">
        <v>204</v>
      </c>
      <c r="B31" s="159" t="s">
        <v>205</v>
      </c>
      <c r="C31" s="161" t="s">
        <v>206</v>
      </c>
      <c r="D31" s="159" t="s">
        <v>204</v>
      </c>
      <c r="E31" s="159" t="s">
        <v>205</v>
      </c>
      <c r="F31" s="161" t="s">
        <v>206</v>
      </c>
      <c r="G31" s="161"/>
      <c r="H31" s="159" t="s">
        <v>205</v>
      </c>
      <c r="I31" s="161" t="s">
        <v>206</v>
      </c>
      <c r="L31" s="141" t="s">
        <v>204</v>
      </c>
      <c r="M31" s="141" t="s">
        <v>205</v>
      </c>
      <c r="N31" s="142" t="s">
        <v>206</v>
      </c>
      <c r="O31" s="141" t="s">
        <v>207</v>
      </c>
      <c r="P31" s="142" t="s">
        <v>208</v>
      </c>
    </row>
    <row r="32" spans="1:16" ht="15.5" x14ac:dyDescent="0.35">
      <c r="A32" s="160">
        <v>0</v>
      </c>
      <c r="B32" s="138">
        <v>0.55000000000000004</v>
      </c>
      <c r="C32" s="138">
        <v>0.32</v>
      </c>
      <c r="D32" s="160">
        <v>2</v>
      </c>
      <c r="E32" s="138">
        <v>0.85</v>
      </c>
      <c r="F32" s="138">
        <v>0.49</v>
      </c>
      <c r="G32" s="138">
        <v>4.32</v>
      </c>
      <c r="H32" s="138">
        <v>0.45</v>
      </c>
      <c r="I32" s="139">
        <v>3.02</v>
      </c>
      <c r="J32" s="550">
        <v>70.7</v>
      </c>
      <c r="L32" s="138">
        <v>2</v>
      </c>
      <c r="M32" s="138">
        <v>0.45</v>
      </c>
      <c r="N32" s="139">
        <v>3.02</v>
      </c>
      <c r="O32" s="138">
        <f>M32*50</f>
        <v>22.5</v>
      </c>
      <c r="P32" s="139">
        <f t="shared" ref="P32:P40" si="0">N32*O32</f>
        <v>67.95</v>
      </c>
    </row>
    <row r="33" spans="1:16" ht="15.5" x14ac:dyDescent="0.35">
      <c r="A33" s="160">
        <v>2</v>
      </c>
      <c r="B33" s="138">
        <v>0.45</v>
      </c>
      <c r="C33" s="139">
        <v>0.37</v>
      </c>
      <c r="D33" s="160">
        <v>4</v>
      </c>
      <c r="E33" s="138">
        <v>1.7</v>
      </c>
      <c r="F33" s="138">
        <v>1.43</v>
      </c>
      <c r="G33" s="138"/>
      <c r="H33" s="138"/>
      <c r="I33" s="139"/>
      <c r="L33" s="138">
        <v>4</v>
      </c>
      <c r="M33" s="138"/>
      <c r="N33" s="138"/>
      <c r="O33" s="138">
        <f>M33*2</f>
        <v>0</v>
      </c>
      <c r="P33" s="139">
        <f t="shared" si="0"/>
        <v>0</v>
      </c>
    </row>
    <row r="34" spans="1:16" ht="15.5" x14ac:dyDescent="0.35">
      <c r="A34" s="160">
        <v>4</v>
      </c>
      <c r="B34" s="138">
        <v>0.6</v>
      </c>
      <c r="C34" s="138">
        <v>0.3</v>
      </c>
      <c r="D34" s="160">
        <v>6</v>
      </c>
      <c r="E34" s="138">
        <v>1.45</v>
      </c>
      <c r="F34" s="138">
        <v>1.5</v>
      </c>
      <c r="G34" s="477"/>
      <c r="H34" s="850" t="s">
        <v>214</v>
      </c>
      <c r="I34" s="851"/>
      <c r="L34" s="138">
        <v>6</v>
      </c>
      <c r="M34" s="138"/>
      <c r="N34" s="138"/>
      <c r="O34" s="138">
        <f>M34*2</f>
        <v>0</v>
      </c>
      <c r="P34" s="139">
        <f t="shared" si="0"/>
        <v>0</v>
      </c>
    </row>
    <row r="35" spans="1:16" ht="15.5" x14ac:dyDescent="0.35">
      <c r="A35" s="160">
        <v>6</v>
      </c>
      <c r="B35" s="138">
        <v>0.72</v>
      </c>
      <c r="C35" s="138">
        <v>2.63</v>
      </c>
      <c r="D35" s="160">
        <v>8</v>
      </c>
      <c r="E35" s="138">
        <v>1.45</v>
      </c>
      <c r="F35" s="138">
        <v>2.56</v>
      </c>
      <c r="G35" s="138"/>
      <c r="H35" s="138" t="s">
        <v>414</v>
      </c>
      <c r="I35" s="139">
        <v>0.75</v>
      </c>
      <c r="J35" s="551">
        <v>0.74</v>
      </c>
      <c r="L35" s="138">
        <v>8</v>
      </c>
      <c r="M35" s="138"/>
      <c r="N35" s="138"/>
      <c r="O35" s="138">
        <f>M35*3</f>
        <v>0</v>
      </c>
      <c r="P35" s="139">
        <f t="shared" si="0"/>
        <v>0</v>
      </c>
    </row>
    <row r="36" spans="1:16" ht="15.5" x14ac:dyDescent="0.35">
      <c r="A36" s="160">
        <v>8</v>
      </c>
      <c r="B36" s="138">
        <v>0.78</v>
      </c>
      <c r="C36" s="138">
        <v>1.29</v>
      </c>
      <c r="D36" s="160">
        <v>10</v>
      </c>
      <c r="E36" s="230">
        <v>1.45</v>
      </c>
      <c r="F36" s="138">
        <v>1.24</v>
      </c>
      <c r="G36" s="138"/>
      <c r="H36" s="138"/>
      <c r="I36" s="139"/>
      <c r="J36" s="6"/>
      <c r="L36" s="138">
        <v>10</v>
      </c>
      <c r="M36" s="230"/>
      <c r="N36" s="138"/>
      <c r="O36" s="138">
        <f>M36*2</f>
        <v>0</v>
      </c>
      <c r="P36" s="139">
        <f t="shared" si="0"/>
        <v>0</v>
      </c>
    </row>
    <row r="37" spans="1:16" ht="15.5" x14ac:dyDescent="0.35">
      <c r="A37" s="160">
        <v>10</v>
      </c>
      <c r="B37" s="138">
        <v>0.55000000000000004</v>
      </c>
      <c r="C37" s="138">
        <v>0.41</v>
      </c>
      <c r="D37" s="160">
        <v>12</v>
      </c>
      <c r="E37" s="138">
        <v>1.4</v>
      </c>
      <c r="F37" s="138">
        <v>2.58</v>
      </c>
      <c r="G37" s="138"/>
      <c r="H37" s="138" t="s">
        <v>215</v>
      </c>
      <c r="I37" s="139"/>
      <c r="J37" s="6"/>
      <c r="L37" s="138">
        <v>12</v>
      </c>
      <c r="M37" s="138"/>
      <c r="N37" s="138"/>
      <c r="O37" s="138">
        <f>M37*2</f>
        <v>0</v>
      </c>
      <c r="P37" s="139">
        <f t="shared" si="0"/>
        <v>0</v>
      </c>
    </row>
    <row r="38" spans="1:16" ht="15.5" x14ac:dyDescent="0.35">
      <c r="A38" s="160">
        <v>12</v>
      </c>
      <c r="B38" s="138"/>
      <c r="C38" s="138"/>
      <c r="D38" s="160">
        <v>14</v>
      </c>
      <c r="E38" s="138">
        <v>1.4</v>
      </c>
      <c r="F38" s="138">
        <v>2.23</v>
      </c>
      <c r="G38" s="478"/>
      <c r="H38" s="138" t="s">
        <v>415</v>
      </c>
      <c r="I38" s="139">
        <v>1.1200000000000001</v>
      </c>
      <c r="J38" s="551">
        <v>0.74</v>
      </c>
      <c r="L38" s="138">
        <v>14</v>
      </c>
      <c r="M38" s="138"/>
      <c r="N38" s="138"/>
      <c r="O38" s="138">
        <f>M38*2</f>
        <v>0</v>
      </c>
      <c r="P38" s="139">
        <f t="shared" si="0"/>
        <v>0</v>
      </c>
    </row>
    <row r="39" spans="1:16" ht="15.5" x14ac:dyDescent="0.35">
      <c r="A39" s="417"/>
      <c r="B39" s="416"/>
      <c r="C39" s="524">
        <v>9.1999999999999993</v>
      </c>
      <c r="D39" s="160">
        <v>16</v>
      </c>
      <c r="E39" s="140">
        <v>1.3</v>
      </c>
      <c r="F39" s="138">
        <v>2.41</v>
      </c>
      <c r="G39" s="416"/>
      <c r="H39" s="416"/>
      <c r="I39" s="418"/>
      <c r="J39" s="6"/>
      <c r="L39" s="138">
        <v>16</v>
      </c>
      <c r="M39" s="140"/>
      <c r="N39" s="138"/>
      <c r="O39" s="138">
        <f>M39*2</f>
        <v>0</v>
      </c>
      <c r="P39" s="139">
        <f t="shared" si="0"/>
        <v>0</v>
      </c>
    </row>
    <row r="40" spans="1:16" ht="15.5" x14ac:dyDescent="0.35">
      <c r="D40" s="160">
        <v>18</v>
      </c>
      <c r="E40" s="140">
        <v>1.05</v>
      </c>
      <c r="F40" s="140">
        <v>2.62</v>
      </c>
      <c r="L40" s="138">
        <v>18</v>
      </c>
      <c r="M40" s="140"/>
      <c r="N40" s="140"/>
      <c r="O40" s="138">
        <f>M40*2</f>
        <v>0</v>
      </c>
      <c r="P40" s="139">
        <f t="shared" si="0"/>
        <v>0</v>
      </c>
    </row>
    <row r="41" spans="1:16" ht="15.5" x14ac:dyDescent="0.35">
      <c r="D41" s="417">
        <v>20</v>
      </c>
      <c r="F41" s="550">
        <v>38.299999999999997</v>
      </c>
      <c r="L41" s="138">
        <v>20</v>
      </c>
      <c r="M41" s="140"/>
      <c r="N41" s="138"/>
      <c r="O41" s="138"/>
      <c r="P41" s="139"/>
    </row>
    <row r="42" spans="1:16" ht="15.5" x14ac:dyDescent="0.35">
      <c r="A42" s="135" t="s">
        <v>232</v>
      </c>
      <c r="C42" s="11" t="s">
        <v>233</v>
      </c>
      <c r="D42" s="155">
        <v>40358</v>
      </c>
      <c r="P42" s="139">
        <f>SUM(P32:P38)</f>
        <v>67.95</v>
      </c>
    </row>
    <row r="43" spans="1:16" ht="15.5" x14ac:dyDescent="0.35">
      <c r="A43" s="209" t="s">
        <v>223</v>
      </c>
      <c r="B43" s="209" t="s">
        <v>184</v>
      </c>
      <c r="C43" s="209" t="s">
        <v>185</v>
      </c>
      <c r="D43" s="541" t="s">
        <v>186</v>
      </c>
      <c r="E43" s="209" t="s">
        <v>187</v>
      </c>
      <c r="F43" s="209" t="s">
        <v>188</v>
      </c>
      <c r="G43" s="210" t="s">
        <v>407</v>
      </c>
      <c r="H43" s="209" t="s">
        <v>201</v>
      </c>
      <c r="I43" s="210" t="s">
        <v>213</v>
      </c>
    </row>
    <row r="44" spans="1:16" ht="13" x14ac:dyDescent="0.3">
      <c r="A44" s="126" t="s">
        <v>192</v>
      </c>
      <c r="B44" s="143">
        <v>0.44027777777777777</v>
      </c>
      <c r="C44" s="84">
        <v>0.27300000000000002</v>
      </c>
      <c r="D44" s="84">
        <v>6.88</v>
      </c>
      <c r="E44" s="84">
        <v>19.100000000000001</v>
      </c>
      <c r="F44" s="429">
        <v>7.82</v>
      </c>
      <c r="G44" s="475">
        <v>2.42</v>
      </c>
      <c r="H44" s="134">
        <v>3</v>
      </c>
      <c r="I44" s="206">
        <v>8.4</v>
      </c>
    </row>
    <row r="45" spans="1:16" ht="13" x14ac:dyDescent="0.3">
      <c r="A45" s="126" t="s">
        <v>193</v>
      </c>
      <c r="B45" s="84"/>
      <c r="C45" s="84">
        <v>0.27300000000000002</v>
      </c>
      <c r="D45" s="84">
        <v>7.75</v>
      </c>
      <c r="E45" s="84">
        <v>18.899999999999999</v>
      </c>
      <c r="F45" s="429">
        <v>7.93</v>
      </c>
      <c r="G45" s="475">
        <v>2.4</v>
      </c>
      <c r="H45" s="84"/>
    </row>
    <row r="46" spans="1:16" ht="13" x14ac:dyDescent="0.3">
      <c r="A46" s="126" t="s">
        <v>194</v>
      </c>
      <c r="B46" s="84"/>
      <c r="C46" s="84">
        <v>0.27300000000000002</v>
      </c>
      <c r="D46" s="84">
        <v>6.63</v>
      </c>
      <c r="E46" s="84">
        <v>18.8</v>
      </c>
      <c r="F46" s="429">
        <v>7.93</v>
      </c>
      <c r="G46" s="475">
        <v>2.36</v>
      </c>
      <c r="H46" s="84"/>
      <c r="J46" s="6">
        <f>AVERAGE(E44:E46)</f>
        <v>18.933333333333334</v>
      </c>
    </row>
    <row r="47" spans="1:16" ht="13" x14ac:dyDescent="0.3">
      <c r="A47" s="126" t="s">
        <v>195</v>
      </c>
      <c r="B47" s="84"/>
      <c r="C47" s="84">
        <v>0.27400000000000002</v>
      </c>
      <c r="D47" s="84">
        <v>6.5</v>
      </c>
      <c r="E47" s="84">
        <v>18.7</v>
      </c>
      <c r="F47" s="429">
        <v>7.92</v>
      </c>
      <c r="G47" s="475">
        <v>2.2799999999999998</v>
      </c>
      <c r="H47" s="84"/>
    </row>
    <row r="48" spans="1:16" ht="13" x14ac:dyDescent="0.3">
      <c r="A48" s="126" t="s">
        <v>196</v>
      </c>
      <c r="B48" s="84"/>
      <c r="C48" s="84">
        <v>0.27600000000000002</v>
      </c>
      <c r="D48" s="84">
        <v>6.43</v>
      </c>
      <c r="E48" s="84">
        <v>18.399999999999999</v>
      </c>
      <c r="F48" s="430">
        <v>7.9</v>
      </c>
      <c r="G48" s="430">
        <v>2.25</v>
      </c>
      <c r="H48" s="189"/>
    </row>
    <row r="49" spans="1:10" ht="13" x14ac:dyDescent="0.3">
      <c r="A49" s="126" t="s">
        <v>197</v>
      </c>
      <c r="B49" s="84"/>
      <c r="C49" s="189">
        <v>0.27700000000000002</v>
      </c>
      <c r="D49" s="84">
        <v>6.1</v>
      </c>
      <c r="E49" s="84">
        <v>18.3</v>
      </c>
      <c r="F49" s="189">
        <v>7.89</v>
      </c>
      <c r="G49" s="189">
        <v>2.2000000000000002</v>
      </c>
      <c r="H49" s="552"/>
    </row>
    <row r="50" spans="1:10" ht="13" x14ac:dyDescent="0.3">
      <c r="A50" s="126" t="s">
        <v>198</v>
      </c>
      <c r="B50" s="189"/>
      <c r="C50" s="189">
        <v>0.27700000000000002</v>
      </c>
      <c r="D50" s="84">
        <v>5.95</v>
      </c>
      <c r="E50" s="84">
        <v>17.8</v>
      </c>
      <c r="F50" s="189">
        <v>7.85</v>
      </c>
      <c r="G50" s="189">
        <v>2.12</v>
      </c>
      <c r="H50" s="552"/>
    </row>
    <row r="51" spans="1:10" s="428" customFormat="1" x14ac:dyDescent="0.25">
      <c r="A51" s="543" t="s">
        <v>199</v>
      </c>
      <c r="B51" s="189"/>
      <c r="C51" s="189">
        <v>0.27800000000000002</v>
      </c>
      <c r="D51" s="189">
        <v>5.54</v>
      </c>
      <c r="E51" s="189">
        <v>17.600000000000001</v>
      </c>
      <c r="F51" s="422">
        <v>7.82</v>
      </c>
      <c r="G51" s="422">
        <v>2.0499999999999998</v>
      </c>
      <c r="H51" s="21"/>
    </row>
    <row r="52" spans="1:10" ht="14" x14ac:dyDescent="0.3">
      <c r="A52" s="209" t="s">
        <v>224</v>
      </c>
      <c r="B52" s="209" t="s">
        <v>184</v>
      </c>
      <c r="C52" s="209" t="s">
        <v>185</v>
      </c>
      <c r="D52" s="209" t="s">
        <v>186</v>
      </c>
      <c r="E52" s="209" t="s">
        <v>187</v>
      </c>
      <c r="F52" s="209" t="s">
        <v>188</v>
      </c>
      <c r="G52" s="209"/>
      <c r="H52" s="209" t="s">
        <v>201</v>
      </c>
      <c r="I52" s="210" t="s">
        <v>213</v>
      </c>
    </row>
    <row r="53" spans="1:10" ht="13" x14ac:dyDescent="0.3">
      <c r="A53" s="126" t="s">
        <v>192</v>
      </c>
      <c r="B53" s="143">
        <v>0.4465277777777778</v>
      </c>
      <c r="C53" s="84">
        <v>0.27300000000000002</v>
      </c>
      <c r="D53" s="84">
        <v>6.88</v>
      </c>
      <c r="E53" s="84">
        <v>18.899999999999999</v>
      </c>
      <c r="F53" s="84">
        <v>7.92</v>
      </c>
      <c r="G53" s="84">
        <v>2.36</v>
      </c>
      <c r="H53" s="134">
        <v>2.7</v>
      </c>
      <c r="I53" s="206">
        <v>8</v>
      </c>
    </row>
    <row r="54" spans="1:10" ht="13" x14ac:dyDescent="0.3">
      <c r="A54" s="126" t="s">
        <v>193</v>
      </c>
      <c r="B54" s="84"/>
      <c r="C54" s="84">
        <v>0.27400000000000002</v>
      </c>
      <c r="D54" s="84">
        <v>6.7</v>
      </c>
      <c r="E54" s="84">
        <v>18.8</v>
      </c>
      <c r="F54" s="84">
        <v>7.91</v>
      </c>
      <c r="G54" s="84">
        <v>2.29</v>
      </c>
      <c r="H54" s="84"/>
    </row>
    <row r="55" spans="1:10" ht="13" x14ac:dyDescent="0.3">
      <c r="A55" s="126" t="s">
        <v>194</v>
      </c>
      <c r="B55" s="84"/>
      <c r="C55" s="84">
        <v>0.27400000000000002</v>
      </c>
      <c r="D55" s="84">
        <v>6.47</v>
      </c>
      <c r="E55" s="84">
        <v>18.7</v>
      </c>
      <c r="F55" s="84">
        <v>7.88</v>
      </c>
      <c r="G55" s="84">
        <v>2.25</v>
      </c>
      <c r="H55" s="84"/>
      <c r="J55" s="6">
        <f>AVERAGE(E53:E55)</f>
        <v>18.8</v>
      </c>
    </row>
    <row r="56" spans="1:10" ht="13" x14ac:dyDescent="0.3">
      <c r="A56" s="126" t="s">
        <v>195</v>
      </c>
      <c r="B56" s="84"/>
      <c r="C56" s="84">
        <v>0.27500000000000002</v>
      </c>
      <c r="D56" s="84">
        <v>6.3</v>
      </c>
      <c r="E56" s="84">
        <v>18.399999999999999</v>
      </c>
      <c r="F56" s="84">
        <v>7.89</v>
      </c>
      <c r="G56" s="84">
        <v>2.21</v>
      </c>
      <c r="H56" s="84"/>
    </row>
    <row r="57" spans="1:10" ht="13" x14ac:dyDescent="0.3">
      <c r="A57" s="126" t="s">
        <v>196</v>
      </c>
      <c r="B57" s="84"/>
      <c r="C57" s="84">
        <v>0.27500000000000002</v>
      </c>
      <c r="D57" s="189">
        <v>6.25</v>
      </c>
      <c r="E57" s="189">
        <v>18.5</v>
      </c>
      <c r="F57" s="84">
        <v>7.88</v>
      </c>
      <c r="G57" s="84">
        <v>2.17</v>
      </c>
      <c r="H57" s="84"/>
    </row>
    <row r="58" spans="1:10" ht="13" x14ac:dyDescent="0.3">
      <c r="A58" s="126" t="s">
        <v>197</v>
      </c>
      <c r="B58" s="84"/>
      <c r="C58" s="84">
        <v>0.27600000000000002</v>
      </c>
      <c r="D58" s="189">
        <v>6.1</v>
      </c>
      <c r="E58" s="189">
        <v>18.2</v>
      </c>
      <c r="F58" s="84">
        <v>7.86</v>
      </c>
      <c r="G58" s="84">
        <v>212</v>
      </c>
      <c r="H58" s="92"/>
    </row>
    <row r="59" spans="1:10" ht="13" x14ac:dyDescent="0.3">
      <c r="A59" s="126" t="s">
        <v>198</v>
      </c>
      <c r="B59" s="84"/>
      <c r="C59" s="84">
        <v>0.27700000000000002</v>
      </c>
      <c r="D59" s="189">
        <v>6</v>
      </c>
      <c r="E59" s="189">
        <v>18</v>
      </c>
      <c r="F59" s="84">
        <v>7.85</v>
      </c>
      <c r="G59" s="84">
        <v>2.02</v>
      </c>
      <c r="H59" s="92"/>
    </row>
    <row r="60" spans="1:10" ht="13" x14ac:dyDescent="0.3">
      <c r="A60" s="414" t="s">
        <v>199</v>
      </c>
      <c r="B60" s="84"/>
      <c r="C60" s="206">
        <v>0.28699999999999998</v>
      </c>
      <c r="D60" s="189">
        <v>6.05</v>
      </c>
      <c r="E60" s="422">
        <v>18</v>
      </c>
      <c r="F60" s="206">
        <v>7.81</v>
      </c>
      <c r="G60" s="206">
        <v>1.97</v>
      </c>
    </row>
    <row r="61" spans="1:10" ht="14" x14ac:dyDescent="0.3">
      <c r="A61" s="209" t="s">
        <v>225</v>
      </c>
      <c r="B61" s="209" t="s">
        <v>184</v>
      </c>
      <c r="C61" s="209" t="s">
        <v>185</v>
      </c>
      <c r="D61" s="209" t="s">
        <v>186</v>
      </c>
      <c r="E61" s="209" t="s">
        <v>187</v>
      </c>
      <c r="F61" s="209" t="s">
        <v>188</v>
      </c>
      <c r="G61" s="209"/>
      <c r="H61" s="209" t="s">
        <v>201</v>
      </c>
      <c r="I61" s="210" t="s">
        <v>213</v>
      </c>
    </row>
    <row r="62" spans="1:10" ht="13" x14ac:dyDescent="0.3">
      <c r="A62" s="126" t="s">
        <v>192</v>
      </c>
      <c r="B62" s="143">
        <v>0.45347222222222222</v>
      </c>
      <c r="C62" s="84">
        <v>0.27300000000000002</v>
      </c>
      <c r="D62" s="431">
        <v>6.55</v>
      </c>
      <c r="E62" s="84">
        <v>19.399999999999999</v>
      </c>
      <c r="F62" s="84">
        <v>7.93</v>
      </c>
      <c r="G62" s="84">
        <v>2.2599999999999998</v>
      </c>
      <c r="H62" s="134">
        <v>3.2</v>
      </c>
      <c r="I62" s="206">
        <v>4.2</v>
      </c>
    </row>
    <row r="63" spans="1:10" ht="13" x14ac:dyDescent="0.3">
      <c r="A63" s="126" t="s">
        <v>193</v>
      </c>
      <c r="B63" s="84"/>
      <c r="C63" s="84">
        <v>0.28399999999999997</v>
      </c>
      <c r="D63" s="84">
        <v>6.68</v>
      </c>
      <c r="E63" s="84">
        <v>19.2</v>
      </c>
      <c r="F63" s="84">
        <v>7.94</v>
      </c>
      <c r="G63" s="84">
        <v>2.23</v>
      </c>
      <c r="H63" s="84"/>
      <c r="J63" s="6">
        <f>AVERAGE(E62:E64)</f>
        <v>19.099999999999998</v>
      </c>
    </row>
    <row r="64" spans="1:10" ht="13" x14ac:dyDescent="0.3">
      <c r="A64" s="126" t="s">
        <v>194</v>
      </c>
      <c r="B64" s="84"/>
      <c r="C64" s="84">
        <v>0.27200000000000002</v>
      </c>
      <c r="D64" s="84">
        <v>6.45</v>
      </c>
      <c r="E64" s="84">
        <v>18.7</v>
      </c>
      <c r="F64" s="84">
        <v>7.94</v>
      </c>
      <c r="G64" s="84">
        <v>2.2000000000000002</v>
      </c>
      <c r="H64" s="84"/>
    </row>
    <row r="65" spans="1:10" ht="13" x14ac:dyDescent="0.3">
      <c r="A65" s="126" t="s">
        <v>195</v>
      </c>
      <c r="B65" s="84"/>
      <c r="C65" s="84">
        <v>0.3</v>
      </c>
      <c r="D65" s="84">
        <v>7.17</v>
      </c>
      <c r="E65" s="84">
        <v>18.600000000000001</v>
      </c>
      <c r="F65" s="84">
        <v>7.93</v>
      </c>
      <c r="G65" s="84">
        <v>2.1</v>
      </c>
      <c r="H65" s="84"/>
    </row>
    <row r="66" spans="1:10" ht="14" x14ac:dyDescent="0.3">
      <c r="A66" s="209" t="s">
        <v>226</v>
      </c>
      <c r="B66" s="209" t="s">
        <v>184</v>
      </c>
      <c r="C66" s="209" t="s">
        <v>185</v>
      </c>
      <c r="D66" s="209" t="s">
        <v>186</v>
      </c>
      <c r="E66" s="209" t="s">
        <v>187</v>
      </c>
      <c r="F66" s="209" t="s">
        <v>188</v>
      </c>
      <c r="G66" s="209"/>
      <c r="H66" s="209" t="s">
        <v>201</v>
      </c>
      <c r="I66" s="210" t="s">
        <v>213</v>
      </c>
    </row>
    <row r="67" spans="1:10" ht="13" x14ac:dyDescent="0.3">
      <c r="A67" s="126" t="s">
        <v>192</v>
      </c>
      <c r="B67" s="143">
        <v>0.4597222222222222</v>
      </c>
      <c r="C67" s="84">
        <v>0.27400000000000002</v>
      </c>
      <c r="D67" s="84">
        <v>6.36</v>
      </c>
      <c r="E67" s="84">
        <v>19.399999999999999</v>
      </c>
      <c r="F67" s="84">
        <v>7.94</v>
      </c>
      <c r="G67" s="84">
        <v>2.2400000000000002</v>
      </c>
      <c r="H67" s="134">
        <v>2.4</v>
      </c>
      <c r="I67" s="206">
        <v>6.4</v>
      </c>
    </row>
    <row r="68" spans="1:10" ht="13" x14ac:dyDescent="0.3">
      <c r="A68" s="126" t="s">
        <v>193</v>
      </c>
      <c r="B68" s="84"/>
      <c r="C68" s="84">
        <v>0.27400000000000002</v>
      </c>
      <c r="D68" s="84">
        <v>6.6</v>
      </c>
      <c r="E68" s="84">
        <v>19.100000000000001</v>
      </c>
      <c r="F68" s="84">
        <v>7.95</v>
      </c>
      <c r="G68" s="84">
        <v>2.11</v>
      </c>
      <c r="H68" s="84"/>
    </row>
    <row r="69" spans="1:10" ht="13" x14ac:dyDescent="0.3">
      <c r="A69" s="126" t="s">
        <v>194</v>
      </c>
      <c r="B69" s="84"/>
      <c r="C69" s="84">
        <v>0.27400000000000002</v>
      </c>
      <c r="D69" s="84">
        <v>6.68</v>
      </c>
      <c r="E69" s="84">
        <v>18.899999999999999</v>
      </c>
      <c r="F69" s="221">
        <v>7.95</v>
      </c>
      <c r="G69" s="221">
        <v>2.14</v>
      </c>
      <c r="H69" s="84"/>
      <c r="J69" s="6">
        <f>AVERAGE(E67:E69)</f>
        <v>19.133333333333333</v>
      </c>
    </row>
    <row r="70" spans="1:10" ht="13" x14ac:dyDescent="0.3">
      <c r="A70" s="126" t="s">
        <v>195</v>
      </c>
      <c r="B70" s="84"/>
      <c r="C70" s="84">
        <v>0.27500000000000002</v>
      </c>
      <c r="D70" s="84">
        <v>6.61</v>
      </c>
      <c r="E70" s="84">
        <v>18.600000000000001</v>
      </c>
      <c r="F70" s="84">
        <v>7.93</v>
      </c>
      <c r="G70" s="84">
        <v>2.08</v>
      </c>
      <c r="H70" s="84"/>
    </row>
    <row r="71" spans="1:10" ht="13" x14ac:dyDescent="0.3">
      <c r="A71" s="126" t="s">
        <v>196</v>
      </c>
      <c r="B71" s="84"/>
      <c r="C71" s="84">
        <v>0.27700000000000002</v>
      </c>
      <c r="D71" s="84">
        <v>6.3</v>
      </c>
      <c r="E71" s="84">
        <v>18.5</v>
      </c>
      <c r="F71" s="84">
        <v>7.9</v>
      </c>
      <c r="G71" s="84">
        <v>2.04</v>
      </c>
      <c r="H71" s="84"/>
    </row>
    <row r="72" spans="1:10" ht="13" x14ac:dyDescent="0.3">
      <c r="A72" s="126" t="s">
        <v>197</v>
      </c>
      <c r="B72" s="84"/>
      <c r="C72" s="84">
        <v>0.27700000000000002</v>
      </c>
      <c r="D72" s="84">
        <v>6.12</v>
      </c>
      <c r="E72" s="84">
        <v>18.399999999999999</v>
      </c>
      <c r="F72" s="84">
        <v>7.9</v>
      </c>
      <c r="G72" s="84">
        <v>1.98</v>
      </c>
      <c r="H72" s="84"/>
    </row>
  </sheetData>
  <mergeCells count="6">
    <mergeCell ref="H34:I34"/>
    <mergeCell ref="A27:B27"/>
    <mergeCell ref="D27:E27"/>
    <mergeCell ref="H27:I27"/>
    <mergeCell ref="E30:F30"/>
    <mergeCell ref="B30:C3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66"/>
  <sheetViews>
    <sheetView workbookViewId="0">
      <selection activeCell="F4" sqref="F4:F18"/>
    </sheetView>
  </sheetViews>
  <sheetFormatPr defaultRowHeight="12.5" x14ac:dyDescent="0.25"/>
  <cols>
    <col min="1" max="1" width="15.08984375" customWidth="1"/>
    <col min="4" max="4" width="10.54296875" customWidth="1"/>
    <col min="7" max="7" width="11.08984375" customWidth="1"/>
    <col min="8" max="8" width="10.54296875" customWidth="1"/>
    <col min="10" max="10" width="16.36328125" bestFit="1" customWidth="1"/>
    <col min="11" max="11" width="15.90625" bestFit="1" customWidth="1"/>
    <col min="18" max="18" width="10" bestFit="1" customWidth="1"/>
    <col min="19" max="19" width="10.90625" bestFit="1" customWidth="1"/>
    <col min="20" max="20" width="30.6328125" bestFit="1" customWidth="1"/>
  </cols>
  <sheetData>
    <row r="1" spans="1:21" ht="14" x14ac:dyDescent="0.3">
      <c r="A1" s="135" t="s">
        <v>273</v>
      </c>
    </row>
    <row r="2" spans="1:21" ht="13" x14ac:dyDescent="0.3">
      <c r="A2" s="1" t="s">
        <v>180</v>
      </c>
      <c r="B2" s="155">
        <v>40372</v>
      </c>
      <c r="J2" s="189" t="s">
        <v>281</v>
      </c>
      <c r="K2" s="189" t="s">
        <v>283</v>
      </c>
    </row>
    <row r="3" spans="1:21" ht="14" x14ac:dyDescent="0.3">
      <c r="A3" s="209" t="s">
        <v>23</v>
      </c>
      <c r="B3" s="209" t="s">
        <v>184</v>
      </c>
      <c r="C3" s="209" t="s">
        <v>185</v>
      </c>
      <c r="D3" s="209" t="s">
        <v>186</v>
      </c>
      <c r="E3" s="209" t="s">
        <v>187</v>
      </c>
      <c r="F3" s="209" t="s">
        <v>188</v>
      </c>
      <c r="J3" s="84" t="s">
        <v>291</v>
      </c>
      <c r="K3" s="432">
        <v>1</v>
      </c>
    </row>
    <row r="4" spans="1:21" ht="13" x14ac:dyDescent="0.3">
      <c r="A4" s="94" t="s">
        <v>189</v>
      </c>
      <c r="B4" s="143">
        <v>0.45069444444444445</v>
      </c>
      <c r="C4" s="84">
        <v>1.1439999999999999</v>
      </c>
      <c r="D4" s="84">
        <v>7.98</v>
      </c>
      <c r="E4" s="84">
        <v>16.739999999999998</v>
      </c>
      <c r="F4" s="84">
        <v>8.3000000000000007</v>
      </c>
      <c r="G4" s="92"/>
      <c r="J4" s="189" t="s">
        <v>282</v>
      </c>
      <c r="K4" s="432">
        <v>11</v>
      </c>
      <c r="T4" s="189" t="s">
        <v>321</v>
      </c>
      <c r="U4">
        <v>5</v>
      </c>
    </row>
    <row r="5" spans="1:21" ht="13" x14ac:dyDescent="0.3">
      <c r="A5" s="94" t="s">
        <v>190</v>
      </c>
      <c r="B5" s="143">
        <v>0.46249999999999997</v>
      </c>
      <c r="C5" s="84">
        <v>0.247</v>
      </c>
      <c r="D5" s="84">
        <v>7.96</v>
      </c>
      <c r="E5" s="84">
        <v>16.87</v>
      </c>
      <c r="F5" s="84">
        <v>8.1199999999999992</v>
      </c>
      <c r="G5" s="92"/>
      <c r="J5" s="189" t="s">
        <v>284</v>
      </c>
      <c r="K5" s="432">
        <v>32</v>
      </c>
      <c r="T5" s="189" t="s">
        <v>320</v>
      </c>
      <c r="U5">
        <v>10.9</v>
      </c>
    </row>
    <row r="6" spans="1:21" ht="13" x14ac:dyDescent="0.3">
      <c r="A6" s="94" t="s">
        <v>191</v>
      </c>
      <c r="B6" s="143">
        <v>0.53888888888888886</v>
      </c>
      <c r="C6" s="84">
        <v>0.29299999999999998</v>
      </c>
      <c r="D6" s="84">
        <v>7.71</v>
      </c>
      <c r="E6" s="84">
        <v>22.48</v>
      </c>
      <c r="F6" s="84">
        <v>8.5399999999999991</v>
      </c>
      <c r="G6" s="92"/>
      <c r="J6" s="189" t="s">
        <v>285</v>
      </c>
      <c r="K6" s="544" t="s">
        <v>418</v>
      </c>
      <c r="T6" s="189" t="s">
        <v>317</v>
      </c>
      <c r="U6">
        <v>4</v>
      </c>
    </row>
    <row r="7" spans="1:21" ht="14" x14ac:dyDescent="0.3">
      <c r="A7" s="94" t="s">
        <v>229</v>
      </c>
      <c r="B7" s="728" t="s">
        <v>241</v>
      </c>
      <c r="C7" s="319"/>
      <c r="D7" s="319"/>
      <c r="E7" s="319"/>
      <c r="F7" s="320"/>
      <c r="G7" s="209" t="s">
        <v>201</v>
      </c>
      <c r="H7" s="210" t="s">
        <v>213</v>
      </c>
      <c r="J7" s="189" t="s">
        <v>286</v>
      </c>
      <c r="K7" s="291">
        <v>30</v>
      </c>
      <c r="T7" s="189" t="s">
        <v>318</v>
      </c>
      <c r="U7">
        <v>5.1100000000000003</v>
      </c>
    </row>
    <row r="8" spans="1:21" ht="13" x14ac:dyDescent="0.3">
      <c r="A8" s="126" t="s">
        <v>192</v>
      </c>
      <c r="B8" s="143">
        <v>0.48958333333333331</v>
      </c>
      <c r="C8" s="84">
        <v>0.28799999999999998</v>
      </c>
      <c r="D8" s="431">
        <v>8.0299999999999994</v>
      </c>
      <c r="E8" s="84">
        <v>21.24</v>
      </c>
      <c r="F8" s="84">
        <v>8.23</v>
      </c>
      <c r="G8" s="466">
        <v>3.1</v>
      </c>
      <c r="H8" s="188">
        <v>10.9</v>
      </c>
      <c r="J8" s="422" t="s">
        <v>288</v>
      </c>
      <c r="K8" s="291">
        <v>18</v>
      </c>
      <c r="T8" s="189" t="s">
        <v>357</v>
      </c>
      <c r="U8">
        <v>7.59</v>
      </c>
    </row>
    <row r="9" spans="1:21" ht="13" x14ac:dyDescent="0.3">
      <c r="A9" s="126" t="s">
        <v>193</v>
      </c>
      <c r="B9" s="84"/>
      <c r="C9" s="84">
        <v>0.28799999999999998</v>
      </c>
      <c r="D9" s="431">
        <v>8</v>
      </c>
      <c r="E9" s="84">
        <v>21.13</v>
      </c>
      <c r="F9" s="84">
        <v>8.25</v>
      </c>
      <c r="G9" s="92"/>
      <c r="J9" s="422" t="s">
        <v>292</v>
      </c>
      <c r="K9" s="291">
        <v>65</v>
      </c>
      <c r="T9" s="189" t="s">
        <v>319</v>
      </c>
      <c r="U9">
        <v>7.12</v>
      </c>
    </row>
    <row r="10" spans="1:21" ht="13" x14ac:dyDescent="0.3">
      <c r="A10" s="126" t="s">
        <v>194</v>
      </c>
      <c r="B10" s="84"/>
      <c r="C10" s="84">
        <v>0.29499999999999998</v>
      </c>
      <c r="D10" s="431">
        <v>6.74</v>
      </c>
      <c r="E10" s="84">
        <v>19.760000000000002</v>
      </c>
      <c r="F10" s="84">
        <v>7.89</v>
      </c>
      <c r="G10" s="92"/>
      <c r="I10" s="6">
        <f>AVERAGE(E8:E10)</f>
        <v>20.709999999999997</v>
      </c>
      <c r="J10" s="422"/>
      <c r="K10" s="291"/>
    </row>
    <row r="11" spans="1:21" ht="13" x14ac:dyDescent="0.3">
      <c r="A11" s="126" t="s">
        <v>195</v>
      </c>
      <c r="B11" s="84"/>
      <c r="C11" s="84">
        <v>0.29199999999999998</v>
      </c>
      <c r="D11" s="431">
        <v>5.69</v>
      </c>
      <c r="E11" s="84">
        <v>19.46</v>
      </c>
      <c r="F11" s="84">
        <v>7.67</v>
      </c>
      <c r="G11" s="92"/>
      <c r="I11" s="6"/>
    </row>
    <row r="12" spans="1:21" ht="13" x14ac:dyDescent="0.3">
      <c r="A12" s="126" t="s">
        <v>196</v>
      </c>
      <c r="B12" s="84"/>
      <c r="C12" s="84">
        <v>0.29299999999999998</v>
      </c>
      <c r="D12" s="431">
        <v>5.55</v>
      </c>
      <c r="E12" s="84">
        <v>19.14</v>
      </c>
      <c r="F12" s="84">
        <v>7.63</v>
      </c>
      <c r="G12" s="92"/>
      <c r="I12" s="6">
        <f>AVERAGE(D8:D18)</f>
        <v>5.1063636363636364</v>
      </c>
    </row>
    <row r="13" spans="1:21" ht="13" x14ac:dyDescent="0.3">
      <c r="A13" s="126" t="s">
        <v>197</v>
      </c>
      <c r="B13" s="84"/>
      <c r="C13" s="84">
        <v>0.29099999999999998</v>
      </c>
      <c r="D13" s="431">
        <v>4.7699999999999996</v>
      </c>
      <c r="E13" s="84">
        <v>18.829999999999998</v>
      </c>
      <c r="F13" s="84">
        <v>7.55</v>
      </c>
      <c r="G13" s="92"/>
      <c r="I13" s="6">
        <f>AVERAGE(D8:D10)</f>
        <v>7.5900000000000007</v>
      </c>
    </row>
    <row r="14" spans="1:21" ht="13" x14ac:dyDescent="0.3">
      <c r="A14" s="126" t="s">
        <v>198</v>
      </c>
      <c r="B14" s="84"/>
      <c r="C14" s="84">
        <v>0.29099999999999998</v>
      </c>
      <c r="D14" s="431">
        <v>4.6100000000000003</v>
      </c>
      <c r="E14" s="84">
        <v>18.77</v>
      </c>
      <c r="F14" s="84">
        <v>7.51</v>
      </c>
      <c r="G14" s="92"/>
      <c r="I14" s="6">
        <f>AVERAGE(D8:D11)</f>
        <v>7.1150000000000011</v>
      </c>
    </row>
    <row r="15" spans="1:21" ht="13" x14ac:dyDescent="0.3">
      <c r="A15" s="126" t="s">
        <v>199</v>
      </c>
      <c r="B15" s="84"/>
      <c r="C15" s="84">
        <v>0.29099999999999998</v>
      </c>
      <c r="D15" s="431">
        <v>4.29</v>
      </c>
      <c r="E15" s="84">
        <v>18.71</v>
      </c>
      <c r="F15" s="84">
        <v>7.49</v>
      </c>
      <c r="G15" s="92"/>
    </row>
    <row r="16" spans="1:21" ht="13" x14ac:dyDescent="0.3">
      <c r="A16" s="126" t="s">
        <v>200</v>
      </c>
      <c r="B16" s="143"/>
      <c r="C16" s="84">
        <v>0.29199999999999998</v>
      </c>
      <c r="D16" s="431">
        <v>3.88</v>
      </c>
      <c r="E16" s="84">
        <v>18.54</v>
      </c>
      <c r="F16" s="84">
        <v>7.46</v>
      </c>
      <c r="G16" s="92"/>
    </row>
    <row r="17" spans="1:14" ht="13" x14ac:dyDescent="0.3">
      <c r="A17" s="126" t="s">
        <v>227</v>
      </c>
      <c r="B17" s="143"/>
      <c r="C17" s="84">
        <v>0.29599999999999999</v>
      </c>
      <c r="D17" s="431">
        <v>2.92</v>
      </c>
      <c r="E17" s="84">
        <v>18.41</v>
      </c>
      <c r="F17" s="84">
        <v>7.41</v>
      </c>
      <c r="G17" s="92"/>
    </row>
    <row r="18" spans="1:14" ht="13" x14ac:dyDescent="0.3">
      <c r="A18" s="126" t="s">
        <v>228</v>
      </c>
      <c r="B18" s="84"/>
      <c r="C18" s="84">
        <v>0.30099999999999999</v>
      </c>
      <c r="D18" s="431">
        <v>1.69</v>
      </c>
      <c r="E18" s="84">
        <v>18.27</v>
      </c>
      <c r="F18" s="84">
        <v>7.33</v>
      </c>
      <c r="G18" s="92"/>
    </row>
    <row r="19" spans="1:14" ht="13" x14ac:dyDescent="0.3">
      <c r="A19" s="208"/>
      <c r="B19" s="92"/>
      <c r="C19" s="92"/>
      <c r="D19" s="92"/>
      <c r="E19" s="92"/>
      <c r="F19" s="92"/>
      <c r="G19" s="92"/>
    </row>
    <row r="20" spans="1:14" ht="13" x14ac:dyDescent="0.3">
      <c r="A20" s="126" t="s">
        <v>230</v>
      </c>
      <c r="B20" s="84" t="s">
        <v>237</v>
      </c>
      <c r="C20" s="189"/>
      <c r="D20" s="84"/>
      <c r="E20" s="84"/>
      <c r="F20" s="84"/>
      <c r="G20" s="84"/>
    </row>
    <row r="21" spans="1:14" ht="13" x14ac:dyDescent="0.3">
      <c r="A21" s="244" t="s">
        <v>231</v>
      </c>
      <c r="B21" s="84" t="s">
        <v>237</v>
      </c>
      <c r="C21" s="189"/>
      <c r="D21" s="84"/>
      <c r="E21" s="84"/>
      <c r="F21" s="84"/>
      <c r="G21" s="84"/>
    </row>
    <row r="22" spans="1:14" x14ac:dyDescent="0.25">
      <c r="A22" s="131" t="s">
        <v>11</v>
      </c>
      <c r="B22" s="228" t="s">
        <v>235</v>
      </c>
      <c r="C22" s="228" t="s">
        <v>236</v>
      </c>
      <c r="D22" s="228">
        <v>90</v>
      </c>
      <c r="E22" s="228" t="s">
        <v>420</v>
      </c>
      <c r="F22" s="228" t="s">
        <v>421</v>
      </c>
      <c r="G22" s="132"/>
    </row>
    <row r="23" spans="1:14" x14ac:dyDescent="0.25">
      <c r="A23" s="144"/>
      <c r="B23" s="483" t="s">
        <v>419</v>
      </c>
      <c r="C23" s="483" t="s">
        <v>422</v>
      </c>
      <c r="D23" s="133"/>
      <c r="E23" s="133"/>
      <c r="F23" s="133"/>
      <c r="G23" s="133"/>
    </row>
    <row r="24" spans="1:14" x14ac:dyDescent="0.25">
      <c r="A24" s="144"/>
      <c r="B24" s="133"/>
      <c r="C24" s="133"/>
      <c r="D24" s="133"/>
      <c r="E24" s="133"/>
      <c r="F24" s="133"/>
      <c r="G24" s="133"/>
    </row>
    <row r="25" spans="1:14" ht="24" x14ac:dyDescent="0.35">
      <c r="A25" s="853" t="s">
        <v>130</v>
      </c>
      <c r="B25" s="853"/>
      <c r="C25" s="241"/>
      <c r="D25" s="853" t="s">
        <v>133</v>
      </c>
      <c r="E25" s="853"/>
      <c r="F25" s="137"/>
      <c r="G25" s="849" t="s">
        <v>34</v>
      </c>
      <c r="H25" s="849"/>
      <c r="J25" s="141" t="s">
        <v>204</v>
      </c>
      <c r="K25" s="141" t="s">
        <v>205</v>
      </c>
      <c r="L25" s="142" t="s">
        <v>206</v>
      </c>
      <c r="M25" s="141" t="s">
        <v>207</v>
      </c>
      <c r="N25" s="142" t="s">
        <v>208</v>
      </c>
    </row>
    <row r="26" spans="1:14" ht="15.5" x14ac:dyDescent="0.35">
      <c r="A26" s="162" t="s">
        <v>184</v>
      </c>
      <c r="B26" s="238">
        <v>0.45069444444444445</v>
      </c>
      <c r="C26" s="239"/>
      <c r="D26" s="162" t="s">
        <v>184</v>
      </c>
      <c r="E26" s="243">
        <v>0.46111111111111108</v>
      </c>
      <c r="F26" s="485">
        <v>4</v>
      </c>
      <c r="G26" s="162" t="s">
        <v>184</v>
      </c>
      <c r="H26" s="243">
        <v>0.52500000000000002</v>
      </c>
      <c r="J26" s="160">
        <v>2</v>
      </c>
      <c r="K26" s="138">
        <v>0.2</v>
      </c>
      <c r="L26" s="139">
        <v>2.33</v>
      </c>
      <c r="M26" s="138">
        <f>K26*50</f>
        <v>10</v>
      </c>
      <c r="N26" s="139">
        <f t="shared" ref="N26:N34" si="0">L26*M26</f>
        <v>23.3</v>
      </c>
    </row>
    <row r="27" spans="1:14" ht="16" thickBot="1" x14ac:dyDescent="0.4">
      <c r="A27" s="162" t="s">
        <v>202</v>
      </c>
      <c r="B27" s="240">
        <v>12</v>
      </c>
      <c r="C27" s="240"/>
      <c r="D27" s="162"/>
      <c r="E27" s="242">
        <v>19</v>
      </c>
      <c r="F27" s="242"/>
      <c r="G27" s="162" t="s">
        <v>202</v>
      </c>
      <c r="H27" s="242">
        <v>50</v>
      </c>
      <c r="J27" s="160">
        <v>4</v>
      </c>
      <c r="K27" s="138"/>
      <c r="L27" s="138"/>
      <c r="M27" s="138">
        <f t="shared" ref="M27:M33" si="1">K27*2</f>
        <v>0</v>
      </c>
      <c r="N27" s="139">
        <f t="shared" si="0"/>
        <v>0</v>
      </c>
    </row>
    <row r="28" spans="1:14" ht="16" thickBot="1" x14ac:dyDescent="0.4">
      <c r="A28" s="165" t="s">
        <v>203</v>
      </c>
      <c r="B28" s="861"/>
      <c r="C28" s="861"/>
      <c r="D28" s="163" t="s">
        <v>203</v>
      </c>
      <c r="E28" s="245"/>
      <c r="F28" s="166"/>
      <c r="G28" s="163" t="s">
        <v>203</v>
      </c>
      <c r="H28" s="245"/>
      <c r="J28" s="160">
        <v>6</v>
      </c>
      <c r="K28" s="138"/>
      <c r="L28" s="138"/>
      <c r="M28" s="138">
        <f t="shared" si="1"/>
        <v>0</v>
      </c>
      <c r="N28" s="139">
        <f t="shared" si="0"/>
        <v>0</v>
      </c>
    </row>
    <row r="29" spans="1:14" ht="24" x14ac:dyDescent="0.35">
      <c r="A29" s="159" t="s">
        <v>204</v>
      </c>
      <c r="B29" s="159" t="s">
        <v>205</v>
      </c>
      <c r="C29" s="161" t="s">
        <v>206</v>
      </c>
      <c r="D29" s="159" t="s">
        <v>204</v>
      </c>
      <c r="E29" s="159" t="s">
        <v>205</v>
      </c>
      <c r="F29" s="161" t="s">
        <v>206</v>
      </c>
      <c r="G29" s="159" t="s">
        <v>205</v>
      </c>
      <c r="H29" s="161" t="s">
        <v>206</v>
      </c>
      <c r="J29" s="160">
        <v>8</v>
      </c>
      <c r="K29" s="138"/>
      <c r="L29" s="138"/>
      <c r="M29" s="138">
        <f t="shared" si="1"/>
        <v>0</v>
      </c>
      <c r="N29" s="139">
        <f t="shared" si="0"/>
        <v>0</v>
      </c>
    </row>
    <row r="30" spans="1:14" ht="15.5" x14ac:dyDescent="0.35">
      <c r="A30" s="160">
        <v>2</v>
      </c>
      <c r="B30" s="138">
        <v>0.4</v>
      </c>
      <c r="C30" s="138">
        <v>0.63</v>
      </c>
      <c r="D30" s="160">
        <v>2</v>
      </c>
      <c r="E30" s="138">
        <v>1.08</v>
      </c>
      <c r="F30" s="138">
        <v>0.13</v>
      </c>
      <c r="G30" s="138">
        <v>0.2</v>
      </c>
      <c r="H30" s="139">
        <v>2.33</v>
      </c>
      <c r="I30" s="550">
        <v>24.2</v>
      </c>
      <c r="J30" s="160">
        <v>10</v>
      </c>
      <c r="K30" s="138"/>
      <c r="L30" s="138"/>
      <c r="M30" s="138">
        <f t="shared" si="1"/>
        <v>0</v>
      </c>
      <c r="N30" s="139">
        <f t="shared" si="0"/>
        <v>0</v>
      </c>
    </row>
    <row r="31" spans="1:14" ht="15.5" x14ac:dyDescent="0.35">
      <c r="A31" s="160">
        <v>4</v>
      </c>
      <c r="B31" s="138">
        <v>0.52</v>
      </c>
      <c r="C31" s="138">
        <v>0.4</v>
      </c>
      <c r="D31" s="160">
        <v>4</v>
      </c>
      <c r="E31" s="138">
        <v>1.25</v>
      </c>
      <c r="F31" s="138">
        <v>2.08</v>
      </c>
      <c r="G31" s="138"/>
      <c r="H31" s="139"/>
      <c r="J31" s="160">
        <v>12</v>
      </c>
      <c r="K31" s="138"/>
      <c r="L31" s="138"/>
      <c r="M31" s="138">
        <f t="shared" si="1"/>
        <v>0</v>
      </c>
      <c r="N31" s="139">
        <f t="shared" si="0"/>
        <v>0</v>
      </c>
    </row>
    <row r="32" spans="1:14" ht="15.5" x14ac:dyDescent="0.35">
      <c r="A32" s="160">
        <v>6</v>
      </c>
      <c r="B32" s="138">
        <v>0.32</v>
      </c>
      <c r="C32" s="138">
        <v>0.13</v>
      </c>
      <c r="D32" s="160">
        <v>6</v>
      </c>
      <c r="E32" s="138">
        <v>1.05</v>
      </c>
      <c r="F32" s="138">
        <v>1.9</v>
      </c>
      <c r="G32" s="850" t="s">
        <v>214</v>
      </c>
      <c r="H32" s="851"/>
      <c r="J32" s="160">
        <v>14</v>
      </c>
      <c r="K32" s="138"/>
      <c r="L32" s="138"/>
      <c r="M32" s="138">
        <f t="shared" si="1"/>
        <v>0</v>
      </c>
      <c r="N32" s="139">
        <f t="shared" si="0"/>
        <v>0</v>
      </c>
    </row>
    <row r="33" spans="1:14" ht="15.5" x14ac:dyDescent="0.35">
      <c r="A33" s="160">
        <v>8</v>
      </c>
      <c r="B33" s="230">
        <v>0.53</v>
      </c>
      <c r="C33" s="138">
        <v>1.99</v>
      </c>
      <c r="D33" s="160">
        <v>8</v>
      </c>
      <c r="E33" s="138">
        <v>1</v>
      </c>
      <c r="F33" s="138">
        <v>1.01</v>
      </c>
      <c r="G33" s="138"/>
      <c r="H33" s="139"/>
      <c r="J33" s="160">
        <v>16</v>
      </c>
      <c r="K33" s="138"/>
      <c r="L33" s="138"/>
      <c r="M33" s="138">
        <f t="shared" si="1"/>
        <v>0</v>
      </c>
      <c r="N33" s="139">
        <f t="shared" si="0"/>
        <v>0</v>
      </c>
    </row>
    <row r="34" spans="1:14" ht="15.5" x14ac:dyDescent="0.35">
      <c r="A34" s="160">
        <v>10</v>
      </c>
      <c r="B34" s="138">
        <v>0.45</v>
      </c>
      <c r="C34" s="138">
        <v>1.04</v>
      </c>
      <c r="D34" s="160">
        <v>10</v>
      </c>
      <c r="E34" s="138">
        <v>1</v>
      </c>
      <c r="F34" s="138">
        <v>1.03</v>
      </c>
      <c r="G34" s="138"/>
      <c r="H34" s="139"/>
      <c r="J34" s="160">
        <v>18</v>
      </c>
      <c r="K34" s="140"/>
      <c r="L34" s="140"/>
      <c r="M34" s="138">
        <f>K34*3</f>
        <v>0</v>
      </c>
      <c r="N34" s="139">
        <f t="shared" si="0"/>
        <v>0</v>
      </c>
    </row>
    <row r="35" spans="1:14" ht="15.5" x14ac:dyDescent="0.35">
      <c r="A35" s="160">
        <v>12</v>
      </c>
      <c r="B35" s="138">
        <v>0.2</v>
      </c>
      <c r="C35" s="138">
        <v>0.13</v>
      </c>
      <c r="D35" s="160">
        <v>12</v>
      </c>
      <c r="E35" s="138">
        <v>1.05</v>
      </c>
      <c r="F35" s="138">
        <v>2.2000000000000002</v>
      </c>
      <c r="G35" s="138" t="s">
        <v>215</v>
      </c>
      <c r="H35" s="139"/>
      <c r="N35" s="139">
        <f>SUM(N26:N34)</f>
        <v>23.3</v>
      </c>
    </row>
    <row r="36" spans="1:14" ht="15.5" x14ac:dyDescent="0.35">
      <c r="A36" s="417"/>
      <c r="B36" s="416"/>
      <c r="C36" s="553"/>
      <c r="D36" s="160">
        <v>14</v>
      </c>
      <c r="E36" s="416">
        <v>0.88</v>
      </c>
      <c r="F36" s="416">
        <v>0.92</v>
      </c>
      <c r="G36" s="416"/>
      <c r="H36" s="418"/>
    </row>
    <row r="37" spans="1:14" ht="15.5" x14ac:dyDescent="0.35">
      <c r="A37" s="417"/>
      <c r="B37" s="416"/>
      <c r="C37" s="553"/>
      <c r="D37" s="160">
        <v>16</v>
      </c>
      <c r="E37" s="416">
        <v>0.78</v>
      </c>
      <c r="F37" s="416">
        <v>1.1599999999999999</v>
      </c>
      <c r="G37" s="416"/>
      <c r="H37" s="418"/>
    </row>
    <row r="38" spans="1:14" ht="15.5" x14ac:dyDescent="0.35">
      <c r="C38" s="550">
        <v>4.0999999999999996</v>
      </c>
      <c r="D38" s="160">
        <v>18</v>
      </c>
      <c r="E38" s="467">
        <v>0.52</v>
      </c>
      <c r="F38" s="467">
        <v>0.41</v>
      </c>
    </row>
    <row r="39" spans="1:14" ht="15.5" x14ac:dyDescent="0.35">
      <c r="C39" s="524"/>
      <c r="D39" s="417"/>
      <c r="E39" s="467"/>
      <c r="F39" s="524">
        <v>22.2</v>
      </c>
    </row>
    <row r="40" spans="1:14" ht="14" x14ac:dyDescent="0.3">
      <c r="A40" s="135" t="s">
        <v>232</v>
      </c>
      <c r="C40" s="11"/>
    </row>
    <row r="41" spans="1:14" ht="14" x14ac:dyDescent="0.3">
      <c r="A41" s="209" t="s">
        <v>223</v>
      </c>
      <c r="B41" s="209" t="s">
        <v>184</v>
      </c>
      <c r="C41" s="209" t="s">
        <v>185</v>
      </c>
      <c r="D41" s="209" t="s">
        <v>186</v>
      </c>
      <c r="E41" s="209" t="s">
        <v>187</v>
      </c>
      <c r="F41" s="209" t="s">
        <v>188</v>
      </c>
      <c r="G41" s="209" t="s">
        <v>201</v>
      </c>
      <c r="H41" s="210" t="s">
        <v>213</v>
      </c>
    </row>
    <row r="42" spans="1:14" ht="13" x14ac:dyDescent="0.3">
      <c r="A42" s="126" t="s">
        <v>192</v>
      </c>
      <c r="B42" s="143">
        <v>0.50347222222222221</v>
      </c>
      <c r="C42" s="84">
        <v>0.28899999999999998</v>
      </c>
      <c r="D42" s="84">
        <v>8.1</v>
      </c>
      <c r="E42" s="84">
        <v>21.53</v>
      </c>
      <c r="F42" s="84">
        <v>8.32</v>
      </c>
      <c r="G42" s="134">
        <v>2.7</v>
      </c>
      <c r="H42" s="206">
        <v>8.1999999999999993</v>
      </c>
      <c r="I42" s="6">
        <f>AVERAGE(E42:E44)</f>
        <v>20.713333333333335</v>
      </c>
    </row>
    <row r="43" spans="1:14" ht="13" x14ac:dyDescent="0.3">
      <c r="A43" s="126" t="s">
        <v>193</v>
      </c>
      <c r="B43" s="84"/>
      <c r="C43" s="84">
        <v>0.28899999999999998</v>
      </c>
      <c r="D43" s="84">
        <v>8.09</v>
      </c>
      <c r="E43" s="84">
        <v>21.04</v>
      </c>
      <c r="F43" s="84">
        <v>8.2799999999999994</v>
      </c>
      <c r="G43" s="84"/>
    </row>
    <row r="44" spans="1:14" ht="13" x14ac:dyDescent="0.3">
      <c r="A44" s="126" t="s">
        <v>194</v>
      </c>
      <c r="B44" s="84"/>
      <c r="C44" s="84">
        <v>0.29299999999999998</v>
      </c>
      <c r="D44" s="84">
        <v>6.03</v>
      </c>
      <c r="E44" s="84">
        <v>19.57</v>
      </c>
      <c r="F44" s="84">
        <v>7.85</v>
      </c>
      <c r="G44" s="84"/>
    </row>
    <row r="45" spans="1:14" ht="13" x14ac:dyDescent="0.3">
      <c r="A45" s="126" t="s">
        <v>195</v>
      </c>
      <c r="B45" s="84"/>
      <c r="C45" s="84">
        <v>0.29299999999999998</v>
      </c>
      <c r="D45" s="84">
        <v>5.68</v>
      </c>
      <c r="E45" s="84">
        <v>19.21</v>
      </c>
      <c r="F45" s="84">
        <v>7.71</v>
      </c>
      <c r="G45" s="84"/>
    </row>
    <row r="46" spans="1:14" ht="13" x14ac:dyDescent="0.3">
      <c r="A46" s="126" t="s">
        <v>196</v>
      </c>
      <c r="B46" s="84"/>
      <c r="C46" s="84">
        <v>0.29299999999999998</v>
      </c>
      <c r="D46" s="84">
        <v>5.21</v>
      </c>
      <c r="E46" s="84">
        <v>19.03</v>
      </c>
      <c r="F46" s="84">
        <v>7.65</v>
      </c>
      <c r="G46" s="84"/>
    </row>
    <row r="47" spans="1:14" ht="13" x14ac:dyDescent="0.3">
      <c r="A47" s="126" t="s">
        <v>197</v>
      </c>
      <c r="B47" s="84"/>
      <c r="C47" s="84">
        <v>0.29399999999999998</v>
      </c>
      <c r="D47" s="84">
        <v>4.84</v>
      </c>
      <c r="E47" s="84">
        <v>18.87</v>
      </c>
      <c r="F47" s="84">
        <v>7.59</v>
      </c>
      <c r="G47" s="84"/>
    </row>
    <row r="48" spans="1:14" ht="13" x14ac:dyDescent="0.3">
      <c r="A48" s="126" t="s">
        <v>198</v>
      </c>
      <c r="B48" s="84"/>
      <c r="C48" s="84">
        <v>0.29499999999999998</v>
      </c>
      <c r="D48" s="84">
        <v>4.26</v>
      </c>
      <c r="E48" s="84">
        <v>18.72</v>
      </c>
      <c r="F48" s="84">
        <v>7.52</v>
      </c>
      <c r="G48" s="84"/>
    </row>
    <row r="49" spans="1:9" ht="13" x14ac:dyDescent="0.3">
      <c r="A49" s="126" t="s">
        <v>199</v>
      </c>
      <c r="B49" s="84"/>
      <c r="C49" s="84">
        <v>0.307</v>
      </c>
      <c r="D49" s="84">
        <v>0.62</v>
      </c>
      <c r="E49" s="84">
        <v>18.41</v>
      </c>
      <c r="F49" s="84">
        <v>7.41</v>
      </c>
      <c r="G49" s="84"/>
    </row>
    <row r="50" spans="1:9" ht="14" x14ac:dyDescent="0.3">
      <c r="A50" s="209" t="s">
        <v>224</v>
      </c>
      <c r="B50" s="209" t="s">
        <v>184</v>
      </c>
      <c r="C50" s="209" t="s">
        <v>185</v>
      </c>
      <c r="D50" s="209" t="s">
        <v>186</v>
      </c>
      <c r="E50" s="209" t="s">
        <v>187</v>
      </c>
      <c r="F50" s="209" t="s">
        <v>188</v>
      </c>
      <c r="G50" s="209" t="s">
        <v>201</v>
      </c>
      <c r="H50" s="210" t="s">
        <v>213</v>
      </c>
    </row>
    <row r="51" spans="1:9" ht="13" x14ac:dyDescent="0.3">
      <c r="A51" s="126" t="s">
        <v>192</v>
      </c>
      <c r="B51" s="143">
        <v>0.50902777777777775</v>
      </c>
      <c r="C51" s="84">
        <v>0.28899999999999998</v>
      </c>
      <c r="D51" s="84">
        <v>7.92</v>
      </c>
      <c r="E51" s="84">
        <v>21.04</v>
      </c>
      <c r="F51" s="84">
        <v>8.24</v>
      </c>
      <c r="G51" s="134">
        <v>2.8</v>
      </c>
      <c r="H51" s="84">
        <v>5.0999999999999996</v>
      </c>
      <c r="I51" s="6">
        <f>AVERAGE(E51:E53)</f>
        <v>20.293333333333333</v>
      </c>
    </row>
    <row r="52" spans="1:9" ht="13" x14ac:dyDescent="0.3">
      <c r="A52" s="126" t="s">
        <v>193</v>
      </c>
      <c r="B52" s="84"/>
      <c r="C52" s="84">
        <v>0.29199999999999998</v>
      </c>
      <c r="D52" s="84">
        <v>7.28</v>
      </c>
      <c r="E52" s="84">
        <v>20.11</v>
      </c>
      <c r="F52" s="84">
        <v>8.02</v>
      </c>
      <c r="G52" s="84"/>
    </row>
    <row r="53" spans="1:9" ht="13" x14ac:dyDescent="0.3">
      <c r="A53" s="126" t="s">
        <v>194</v>
      </c>
      <c r="B53" s="84"/>
      <c r="C53" s="84">
        <v>0.29799999999999999</v>
      </c>
      <c r="D53" s="84">
        <v>6.34</v>
      </c>
      <c r="E53" s="84">
        <v>19.73</v>
      </c>
      <c r="F53" s="84">
        <v>7.83</v>
      </c>
      <c r="G53" s="84"/>
    </row>
    <row r="54" spans="1:9" ht="13" x14ac:dyDescent="0.3">
      <c r="A54" s="126" t="s">
        <v>195</v>
      </c>
      <c r="B54" s="84"/>
      <c r="C54" s="84">
        <v>0.28999999999999998</v>
      </c>
      <c r="D54" s="84">
        <v>6.12</v>
      </c>
      <c r="E54" s="84">
        <v>19.32</v>
      </c>
      <c r="F54" s="84">
        <v>7.73</v>
      </c>
      <c r="G54" s="84"/>
    </row>
    <row r="55" spans="1:9" ht="13" x14ac:dyDescent="0.3">
      <c r="A55" s="126" t="s">
        <v>196</v>
      </c>
      <c r="B55" s="84"/>
      <c r="C55" s="84">
        <v>0.29599999999999999</v>
      </c>
      <c r="D55" s="84">
        <v>5.16</v>
      </c>
      <c r="E55" s="84">
        <v>19.059999999999999</v>
      </c>
      <c r="F55" s="84">
        <v>7.63</v>
      </c>
      <c r="G55" s="84"/>
    </row>
    <row r="56" spans="1:9" ht="14" x14ac:dyDescent="0.3">
      <c r="A56" s="209" t="s">
        <v>225</v>
      </c>
      <c r="B56" s="209" t="s">
        <v>184</v>
      </c>
      <c r="C56" s="209" t="s">
        <v>185</v>
      </c>
      <c r="D56" s="209" t="s">
        <v>186</v>
      </c>
      <c r="E56" s="209" t="s">
        <v>187</v>
      </c>
      <c r="F56" s="209" t="s">
        <v>188</v>
      </c>
      <c r="G56" s="209" t="s">
        <v>201</v>
      </c>
      <c r="H56" s="210" t="s">
        <v>213</v>
      </c>
    </row>
    <row r="57" spans="1:9" ht="13" x14ac:dyDescent="0.3">
      <c r="A57" s="126" t="s">
        <v>192</v>
      </c>
      <c r="B57" s="143">
        <v>0.51527777777777783</v>
      </c>
      <c r="C57" s="84">
        <v>0.28999999999999998</v>
      </c>
      <c r="D57" s="84">
        <v>8.09</v>
      </c>
      <c r="E57" s="84">
        <v>21.58</v>
      </c>
      <c r="F57" s="84">
        <v>8.33</v>
      </c>
      <c r="G57" s="134">
        <v>2.5</v>
      </c>
      <c r="H57" s="206">
        <v>3.5</v>
      </c>
      <c r="I57" s="6">
        <f>AVERAGE(E57:E59)</f>
        <v>20.679999999999996</v>
      </c>
    </row>
    <row r="58" spans="1:9" ht="13" x14ac:dyDescent="0.3">
      <c r="A58" s="126" t="s">
        <v>193</v>
      </c>
      <c r="B58" s="84"/>
      <c r="C58" s="84">
        <v>0.219</v>
      </c>
      <c r="D58" s="84">
        <v>7.73</v>
      </c>
      <c r="E58" s="84">
        <v>20.47</v>
      </c>
      <c r="F58" s="84">
        <v>8.1199999999999992</v>
      </c>
      <c r="G58" s="84"/>
    </row>
    <row r="59" spans="1:9" ht="13" x14ac:dyDescent="0.3">
      <c r="A59" s="126" t="s">
        <v>194</v>
      </c>
      <c r="B59" s="84"/>
      <c r="C59" s="84">
        <v>0.38600000000000001</v>
      </c>
      <c r="D59" s="84">
        <v>6.7</v>
      </c>
      <c r="E59" s="84">
        <v>19.989999999999998</v>
      </c>
      <c r="F59" s="84">
        <v>7.85</v>
      </c>
      <c r="G59" s="84"/>
    </row>
    <row r="60" spans="1:9" ht="14" x14ac:dyDescent="0.3">
      <c r="A60" s="209" t="s">
        <v>226</v>
      </c>
      <c r="B60" s="209" t="s">
        <v>184</v>
      </c>
      <c r="C60" s="209" t="s">
        <v>185</v>
      </c>
      <c r="D60" s="209" t="s">
        <v>186</v>
      </c>
      <c r="E60" s="209" t="s">
        <v>187</v>
      </c>
      <c r="F60" s="209" t="s">
        <v>188</v>
      </c>
      <c r="G60" s="209" t="s">
        <v>201</v>
      </c>
      <c r="H60" s="210" t="s">
        <v>213</v>
      </c>
    </row>
    <row r="61" spans="1:9" ht="13" x14ac:dyDescent="0.3">
      <c r="A61" s="126" t="s">
        <v>192</v>
      </c>
      <c r="B61" s="143">
        <v>0.52083333333333337</v>
      </c>
      <c r="C61" s="84">
        <v>0.29099999999999998</v>
      </c>
      <c r="D61" s="84">
        <v>8.07</v>
      </c>
      <c r="E61" s="84">
        <v>21.33</v>
      </c>
      <c r="F61" s="84">
        <v>8.31</v>
      </c>
      <c r="G61" s="134">
        <v>2.6</v>
      </c>
      <c r="H61" s="84">
        <v>6.2</v>
      </c>
      <c r="I61" s="6">
        <f>AVERAGE(E61:E63)</f>
        <v>21.223333333333333</v>
      </c>
    </row>
    <row r="62" spans="1:9" ht="13" x14ac:dyDescent="0.3">
      <c r="A62" s="126" t="s">
        <v>193</v>
      </c>
      <c r="B62" s="84"/>
      <c r="C62" s="84">
        <v>0.28999999999999998</v>
      </c>
      <c r="D62" s="84">
        <v>8.02</v>
      </c>
      <c r="E62" s="84">
        <v>21.21</v>
      </c>
      <c r="F62" s="84">
        <v>8.3000000000000007</v>
      </c>
      <c r="G62" s="84"/>
    </row>
    <row r="63" spans="1:9" ht="13" x14ac:dyDescent="0.3">
      <c r="A63" s="126" t="s">
        <v>194</v>
      </c>
      <c r="B63" s="84"/>
      <c r="C63" s="84">
        <v>0.28899999999999998</v>
      </c>
      <c r="D63" s="84">
        <v>7.98</v>
      </c>
      <c r="E63" s="84">
        <v>21.13</v>
      </c>
      <c r="F63" s="84">
        <v>8.2799999999999994</v>
      </c>
      <c r="G63" s="84"/>
    </row>
    <row r="64" spans="1:9" ht="13" x14ac:dyDescent="0.3">
      <c r="A64" s="126" t="s">
        <v>195</v>
      </c>
      <c r="B64" s="84"/>
      <c r="C64" s="84">
        <v>0.28399999999999997</v>
      </c>
      <c r="D64" s="84">
        <v>7</v>
      </c>
      <c r="E64" s="84">
        <v>19.899999999999999</v>
      </c>
      <c r="F64" s="84">
        <v>8</v>
      </c>
      <c r="G64" s="84"/>
    </row>
    <row r="65" spans="1:7" ht="13" x14ac:dyDescent="0.3">
      <c r="A65" s="126" t="s">
        <v>196</v>
      </c>
      <c r="B65" s="84"/>
      <c r="C65" s="84">
        <v>0.29399999999999998</v>
      </c>
      <c r="D65" s="84">
        <v>5.19</v>
      </c>
      <c r="E65" s="84">
        <v>18.989999999999998</v>
      </c>
      <c r="F65" s="84">
        <v>7.72</v>
      </c>
      <c r="G65" s="84"/>
    </row>
    <row r="66" spans="1:7" ht="13" x14ac:dyDescent="0.3">
      <c r="A66" s="126" t="s">
        <v>197</v>
      </c>
      <c r="B66" s="84"/>
      <c r="C66" s="84">
        <v>0.30499999999999999</v>
      </c>
      <c r="D66" s="84">
        <v>2.41</v>
      </c>
      <c r="E66" s="84">
        <v>18.68</v>
      </c>
      <c r="F66" s="84">
        <v>7.46</v>
      </c>
      <c r="G66" s="84"/>
    </row>
  </sheetData>
  <mergeCells count="5">
    <mergeCell ref="G32:H32"/>
    <mergeCell ref="A25:B25"/>
    <mergeCell ref="D25:E25"/>
    <mergeCell ref="G25:H25"/>
    <mergeCell ref="B28:C28"/>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M61"/>
  <sheetViews>
    <sheetView topLeftCell="A4" workbookViewId="0">
      <selection activeCell="G45" sqref="G45"/>
    </sheetView>
  </sheetViews>
  <sheetFormatPr defaultRowHeight="12.5" x14ac:dyDescent="0.25"/>
  <cols>
    <col min="2" max="2" width="9" bestFit="1" customWidth="1"/>
    <col min="3" max="3" width="14.54296875" style="557" bestFit="1" customWidth="1"/>
    <col min="4" max="4" width="26.6328125" bestFit="1" customWidth="1"/>
    <col min="5" max="5" width="13" style="32" customWidth="1"/>
    <col min="7" max="7" width="11.54296875" customWidth="1"/>
    <col min="8" max="8" width="50" customWidth="1"/>
  </cols>
  <sheetData>
    <row r="1" spans="2:13" ht="13" x14ac:dyDescent="0.3">
      <c r="B1" s="1" t="s">
        <v>23</v>
      </c>
      <c r="C1" s="169" t="s">
        <v>441</v>
      </c>
      <c r="D1" s="1" t="s">
        <v>424</v>
      </c>
      <c r="E1" s="30" t="s">
        <v>442</v>
      </c>
    </row>
    <row r="2" spans="2:13" x14ac:dyDescent="0.25">
      <c r="B2" t="s">
        <v>425</v>
      </c>
      <c r="C2" s="554">
        <v>40366</v>
      </c>
      <c r="D2" s="21" t="s">
        <v>423</v>
      </c>
      <c r="E2" s="174">
        <v>3</v>
      </c>
    </row>
    <row r="3" spans="2:13" x14ac:dyDescent="0.25">
      <c r="B3" t="s">
        <v>425</v>
      </c>
      <c r="C3" s="554">
        <v>40366</v>
      </c>
      <c r="D3" s="555" t="s">
        <v>426</v>
      </c>
      <c r="E3" s="174">
        <v>15</v>
      </c>
    </row>
    <row r="4" spans="2:13" x14ac:dyDescent="0.25">
      <c r="B4" t="s">
        <v>425</v>
      </c>
      <c r="C4" s="554">
        <v>40366</v>
      </c>
      <c r="D4" s="21" t="s">
        <v>216</v>
      </c>
      <c r="E4" s="174">
        <v>17</v>
      </c>
    </row>
    <row r="5" spans="2:13" x14ac:dyDescent="0.25">
      <c r="B5" t="s">
        <v>425</v>
      </c>
      <c r="C5" s="554">
        <v>40366</v>
      </c>
      <c r="D5" s="219" t="s">
        <v>259</v>
      </c>
      <c r="E5" s="556">
        <v>237</v>
      </c>
    </row>
    <row r="6" spans="2:13" ht="13" thickBot="1" x14ac:dyDescent="0.3">
      <c r="B6" t="s">
        <v>427</v>
      </c>
      <c r="C6" s="554">
        <v>40366</v>
      </c>
      <c r="D6" s="21" t="s">
        <v>423</v>
      </c>
      <c r="E6" s="174">
        <v>24</v>
      </c>
    </row>
    <row r="7" spans="2:13" ht="13" thickBot="1" x14ac:dyDescent="0.3">
      <c r="B7" t="s">
        <v>427</v>
      </c>
      <c r="C7" s="554">
        <v>40366</v>
      </c>
      <c r="D7" s="555" t="s">
        <v>426</v>
      </c>
      <c r="E7" s="174">
        <v>5</v>
      </c>
      <c r="G7" s="864" t="s">
        <v>443</v>
      </c>
      <c r="H7" s="864" t="s">
        <v>444</v>
      </c>
      <c r="I7" s="867">
        <v>40367</v>
      </c>
      <c r="J7" s="868"/>
      <c r="K7" s="868"/>
      <c r="L7" s="868"/>
      <c r="M7" s="869"/>
    </row>
    <row r="8" spans="2:13" ht="13" x14ac:dyDescent="0.3">
      <c r="B8" t="s">
        <v>427</v>
      </c>
      <c r="C8" s="554">
        <v>40366</v>
      </c>
      <c r="D8" s="21" t="s">
        <v>216</v>
      </c>
      <c r="E8" s="174">
        <v>10</v>
      </c>
      <c r="G8" s="865"/>
      <c r="H8" s="865"/>
      <c r="I8" s="562" t="s">
        <v>186</v>
      </c>
      <c r="J8" s="564" t="s">
        <v>185</v>
      </c>
      <c r="K8" s="564" t="s">
        <v>187</v>
      </c>
      <c r="L8" s="870" t="s">
        <v>188</v>
      </c>
      <c r="M8" s="872" t="s">
        <v>482</v>
      </c>
    </row>
    <row r="9" spans="2:13" ht="13.5" thickBot="1" x14ac:dyDescent="0.35">
      <c r="B9" t="s">
        <v>427</v>
      </c>
      <c r="C9" s="554">
        <v>40366</v>
      </c>
      <c r="D9" s="219" t="s">
        <v>259</v>
      </c>
      <c r="E9" s="556">
        <v>211</v>
      </c>
      <c r="G9" s="866"/>
      <c r="H9" s="866"/>
      <c r="I9" s="563" t="s">
        <v>479</v>
      </c>
      <c r="J9" s="565" t="s">
        <v>480</v>
      </c>
      <c r="K9" s="565" t="s">
        <v>481</v>
      </c>
      <c r="L9" s="871"/>
      <c r="M9" s="873"/>
    </row>
    <row r="10" spans="2:13" ht="15" thickBot="1" x14ac:dyDescent="0.4">
      <c r="B10" s="21" t="s">
        <v>428</v>
      </c>
      <c r="C10" s="171">
        <v>40367</v>
      </c>
      <c r="D10" s="21" t="s">
        <v>423</v>
      </c>
      <c r="E10" s="174">
        <v>38</v>
      </c>
      <c r="G10" s="862" t="s">
        <v>445</v>
      </c>
      <c r="H10" s="863"/>
      <c r="I10" s="566"/>
      <c r="J10" s="566"/>
      <c r="K10" s="566"/>
      <c r="L10" s="566"/>
      <c r="M10" s="567"/>
    </row>
    <row r="11" spans="2:13" ht="15" thickBot="1" x14ac:dyDescent="0.4">
      <c r="B11" s="21" t="s">
        <v>428</v>
      </c>
      <c r="C11" s="171">
        <v>40367</v>
      </c>
      <c r="D11" s="21" t="s">
        <v>426</v>
      </c>
      <c r="E11" s="174">
        <v>9</v>
      </c>
      <c r="G11" s="568" t="s">
        <v>428</v>
      </c>
      <c r="H11" s="569" t="s">
        <v>446</v>
      </c>
      <c r="I11" s="566">
        <v>11.41</v>
      </c>
      <c r="J11" s="566">
        <v>4.3999999999999997E-2</v>
      </c>
      <c r="K11" s="566">
        <v>8.9</v>
      </c>
      <c r="L11" s="566">
        <v>7.99</v>
      </c>
      <c r="M11" s="570">
        <v>1.55</v>
      </c>
    </row>
    <row r="12" spans="2:13" ht="15" thickBot="1" x14ac:dyDescent="0.4">
      <c r="B12" s="21" t="s">
        <v>428</v>
      </c>
      <c r="C12" s="171">
        <v>40367</v>
      </c>
      <c r="D12" s="21" t="s">
        <v>216</v>
      </c>
      <c r="E12" s="174">
        <v>8</v>
      </c>
      <c r="G12" s="568" t="s">
        <v>447</v>
      </c>
      <c r="H12" s="569" t="s">
        <v>448</v>
      </c>
      <c r="I12" s="566">
        <v>10.74</v>
      </c>
      <c r="J12" s="566">
        <v>6.8000000000000005E-2</v>
      </c>
      <c r="K12" s="566">
        <v>11.4</v>
      </c>
      <c r="L12" s="566">
        <v>8.18</v>
      </c>
      <c r="M12" s="570">
        <v>1.93</v>
      </c>
    </row>
    <row r="13" spans="2:13" ht="15" thickBot="1" x14ac:dyDescent="0.4">
      <c r="B13" s="21" t="s">
        <v>224</v>
      </c>
      <c r="C13" s="171">
        <v>40367</v>
      </c>
      <c r="D13" s="21" t="s">
        <v>423</v>
      </c>
      <c r="E13" s="174">
        <v>23</v>
      </c>
      <c r="G13" s="862" t="s">
        <v>449</v>
      </c>
      <c r="H13" s="863"/>
      <c r="I13" s="566"/>
      <c r="J13" s="566"/>
      <c r="K13" s="566"/>
      <c r="L13" s="566"/>
      <c r="M13" s="567"/>
    </row>
    <row r="14" spans="2:13" ht="15" thickBot="1" x14ac:dyDescent="0.4">
      <c r="B14" s="21" t="s">
        <v>224</v>
      </c>
      <c r="C14" s="171">
        <v>40367</v>
      </c>
      <c r="D14" s="21" t="s">
        <v>426</v>
      </c>
      <c r="E14" s="174">
        <v>11</v>
      </c>
      <c r="G14" s="568" t="s">
        <v>429</v>
      </c>
      <c r="H14" s="569" t="s">
        <v>450</v>
      </c>
      <c r="I14" s="566">
        <v>9.1199999999999992</v>
      </c>
      <c r="J14" s="566">
        <v>7.1999999999999995E-2</v>
      </c>
      <c r="K14" s="566">
        <v>15.5</v>
      </c>
      <c r="L14" s="566">
        <v>8.25</v>
      </c>
      <c r="M14" s="570">
        <v>2.75</v>
      </c>
    </row>
    <row r="15" spans="2:13" ht="15" thickBot="1" x14ac:dyDescent="0.4">
      <c r="B15" s="21" t="s">
        <v>224</v>
      </c>
      <c r="C15" s="171">
        <v>40367</v>
      </c>
      <c r="D15" s="21" t="s">
        <v>216</v>
      </c>
      <c r="E15" s="174">
        <v>11</v>
      </c>
      <c r="G15" s="568" t="s">
        <v>430</v>
      </c>
      <c r="H15" s="569" t="s">
        <v>451</v>
      </c>
      <c r="I15" s="566">
        <v>5.69</v>
      </c>
      <c r="J15" s="566">
        <v>7.4999999999999997E-2</v>
      </c>
      <c r="K15" s="566">
        <v>12.9</v>
      </c>
      <c r="L15" s="566">
        <v>7.67</v>
      </c>
      <c r="M15" s="570">
        <v>1.53</v>
      </c>
    </row>
    <row r="16" spans="2:13" ht="15" thickBot="1" x14ac:dyDescent="0.4">
      <c r="B16" s="21" t="s">
        <v>429</v>
      </c>
      <c r="C16" s="171">
        <v>40367</v>
      </c>
      <c r="D16" s="21" t="s">
        <v>423</v>
      </c>
      <c r="E16" s="174">
        <v>7</v>
      </c>
      <c r="G16" s="862" t="s">
        <v>452</v>
      </c>
      <c r="H16" s="863"/>
      <c r="I16" s="566"/>
      <c r="J16" s="566"/>
      <c r="K16" s="566"/>
      <c r="L16" s="566"/>
      <c r="M16" s="567"/>
    </row>
    <row r="17" spans="2:13" ht="15" thickBot="1" x14ac:dyDescent="0.4">
      <c r="B17" s="21" t="s">
        <v>429</v>
      </c>
      <c r="C17" s="171">
        <v>40367</v>
      </c>
      <c r="D17" s="21" t="s">
        <v>216</v>
      </c>
      <c r="E17" s="174">
        <v>10</v>
      </c>
      <c r="G17" s="568" t="s">
        <v>226</v>
      </c>
      <c r="H17" s="569" t="s">
        <v>453</v>
      </c>
      <c r="I17" s="566">
        <v>9.7799999999999994</v>
      </c>
      <c r="J17" s="566">
        <v>8.1000000000000003E-2</v>
      </c>
      <c r="K17" s="566">
        <v>14.8</v>
      </c>
      <c r="L17" s="566">
        <v>8.16</v>
      </c>
      <c r="M17" s="570">
        <v>1.95</v>
      </c>
    </row>
    <row r="18" spans="2:13" ht="15" thickBot="1" x14ac:dyDescent="0.4">
      <c r="B18" s="21" t="s">
        <v>429</v>
      </c>
      <c r="C18" s="171">
        <v>40367</v>
      </c>
      <c r="D18" s="21" t="s">
        <v>426</v>
      </c>
      <c r="E18" s="174">
        <v>22</v>
      </c>
      <c r="G18" s="568" t="s">
        <v>431</v>
      </c>
      <c r="H18" s="569" t="s">
        <v>454</v>
      </c>
      <c r="I18" s="566">
        <v>9.69</v>
      </c>
      <c r="J18" s="566">
        <v>9.0999999999999998E-2</v>
      </c>
      <c r="K18" s="566">
        <v>15.2</v>
      </c>
      <c r="L18" s="566">
        <v>8.1300000000000008</v>
      </c>
      <c r="M18" s="570">
        <v>1.97</v>
      </c>
    </row>
    <row r="19" spans="2:13" ht="15" thickBot="1" x14ac:dyDescent="0.4">
      <c r="B19" s="21" t="s">
        <v>430</v>
      </c>
      <c r="C19" s="171">
        <v>40367</v>
      </c>
      <c r="D19" s="21" t="s">
        <v>423</v>
      </c>
      <c r="E19" s="174">
        <v>16</v>
      </c>
      <c r="G19" s="568" t="s">
        <v>432</v>
      </c>
      <c r="H19" s="569" t="s">
        <v>455</v>
      </c>
      <c r="I19" s="566">
        <v>9.5399999999999991</v>
      </c>
      <c r="J19" s="566">
        <v>0.121</v>
      </c>
      <c r="K19" s="566">
        <v>15.3</v>
      </c>
      <c r="L19" s="566">
        <v>8.17</v>
      </c>
      <c r="M19" s="570">
        <v>1.9</v>
      </c>
    </row>
    <row r="20" spans="2:13" ht="15" thickBot="1" x14ac:dyDescent="0.4">
      <c r="B20" s="21" t="s">
        <v>430</v>
      </c>
      <c r="C20" s="171">
        <v>40367</v>
      </c>
      <c r="D20" s="21" t="s">
        <v>216</v>
      </c>
      <c r="E20" s="174">
        <v>22</v>
      </c>
      <c r="G20" s="568" t="s">
        <v>433</v>
      </c>
      <c r="H20" s="569" t="s">
        <v>456</v>
      </c>
      <c r="I20" s="566">
        <v>9.7899999999999991</v>
      </c>
      <c r="J20" s="566">
        <v>0.14599999999999999</v>
      </c>
      <c r="K20" s="566">
        <v>15.2</v>
      </c>
      <c r="L20" s="566">
        <v>8.39</v>
      </c>
      <c r="M20" s="570">
        <v>1.75</v>
      </c>
    </row>
    <row r="21" spans="2:13" ht="15" thickBot="1" x14ac:dyDescent="0.4">
      <c r="B21" s="21" t="s">
        <v>430</v>
      </c>
      <c r="C21" s="171">
        <v>40367</v>
      </c>
      <c r="D21" s="21" t="s">
        <v>426</v>
      </c>
      <c r="E21" s="174">
        <v>147</v>
      </c>
      <c r="G21" s="568" t="s">
        <v>434</v>
      </c>
      <c r="H21" s="569" t="s">
        <v>457</v>
      </c>
      <c r="I21" s="566">
        <v>9.73</v>
      </c>
      <c r="J21" s="566">
        <v>0.153</v>
      </c>
      <c r="K21" s="566">
        <v>15.2</v>
      </c>
      <c r="L21" s="566">
        <v>8.35</v>
      </c>
      <c r="M21" s="570">
        <v>1.57</v>
      </c>
    </row>
    <row r="22" spans="2:13" ht="15" thickBot="1" x14ac:dyDescent="0.4">
      <c r="B22" s="21" t="s">
        <v>226</v>
      </c>
      <c r="C22" s="171">
        <v>40367</v>
      </c>
      <c r="D22" s="21" t="s">
        <v>423</v>
      </c>
      <c r="E22" s="174">
        <v>19</v>
      </c>
      <c r="G22" s="568" t="s">
        <v>435</v>
      </c>
      <c r="H22" s="569" t="s">
        <v>458</v>
      </c>
      <c r="I22" s="566">
        <v>9.84</v>
      </c>
      <c r="J22" s="566">
        <v>0.14499999999999999</v>
      </c>
      <c r="K22" s="566">
        <v>15.2</v>
      </c>
      <c r="L22" s="566">
        <v>8.2799999999999994</v>
      </c>
      <c r="M22" s="570">
        <v>1.45</v>
      </c>
    </row>
    <row r="23" spans="2:13" ht="13" thickBot="1" x14ac:dyDescent="0.3">
      <c r="B23" s="21" t="s">
        <v>226</v>
      </c>
      <c r="C23" s="171">
        <v>40367</v>
      </c>
      <c r="D23" s="21" t="s">
        <v>426</v>
      </c>
      <c r="E23" s="174">
        <v>30</v>
      </c>
      <c r="G23" s="862" t="s">
        <v>459</v>
      </c>
      <c r="H23" s="874"/>
      <c r="I23" s="571"/>
      <c r="J23" s="572"/>
      <c r="K23" s="573"/>
      <c r="L23" s="573"/>
      <c r="M23" s="567"/>
    </row>
    <row r="24" spans="2:13" ht="15" thickBot="1" x14ac:dyDescent="0.4">
      <c r="B24" s="21" t="s">
        <v>226</v>
      </c>
      <c r="C24" s="171">
        <v>40367</v>
      </c>
      <c r="D24" s="21" t="s">
        <v>216</v>
      </c>
      <c r="E24" s="174">
        <v>14</v>
      </c>
      <c r="G24" s="568" t="s">
        <v>438</v>
      </c>
      <c r="H24" s="569" t="s">
        <v>460</v>
      </c>
      <c r="I24" s="566">
        <v>11.1</v>
      </c>
      <c r="J24" s="566">
        <v>6.3E-2</v>
      </c>
      <c r="K24" s="566">
        <v>9.1</v>
      </c>
      <c r="L24" s="566">
        <v>7.91</v>
      </c>
      <c r="M24" s="570">
        <v>1.41</v>
      </c>
    </row>
    <row r="25" spans="2:13" ht="15" thickBot="1" x14ac:dyDescent="0.4">
      <c r="B25" s="21" t="s">
        <v>431</v>
      </c>
      <c r="C25" s="171">
        <v>40367</v>
      </c>
      <c r="D25" s="21" t="s">
        <v>423</v>
      </c>
      <c r="E25" s="174">
        <v>61</v>
      </c>
      <c r="G25" s="862" t="s">
        <v>461</v>
      </c>
      <c r="H25" s="874"/>
      <c r="I25" s="566"/>
      <c r="J25" s="566"/>
      <c r="K25" s="566"/>
      <c r="L25" s="566"/>
      <c r="M25" s="567"/>
    </row>
    <row r="26" spans="2:13" ht="15" thickBot="1" x14ac:dyDescent="0.4">
      <c r="B26" s="21" t="s">
        <v>431</v>
      </c>
      <c r="C26" s="171">
        <v>40367</v>
      </c>
      <c r="D26" s="21" t="s">
        <v>426</v>
      </c>
      <c r="E26" s="174">
        <v>64</v>
      </c>
      <c r="G26" s="568" t="s">
        <v>440</v>
      </c>
      <c r="H26" s="569" t="s">
        <v>462</v>
      </c>
      <c r="I26" s="566">
        <v>10.08</v>
      </c>
      <c r="J26" s="566">
        <v>0.128</v>
      </c>
      <c r="K26" s="566">
        <v>12.1</v>
      </c>
      <c r="L26" s="566">
        <v>8.26</v>
      </c>
      <c r="M26" s="570">
        <v>1.33</v>
      </c>
    </row>
    <row r="27" spans="2:13" ht="15" thickBot="1" x14ac:dyDescent="0.4">
      <c r="B27" s="21" t="s">
        <v>431</v>
      </c>
      <c r="C27" s="171">
        <v>40367</v>
      </c>
      <c r="D27" s="21" t="s">
        <v>216</v>
      </c>
      <c r="E27" s="174">
        <v>24</v>
      </c>
      <c r="G27" s="568" t="s">
        <v>439</v>
      </c>
      <c r="H27" s="569" t="s">
        <v>463</v>
      </c>
      <c r="I27" s="566">
        <v>10.06</v>
      </c>
      <c r="J27" s="566">
        <v>7.8E-2</v>
      </c>
      <c r="K27" s="566">
        <v>9.1</v>
      </c>
      <c r="L27" s="566">
        <v>8.17</v>
      </c>
      <c r="M27" s="570"/>
    </row>
    <row r="28" spans="2:13" ht="15" thickBot="1" x14ac:dyDescent="0.4">
      <c r="B28" s="21" t="s">
        <v>432</v>
      </c>
      <c r="C28" s="171">
        <v>40367</v>
      </c>
      <c r="D28" s="21" t="s">
        <v>423</v>
      </c>
      <c r="E28" s="174">
        <v>121</v>
      </c>
      <c r="G28" s="568" t="s">
        <v>464</v>
      </c>
      <c r="H28" s="569" t="s">
        <v>465</v>
      </c>
      <c r="I28" s="566"/>
      <c r="J28" s="566"/>
      <c r="K28" s="566"/>
      <c r="L28" s="566"/>
      <c r="M28" s="567"/>
    </row>
    <row r="29" spans="2:13" ht="15" thickBot="1" x14ac:dyDescent="0.4">
      <c r="B29" s="21" t="s">
        <v>432</v>
      </c>
      <c r="C29" s="171">
        <v>40367</v>
      </c>
      <c r="D29" s="21" t="s">
        <v>426</v>
      </c>
      <c r="E29" s="174">
        <v>83</v>
      </c>
      <c r="G29" s="862" t="s">
        <v>466</v>
      </c>
      <c r="H29" s="874"/>
      <c r="I29" s="566"/>
      <c r="J29" s="566"/>
      <c r="K29" s="566"/>
      <c r="L29" s="566"/>
      <c r="M29" s="567"/>
    </row>
    <row r="30" spans="2:13" ht="15" thickBot="1" x14ac:dyDescent="0.4">
      <c r="B30" s="21" t="s">
        <v>432</v>
      </c>
      <c r="C30" s="171">
        <v>40367</v>
      </c>
      <c r="D30" s="21" t="s">
        <v>216</v>
      </c>
      <c r="E30" s="174">
        <v>19</v>
      </c>
      <c r="G30" s="568" t="s">
        <v>436</v>
      </c>
      <c r="H30" s="569" t="s">
        <v>467</v>
      </c>
      <c r="I30" s="566">
        <v>8.86</v>
      </c>
      <c r="J30" s="566">
        <v>0.75</v>
      </c>
      <c r="K30" s="566">
        <v>12.9</v>
      </c>
      <c r="L30" s="566">
        <v>8.02</v>
      </c>
      <c r="M30" s="570">
        <v>1.17</v>
      </c>
    </row>
    <row r="31" spans="2:13" ht="15" thickBot="1" x14ac:dyDescent="0.4">
      <c r="B31" s="21" t="s">
        <v>433</v>
      </c>
      <c r="C31" s="171">
        <v>40367</v>
      </c>
      <c r="D31" s="21" t="s">
        <v>423</v>
      </c>
      <c r="E31" s="174">
        <v>201</v>
      </c>
      <c r="G31" s="862" t="s">
        <v>468</v>
      </c>
      <c r="H31" s="874"/>
      <c r="I31" s="566"/>
      <c r="J31" s="566"/>
      <c r="K31" s="566"/>
      <c r="L31" s="566"/>
      <c r="M31" s="567"/>
    </row>
    <row r="32" spans="2:13" ht="15" thickBot="1" x14ac:dyDescent="0.4">
      <c r="B32" s="21" t="s">
        <v>433</v>
      </c>
      <c r="C32" s="171">
        <v>40367</v>
      </c>
      <c r="D32" s="21" t="s">
        <v>426</v>
      </c>
      <c r="E32" s="174">
        <v>25</v>
      </c>
      <c r="G32" s="568" t="s">
        <v>437</v>
      </c>
      <c r="H32" s="569" t="s">
        <v>469</v>
      </c>
      <c r="I32" s="566">
        <v>9.26</v>
      </c>
      <c r="J32" s="566">
        <v>0.25700000000000001</v>
      </c>
      <c r="K32" s="566">
        <v>12.9</v>
      </c>
      <c r="L32" s="566">
        <v>8.1300000000000008</v>
      </c>
      <c r="M32" s="570">
        <v>1.22</v>
      </c>
    </row>
    <row r="33" spans="2:13" ht="15" thickBot="1" x14ac:dyDescent="0.4">
      <c r="B33" s="21" t="s">
        <v>433</v>
      </c>
      <c r="C33" s="171">
        <v>40367</v>
      </c>
      <c r="D33" s="21" t="s">
        <v>216</v>
      </c>
      <c r="E33" s="174">
        <v>32</v>
      </c>
      <c r="G33" s="862" t="s">
        <v>470</v>
      </c>
      <c r="H33" s="874"/>
      <c r="I33" s="566"/>
      <c r="J33" s="566"/>
      <c r="K33" s="566"/>
      <c r="L33" s="566"/>
      <c r="M33" s="567"/>
    </row>
    <row r="34" spans="2:13" ht="15" thickBot="1" x14ac:dyDescent="0.4">
      <c r="B34" s="21" t="s">
        <v>434</v>
      </c>
      <c r="C34" s="171">
        <v>40367</v>
      </c>
      <c r="D34" s="21" t="s">
        <v>423</v>
      </c>
      <c r="E34" s="174">
        <v>208</v>
      </c>
      <c r="G34" s="568" t="s">
        <v>427</v>
      </c>
      <c r="H34" s="569" t="s">
        <v>477</v>
      </c>
      <c r="I34" s="566">
        <v>7.64</v>
      </c>
      <c r="J34" s="566">
        <v>0.02</v>
      </c>
      <c r="K34" s="566">
        <v>7.9</v>
      </c>
      <c r="L34" s="566">
        <v>9.0399999999999991</v>
      </c>
      <c r="M34" s="570">
        <v>2.52</v>
      </c>
    </row>
    <row r="35" spans="2:13" ht="15" thickBot="1" x14ac:dyDescent="0.4">
      <c r="B35" s="21" t="s">
        <v>434</v>
      </c>
      <c r="C35" s="171">
        <v>40367</v>
      </c>
      <c r="D35" s="21" t="s">
        <v>426</v>
      </c>
      <c r="E35" s="174">
        <v>19</v>
      </c>
      <c r="G35" s="568" t="s">
        <v>425</v>
      </c>
      <c r="H35" s="569" t="s">
        <v>471</v>
      </c>
      <c r="I35" s="566">
        <v>7.46</v>
      </c>
      <c r="J35" s="566">
        <v>0.02</v>
      </c>
      <c r="K35" s="566">
        <v>7.9</v>
      </c>
      <c r="L35" s="566">
        <v>8.43</v>
      </c>
      <c r="M35" s="570">
        <v>2.46</v>
      </c>
    </row>
    <row r="36" spans="2:13" ht="15" thickBot="1" x14ac:dyDescent="0.4">
      <c r="B36" s="21" t="s">
        <v>434</v>
      </c>
      <c r="C36" s="171">
        <v>40367</v>
      </c>
      <c r="D36" s="21" t="s">
        <v>216</v>
      </c>
      <c r="E36" s="174">
        <v>13</v>
      </c>
      <c r="G36" s="568" t="s">
        <v>472</v>
      </c>
      <c r="H36" s="569" t="s">
        <v>473</v>
      </c>
      <c r="I36" s="566">
        <v>8.7200000000000006</v>
      </c>
      <c r="J36" s="566">
        <v>3.6999999999999998E-2</v>
      </c>
      <c r="K36" s="566">
        <v>10.38</v>
      </c>
      <c r="L36" s="566">
        <v>6.1</v>
      </c>
      <c r="M36" s="567"/>
    </row>
    <row r="37" spans="2:13" x14ac:dyDescent="0.25">
      <c r="B37" s="21" t="s">
        <v>435</v>
      </c>
      <c r="C37" s="171">
        <v>40367</v>
      </c>
      <c r="D37" s="21" t="s">
        <v>423</v>
      </c>
      <c r="E37" s="174">
        <v>168</v>
      </c>
    </row>
    <row r="38" spans="2:13" x14ac:dyDescent="0.25">
      <c r="B38" s="21" t="s">
        <v>435</v>
      </c>
      <c r="C38" s="171">
        <v>40367</v>
      </c>
      <c r="D38" s="21" t="s">
        <v>426</v>
      </c>
      <c r="E38" s="174">
        <v>17</v>
      </c>
    </row>
    <row r="39" spans="2:13" x14ac:dyDescent="0.25">
      <c r="B39" s="21" t="s">
        <v>435</v>
      </c>
      <c r="C39" s="171">
        <v>40367</v>
      </c>
      <c r="D39" s="21" t="s">
        <v>216</v>
      </c>
      <c r="E39" s="174">
        <v>21</v>
      </c>
    </row>
    <row r="40" spans="2:13" x14ac:dyDescent="0.25">
      <c r="B40" s="21" t="s">
        <v>436</v>
      </c>
      <c r="C40" s="171">
        <v>40367</v>
      </c>
      <c r="D40" s="21" t="s">
        <v>423</v>
      </c>
      <c r="E40" s="174">
        <v>113</v>
      </c>
    </row>
    <row r="41" spans="2:13" x14ac:dyDescent="0.25">
      <c r="B41" s="21" t="s">
        <v>436</v>
      </c>
      <c r="C41" s="171">
        <v>40367</v>
      </c>
      <c r="D41" s="21" t="s">
        <v>426</v>
      </c>
      <c r="E41" s="174">
        <v>27</v>
      </c>
    </row>
    <row r="42" spans="2:13" x14ac:dyDescent="0.25">
      <c r="B42" s="21" t="s">
        <v>436</v>
      </c>
      <c r="C42" s="171">
        <v>40367</v>
      </c>
      <c r="D42" s="21" t="s">
        <v>216</v>
      </c>
      <c r="E42" s="174">
        <v>45</v>
      </c>
    </row>
    <row r="43" spans="2:13" x14ac:dyDescent="0.25">
      <c r="B43" s="21" t="s">
        <v>437</v>
      </c>
      <c r="C43" s="171">
        <v>40367</v>
      </c>
      <c r="D43" s="21" t="s">
        <v>423</v>
      </c>
      <c r="E43" s="174">
        <v>120</v>
      </c>
    </row>
    <row r="44" spans="2:13" x14ac:dyDescent="0.25">
      <c r="B44" s="21" t="s">
        <v>437</v>
      </c>
      <c r="C44" s="171">
        <v>40367</v>
      </c>
      <c r="D44" s="21" t="s">
        <v>426</v>
      </c>
      <c r="E44" s="174">
        <v>20</v>
      </c>
    </row>
    <row r="45" spans="2:13" x14ac:dyDescent="0.25">
      <c r="B45" s="21" t="s">
        <v>437</v>
      </c>
      <c r="C45" s="171">
        <v>40367</v>
      </c>
      <c r="D45" s="21" t="s">
        <v>216</v>
      </c>
      <c r="E45" s="174">
        <v>29</v>
      </c>
    </row>
    <row r="46" spans="2:13" x14ac:dyDescent="0.25">
      <c r="B46" s="21" t="s">
        <v>438</v>
      </c>
      <c r="C46" s="171">
        <v>40367</v>
      </c>
      <c r="D46" s="21" t="s">
        <v>423</v>
      </c>
      <c r="E46" s="174">
        <v>11</v>
      </c>
    </row>
    <row r="47" spans="2:13" x14ac:dyDescent="0.25">
      <c r="B47" s="21" t="s">
        <v>438</v>
      </c>
      <c r="C47" s="171">
        <v>40367</v>
      </c>
      <c r="D47" s="21" t="s">
        <v>426</v>
      </c>
      <c r="E47" s="174">
        <v>16</v>
      </c>
    </row>
    <row r="48" spans="2:13" x14ac:dyDescent="0.25">
      <c r="B48" s="21" t="s">
        <v>438</v>
      </c>
      <c r="C48" s="171">
        <v>40367</v>
      </c>
      <c r="D48" s="21" t="s">
        <v>216</v>
      </c>
      <c r="E48" s="174">
        <v>9</v>
      </c>
    </row>
    <row r="49" spans="2:5" x14ac:dyDescent="0.25">
      <c r="B49" s="21" t="s">
        <v>439</v>
      </c>
      <c r="C49" s="171">
        <v>40367</v>
      </c>
      <c r="D49" s="21" t="s">
        <v>423</v>
      </c>
      <c r="E49" s="174">
        <v>174</v>
      </c>
    </row>
    <row r="50" spans="2:5" x14ac:dyDescent="0.25">
      <c r="B50" s="21" t="s">
        <v>439</v>
      </c>
      <c r="C50" s="171">
        <v>40367</v>
      </c>
      <c r="D50" s="21" t="s">
        <v>426</v>
      </c>
      <c r="E50" s="174">
        <v>10</v>
      </c>
    </row>
    <row r="51" spans="2:5" x14ac:dyDescent="0.25">
      <c r="B51" s="21" t="s">
        <v>439</v>
      </c>
      <c r="C51" s="171">
        <v>40367</v>
      </c>
      <c r="D51" s="21" t="s">
        <v>216</v>
      </c>
      <c r="E51" s="174">
        <v>54</v>
      </c>
    </row>
    <row r="52" spans="2:5" x14ac:dyDescent="0.25">
      <c r="B52" s="21" t="s">
        <v>440</v>
      </c>
      <c r="C52" s="171">
        <v>40367</v>
      </c>
      <c r="D52" s="21" t="s">
        <v>423</v>
      </c>
      <c r="E52" s="174">
        <v>126</v>
      </c>
    </row>
    <row r="53" spans="2:5" x14ac:dyDescent="0.25">
      <c r="B53" s="21" t="s">
        <v>440</v>
      </c>
      <c r="C53" s="171">
        <v>40367</v>
      </c>
      <c r="D53" s="21" t="s">
        <v>426</v>
      </c>
      <c r="E53" s="174">
        <v>15</v>
      </c>
    </row>
    <row r="54" spans="2:5" x14ac:dyDescent="0.25">
      <c r="B54" s="21" t="s">
        <v>440</v>
      </c>
      <c r="C54" s="171">
        <v>40367</v>
      </c>
      <c r="D54" s="21" t="s">
        <v>216</v>
      </c>
      <c r="E54" s="174">
        <v>18</v>
      </c>
    </row>
    <row r="55" spans="2:5" x14ac:dyDescent="0.25">
      <c r="B55" s="21"/>
      <c r="C55" s="171"/>
      <c r="D55" s="21"/>
      <c r="E55" s="174"/>
    </row>
    <row r="56" spans="2:5" x14ac:dyDescent="0.25">
      <c r="B56" s="21"/>
      <c r="C56" s="171"/>
      <c r="D56" s="21"/>
      <c r="E56" s="174"/>
    </row>
    <row r="57" spans="2:5" x14ac:dyDescent="0.25">
      <c r="B57" s="21"/>
      <c r="D57" s="21"/>
    </row>
    <row r="58" spans="2:5" x14ac:dyDescent="0.25">
      <c r="B58" s="21"/>
      <c r="D58" s="555"/>
      <c r="E58" s="558"/>
    </row>
    <row r="59" spans="2:5" x14ac:dyDescent="0.25">
      <c r="B59" s="21"/>
      <c r="C59" s="171"/>
      <c r="D59" s="21"/>
      <c r="E59" s="174"/>
    </row>
    <row r="60" spans="2:5" x14ac:dyDescent="0.25">
      <c r="B60" s="21"/>
      <c r="C60" s="171"/>
      <c r="D60" s="21"/>
      <c r="E60" s="174"/>
    </row>
    <row r="61" spans="2:5" x14ac:dyDescent="0.25">
      <c r="B61" s="21"/>
      <c r="C61" s="171"/>
      <c r="D61" s="21"/>
      <c r="E61" s="174"/>
    </row>
  </sheetData>
  <mergeCells count="13">
    <mergeCell ref="G33:H33"/>
    <mergeCell ref="G13:H13"/>
    <mergeCell ref="G16:H16"/>
    <mergeCell ref="G23:H23"/>
    <mergeCell ref="G25:H25"/>
    <mergeCell ref="G29:H29"/>
    <mergeCell ref="G31:H31"/>
    <mergeCell ref="G10:H10"/>
    <mergeCell ref="G7:G9"/>
    <mergeCell ref="H7:H9"/>
    <mergeCell ref="I7:M7"/>
    <mergeCell ref="L8:L9"/>
    <mergeCell ref="M8:M9"/>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69"/>
  <sheetViews>
    <sheetView workbookViewId="0">
      <selection activeCell="F4" sqref="F4:F18"/>
    </sheetView>
  </sheetViews>
  <sheetFormatPr defaultRowHeight="12.5" x14ac:dyDescent="0.25"/>
  <cols>
    <col min="1" max="1" width="14.36328125" customWidth="1"/>
    <col min="2" max="2" width="10.08984375" bestFit="1" customWidth="1"/>
    <col min="4" max="4" width="10.90625" customWidth="1"/>
    <col min="7" max="7" width="12" customWidth="1"/>
    <col min="8" max="8" width="17" customWidth="1"/>
    <col min="10" max="10" width="16.6328125" bestFit="1" customWidth="1"/>
    <col min="11" max="11" width="17.90625" bestFit="1" customWidth="1"/>
  </cols>
  <sheetData>
    <row r="1" spans="1:11" ht="16" thickBot="1" x14ac:dyDescent="0.4">
      <c r="A1" s="135" t="s">
        <v>323</v>
      </c>
      <c r="J1" s="574" t="s">
        <v>483</v>
      </c>
      <c r="K1" s="575" t="s">
        <v>484</v>
      </c>
    </row>
    <row r="2" spans="1:11" ht="14.5" thickBot="1" x14ac:dyDescent="0.35">
      <c r="A2" s="1" t="s">
        <v>180</v>
      </c>
      <c r="B2" s="155">
        <v>40385</v>
      </c>
      <c r="J2" s="576" t="s">
        <v>291</v>
      </c>
      <c r="K2" s="577">
        <v>6</v>
      </c>
    </row>
    <row r="3" spans="1:11" ht="14.5" thickBot="1" x14ac:dyDescent="0.35">
      <c r="A3" s="209" t="s">
        <v>23</v>
      </c>
      <c r="B3" s="209" t="s">
        <v>184</v>
      </c>
      <c r="C3" s="209" t="s">
        <v>185</v>
      </c>
      <c r="D3" s="209" t="s">
        <v>186</v>
      </c>
      <c r="E3" s="209" t="s">
        <v>187</v>
      </c>
      <c r="F3" s="209" t="s">
        <v>188</v>
      </c>
      <c r="J3" s="576" t="s">
        <v>292</v>
      </c>
      <c r="K3" s="577" t="s">
        <v>485</v>
      </c>
    </row>
    <row r="4" spans="1:11" ht="14.5" thickBot="1" x14ac:dyDescent="0.35">
      <c r="A4" s="94" t="s">
        <v>238</v>
      </c>
      <c r="B4" s="143">
        <v>0.39513888888888887</v>
      </c>
      <c r="C4" s="84">
        <v>1.1200000000000001</v>
      </c>
      <c r="D4" s="84">
        <v>8.16</v>
      </c>
      <c r="E4" s="84">
        <v>15.4</v>
      </c>
      <c r="F4" s="84">
        <v>8.42</v>
      </c>
      <c r="G4" s="92"/>
      <c r="J4" s="576" t="s">
        <v>288</v>
      </c>
      <c r="K4" s="577" t="s">
        <v>486</v>
      </c>
    </row>
    <row r="5" spans="1:11" ht="14.5" thickBot="1" x14ac:dyDescent="0.35">
      <c r="A5" s="94" t="s">
        <v>239</v>
      </c>
      <c r="B5" s="143">
        <v>0.41250000000000003</v>
      </c>
      <c r="C5" s="84">
        <v>0.26910000000000001</v>
      </c>
      <c r="D5" s="84">
        <v>7.67</v>
      </c>
      <c r="E5" s="84">
        <v>16.96</v>
      </c>
      <c r="F5" s="84">
        <v>8.3000000000000007</v>
      </c>
      <c r="G5" s="92"/>
      <c r="J5" s="576" t="s">
        <v>282</v>
      </c>
      <c r="K5" s="577">
        <v>37</v>
      </c>
    </row>
    <row r="6" spans="1:11" ht="14.5" thickBot="1" x14ac:dyDescent="0.35">
      <c r="A6" s="94" t="s">
        <v>240</v>
      </c>
      <c r="B6" s="143">
        <v>0.4291666666666667</v>
      </c>
      <c r="C6" s="84">
        <v>0.31509999999999999</v>
      </c>
      <c r="D6" s="84">
        <v>7.31</v>
      </c>
      <c r="E6" s="84">
        <v>22.74</v>
      </c>
      <c r="F6" s="84">
        <v>8.4499999999999993</v>
      </c>
      <c r="G6" s="92"/>
      <c r="J6" s="576" t="s">
        <v>284</v>
      </c>
      <c r="K6" s="577">
        <v>99</v>
      </c>
    </row>
    <row r="7" spans="1:11" ht="14.5" thickBot="1" x14ac:dyDescent="0.35">
      <c r="A7" s="94" t="s">
        <v>229</v>
      </c>
      <c r="B7" s="318" t="s">
        <v>241</v>
      </c>
      <c r="C7" s="502"/>
      <c r="D7" s="502"/>
      <c r="E7" s="502"/>
      <c r="F7" s="729"/>
      <c r="G7" s="209" t="s">
        <v>201</v>
      </c>
      <c r="H7" s="210" t="s">
        <v>213</v>
      </c>
      <c r="J7" s="576" t="s">
        <v>489</v>
      </c>
      <c r="K7" s="577" t="s">
        <v>487</v>
      </c>
    </row>
    <row r="8" spans="1:11" ht="14.5" thickBot="1" x14ac:dyDescent="0.35">
      <c r="A8" s="126" t="s">
        <v>192</v>
      </c>
      <c r="B8" s="143">
        <v>0.47152777777777777</v>
      </c>
      <c r="C8" s="84">
        <v>0.31559999999999999</v>
      </c>
      <c r="D8" s="84">
        <v>7.76</v>
      </c>
      <c r="E8" s="84">
        <v>22.52</v>
      </c>
      <c r="F8" s="84">
        <v>8.42</v>
      </c>
      <c r="G8" s="134">
        <v>1.45</v>
      </c>
      <c r="H8" s="188">
        <v>10.8</v>
      </c>
      <c r="J8" s="576" t="s">
        <v>286</v>
      </c>
      <c r="K8" s="577" t="s">
        <v>488</v>
      </c>
    </row>
    <row r="9" spans="1:11" ht="13" x14ac:dyDescent="0.3">
      <c r="A9" s="126" t="s">
        <v>193</v>
      </c>
      <c r="B9" s="84"/>
      <c r="C9" s="84">
        <v>0.31569999999999998</v>
      </c>
      <c r="D9" s="84">
        <v>7.52</v>
      </c>
      <c r="E9" s="84">
        <v>22.44</v>
      </c>
      <c r="F9" s="84">
        <v>8.34</v>
      </c>
      <c r="G9" s="84"/>
      <c r="J9" s="422" t="s">
        <v>301</v>
      </c>
      <c r="K9" s="291">
        <v>5</v>
      </c>
    </row>
    <row r="10" spans="1:11" ht="13" x14ac:dyDescent="0.3">
      <c r="A10" s="126" t="s">
        <v>194</v>
      </c>
      <c r="B10" s="84"/>
      <c r="C10" s="84">
        <v>0.31559999999999999</v>
      </c>
      <c r="D10" s="84">
        <v>7.36</v>
      </c>
      <c r="E10" s="84">
        <v>22.31</v>
      </c>
      <c r="F10" s="84">
        <v>8.2899999999999991</v>
      </c>
      <c r="G10" s="84"/>
      <c r="K10">
        <f>SUM(K2:K9)</f>
        <v>147</v>
      </c>
    </row>
    <row r="11" spans="1:11" ht="13" x14ac:dyDescent="0.3">
      <c r="A11" s="126" t="s">
        <v>195</v>
      </c>
      <c r="B11" s="84"/>
      <c r="C11" s="84">
        <v>0.31569999999999998</v>
      </c>
      <c r="D11" s="84">
        <v>7.31</v>
      </c>
      <c r="E11" s="84">
        <v>22.28</v>
      </c>
      <c r="F11" s="84">
        <v>8.26</v>
      </c>
      <c r="G11" s="84"/>
      <c r="J11" s="21" t="s">
        <v>302</v>
      </c>
    </row>
    <row r="12" spans="1:11" ht="13" x14ac:dyDescent="0.3">
      <c r="A12" s="126" t="s">
        <v>196</v>
      </c>
      <c r="B12" s="84"/>
      <c r="C12" s="84">
        <v>0.31640000000000001</v>
      </c>
      <c r="D12" s="84">
        <v>7.18</v>
      </c>
      <c r="E12" s="84">
        <v>22.25</v>
      </c>
      <c r="F12" s="84">
        <v>8.23</v>
      </c>
      <c r="G12" s="84"/>
    </row>
    <row r="13" spans="1:11" ht="13" x14ac:dyDescent="0.3">
      <c r="A13" s="126" t="s">
        <v>197</v>
      </c>
      <c r="B13" s="84"/>
      <c r="C13" s="84">
        <v>0.31209999999999999</v>
      </c>
      <c r="D13" s="84">
        <v>7.14</v>
      </c>
      <c r="E13" s="84">
        <v>22.23</v>
      </c>
      <c r="F13" s="84">
        <v>8.2100000000000009</v>
      </c>
      <c r="G13" s="84"/>
    </row>
    <row r="14" spans="1:11" ht="13" x14ac:dyDescent="0.3">
      <c r="A14" s="126" t="s">
        <v>198</v>
      </c>
      <c r="B14" s="84"/>
      <c r="C14" s="84">
        <v>0.31559999999999999</v>
      </c>
      <c r="D14" s="84">
        <v>7.11</v>
      </c>
      <c r="E14" s="84">
        <v>22.22</v>
      </c>
      <c r="F14" s="84">
        <v>8.19</v>
      </c>
      <c r="G14" s="84"/>
    </row>
    <row r="15" spans="1:11" ht="13" x14ac:dyDescent="0.3">
      <c r="A15" s="126" t="s">
        <v>199</v>
      </c>
      <c r="B15" s="84"/>
      <c r="C15" s="84">
        <v>0.31669999999999998</v>
      </c>
      <c r="D15" s="84">
        <v>6.81</v>
      </c>
      <c r="E15" s="84">
        <v>22.15</v>
      </c>
      <c r="F15" s="84">
        <v>8.14</v>
      </c>
      <c r="G15" s="84"/>
    </row>
    <row r="16" spans="1:11" ht="13" x14ac:dyDescent="0.3">
      <c r="A16" s="126" t="s">
        <v>200</v>
      </c>
      <c r="B16" s="143"/>
      <c r="C16" s="84">
        <v>0.31509999999999999</v>
      </c>
      <c r="D16" s="84">
        <v>6.55</v>
      </c>
      <c r="E16" s="84">
        <v>22.04</v>
      </c>
      <c r="F16" s="84">
        <v>8.11</v>
      </c>
      <c r="G16" s="84"/>
    </row>
    <row r="17" spans="1:14" ht="13" x14ac:dyDescent="0.3">
      <c r="A17" s="126" t="s">
        <v>227</v>
      </c>
      <c r="B17" s="143"/>
      <c r="C17" s="84">
        <v>0.31109999999999999</v>
      </c>
      <c r="D17" s="84">
        <v>5.87</v>
      </c>
      <c r="E17" s="84">
        <v>21.66</v>
      </c>
      <c r="F17" s="84">
        <v>7.98</v>
      </c>
      <c r="G17" s="84"/>
    </row>
    <row r="18" spans="1:14" ht="13" x14ac:dyDescent="0.3">
      <c r="A18" s="126" t="s">
        <v>228</v>
      </c>
      <c r="B18" s="84"/>
      <c r="C18" s="84">
        <v>0.3095</v>
      </c>
      <c r="D18" s="84">
        <v>6</v>
      </c>
      <c r="E18" s="84">
        <v>21.48</v>
      </c>
      <c r="F18" s="84">
        <v>7.98</v>
      </c>
      <c r="G18" s="84"/>
      <c r="I18" s="6">
        <f>AVERAGE(D8:D10)</f>
        <v>7.5466666666666669</v>
      </c>
    </row>
    <row r="19" spans="1:14" ht="13" x14ac:dyDescent="0.3">
      <c r="A19" s="208"/>
      <c r="B19" s="92"/>
      <c r="C19" s="92"/>
      <c r="D19" s="443">
        <f>AVERAGE(D8:D18)</f>
        <v>6.9645454545454548</v>
      </c>
      <c r="E19" s="443">
        <f>AVERAGE(E8:E18)</f>
        <v>22.143636363636361</v>
      </c>
      <c r="F19" s="443">
        <f>AVERAGE(E8:E10)</f>
        <v>22.423333333333332</v>
      </c>
      <c r="G19" s="92"/>
      <c r="I19" s="6">
        <f>AVERAGE(D8:D13)</f>
        <v>7.378333333333333</v>
      </c>
    </row>
    <row r="20" spans="1:14" ht="13" x14ac:dyDescent="0.3">
      <c r="A20" s="126" t="s">
        <v>230</v>
      </c>
      <c r="B20" s="143">
        <v>0.44305555555555554</v>
      </c>
      <c r="C20" s="84">
        <v>1.1910000000000001</v>
      </c>
      <c r="D20" s="84">
        <v>7.12</v>
      </c>
      <c r="E20" s="84">
        <v>15.45</v>
      </c>
      <c r="F20" s="84">
        <v>8.2100000000000009</v>
      </c>
      <c r="G20" s="189" t="s">
        <v>293</v>
      </c>
    </row>
    <row r="21" spans="1:14" ht="13" x14ac:dyDescent="0.3">
      <c r="A21" s="253" t="s">
        <v>231</v>
      </c>
      <c r="B21" s="143">
        <v>0.44722222222222219</v>
      </c>
      <c r="C21" s="84">
        <v>1.173</v>
      </c>
      <c r="D21" s="84">
        <v>8.73</v>
      </c>
      <c r="E21" s="84">
        <v>17.579999999999998</v>
      </c>
      <c r="F21" s="84">
        <v>8.48</v>
      </c>
      <c r="G21" s="189" t="s">
        <v>496</v>
      </c>
    </row>
    <row r="22" spans="1:14" x14ac:dyDescent="0.25">
      <c r="A22" s="131" t="s">
        <v>11</v>
      </c>
      <c r="B22" s="228" t="s">
        <v>490</v>
      </c>
      <c r="C22" s="132"/>
      <c r="D22" s="132"/>
      <c r="E22" s="132"/>
      <c r="F22" s="132"/>
      <c r="G22" s="132"/>
    </row>
    <row r="23" spans="1:14" x14ac:dyDescent="0.25">
      <c r="A23" s="144"/>
      <c r="B23" s="229"/>
      <c r="C23" s="133"/>
      <c r="D23" s="133"/>
      <c r="E23" s="133"/>
      <c r="F23" s="133"/>
      <c r="G23" s="133"/>
    </row>
    <row r="24" spans="1:14" x14ac:dyDescent="0.25">
      <c r="A24" s="144"/>
      <c r="B24" s="133"/>
      <c r="C24" s="133"/>
      <c r="D24" s="133"/>
      <c r="E24" s="133"/>
      <c r="F24" s="133"/>
      <c r="G24" s="133"/>
    </row>
    <row r="25" spans="1:14" ht="15.5" x14ac:dyDescent="0.35">
      <c r="A25" s="164" t="s">
        <v>180</v>
      </c>
      <c r="B25" s="254">
        <v>40385</v>
      </c>
      <c r="C25" s="167"/>
      <c r="D25" s="164"/>
      <c r="E25" s="167"/>
      <c r="F25" s="167"/>
      <c r="G25" s="168"/>
      <c r="H25" s="136"/>
    </row>
    <row r="26" spans="1:14" ht="24" x14ac:dyDescent="0.35">
      <c r="A26" s="853" t="s">
        <v>130</v>
      </c>
      <c r="B26" s="853"/>
      <c r="C26" s="250"/>
      <c r="D26" s="853" t="s">
        <v>133</v>
      </c>
      <c r="E26" s="853"/>
      <c r="F26" s="137"/>
      <c r="G26" s="849" t="s">
        <v>34</v>
      </c>
      <c r="H26" s="849"/>
      <c r="J26" s="141" t="s">
        <v>204</v>
      </c>
      <c r="K26" s="141" t="s">
        <v>205</v>
      </c>
      <c r="L26" s="142" t="s">
        <v>206</v>
      </c>
      <c r="M26" s="141" t="s">
        <v>207</v>
      </c>
      <c r="N26" s="142" t="s">
        <v>208</v>
      </c>
    </row>
    <row r="27" spans="1:14" ht="15.5" x14ac:dyDescent="0.35">
      <c r="A27" s="162" t="s">
        <v>184</v>
      </c>
      <c r="B27" s="246">
        <v>0.39513888888888887</v>
      </c>
      <c r="C27" s="247"/>
      <c r="D27" s="162" t="s">
        <v>184</v>
      </c>
      <c r="E27" s="252">
        <v>0.41250000000000003</v>
      </c>
      <c r="F27" s="252"/>
      <c r="G27" s="162" t="s">
        <v>184</v>
      </c>
      <c r="H27" s="252">
        <v>0.42777777777777781</v>
      </c>
      <c r="J27" s="138">
        <v>2</v>
      </c>
      <c r="K27" s="138">
        <v>0.36</v>
      </c>
      <c r="L27" s="138">
        <v>0.79</v>
      </c>
      <c r="M27" s="138">
        <f>K27*2.3</f>
        <v>0.82799999999999996</v>
      </c>
      <c r="N27" s="139">
        <f t="shared" ref="N27:N34" si="0">L27*M27</f>
        <v>0.65412000000000003</v>
      </c>
    </row>
    <row r="28" spans="1:14" ht="16" thickBot="1" x14ac:dyDescent="0.4">
      <c r="A28" s="162" t="s">
        <v>202</v>
      </c>
      <c r="B28" s="248">
        <v>12</v>
      </c>
      <c r="C28" s="248"/>
      <c r="D28" s="162"/>
      <c r="E28" s="251">
        <v>18</v>
      </c>
      <c r="F28" s="251"/>
      <c r="G28" s="162" t="s">
        <v>202</v>
      </c>
      <c r="H28" s="400" t="s">
        <v>478</v>
      </c>
      <c r="J28" s="138">
        <v>4</v>
      </c>
      <c r="K28" s="138">
        <v>1.05</v>
      </c>
      <c r="L28" s="138">
        <v>0.82</v>
      </c>
      <c r="M28" s="138">
        <f t="shared" ref="M28:M33" si="1">K28*2</f>
        <v>2.1</v>
      </c>
      <c r="N28" s="139">
        <f t="shared" si="0"/>
        <v>1.722</v>
      </c>
    </row>
    <row r="29" spans="1:14" ht="16" thickBot="1" x14ac:dyDescent="0.4">
      <c r="A29" s="165" t="s">
        <v>203</v>
      </c>
      <c r="B29" s="231" t="s">
        <v>491</v>
      </c>
      <c r="C29" s="249"/>
      <c r="D29" s="163" t="s">
        <v>203</v>
      </c>
      <c r="E29" s="875" t="s">
        <v>492</v>
      </c>
      <c r="F29" s="854"/>
      <c r="G29" s="163" t="s">
        <v>203</v>
      </c>
      <c r="H29" s="245" t="s">
        <v>495</v>
      </c>
      <c r="J29" s="138">
        <v>6</v>
      </c>
      <c r="K29" s="138">
        <v>0.92</v>
      </c>
      <c r="L29" s="138">
        <v>1.74</v>
      </c>
      <c r="M29" s="138">
        <f t="shared" si="1"/>
        <v>1.84</v>
      </c>
      <c r="N29" s="139">
        <f t="shared" si="0"/>
        <v>3.2016</v>
      </c>
    </row>
    <row r="30" spans="1:14" ht="24" x14ac:dyDescent="0.35">
      <c r="A30" s="159" t="s">
        <v>204</v>
      </c>
      <c r="B30" s="159" t="s">
        <v>205</v>
      </c>
      <c r="C30" s="161" t="s">
        <v>206</v>
      </c>
      <c r="D30" s="159" t="s">
        <v>204</v>
      </c>
      <c r="E30" s="159" t="s">
        <v>205</v>
      </c>
      <c r="F30" s="161" t="s">
        <v>206</v>
      </c>
      <c r="G30" s="159" t="s">
        <v>205</v>
      </c>
      <c r="H30" s="161" t="s">
        <v>206</v>
      </c>
      <c r="I30" s="256" t="s">
        <v>211</v>
      </c>
      <c r="J30" s="138">
        <v>8</v>
      </c>
      <c r="K30" s="138">
        <v>0.64</v>
      </c>
      <c r="L30" s="138">
        <v>0.67</v>
      </c>
      <c r="M30" s="138">
        <f t="shared" si="1"/>
        <v>1.28</v>
      </c>
      <c r="N30" s="139">
        <f t="shared" si="0"/>
        <v>0.85760000000000003</v>
      </c>
    </row>
    <row r="31" spans="1:14" ht="15.5" x14ac:dyDescent="0.35">
      <c r="A31" s="160">
        <v>2</v>
      </c>
      <c r="B31" s="138">
        <v>0.4</v>
      </c>
      <c r="C31" s="138">
        <v>1.05</v>
      </c>
      <c r="D31" s="160" t="s">
        <v>234</v>
      </c>
      <c r="E31" s="138">
        <v>3.84</v>
      </c>
      <c r="F31" s="138"/>
      <c r="G31" s="138">
        <v>0.2</v>
      </c>
      <c r="H31" s="139">
        <v>1.49</v>
      </c>
      <c r="I31" s="578">
        <v>14.9</v>
      </c>
      <c r="J31" s="138">
        <v>10</v>
      </c>
      <c r="K31" s="138">
        <v>0.78</v>
      </c>
      <c r="L31" s="138">
        <v>0.49</v>
      </c>
      <c r="M31" s="138">
        <f t="shared" si="1"/>
        <v>1.56</v>
      </c>
      <c r="N31" s="139">
        <f t="shared" si="0"/>
        <v>0.76439999999999997</v>
      </c>
    </row>
    <row r="32" spans="1:14" ht="15.5" x14ac:dyDescent="0.35">
      <c r="A32" s="160">
        <v>4</v>
      </c>
      <c r="B32" s="138">
        <v>0.5</v>
      </c>
      <c r="C32" s="138">
        <v>0.11</v>
      </c>
      <c r="D32" s="160" t="s">
        <v>242</v>
      </c>
      <c r="E32" s="138"/>
      <c r="F32" s="138"/>
      <c r="G32" s="138"/>
      <c r="H32" s="139"/>
      <c r="J32" s="84"/>
      <c r="K32" s="138">
        <v>0.78</v>
      </c>
      <c r="L32" s="138">
        <v>0.9</v>
      </c>
      <c r="M32" s="138">
        <f t="shared" si="1"/>
        <v>1.56</v>
      </c>
      <c r="N32" s="139">
        <f t="shared" si="0"/>
        <v>1.4040000000000001</v>
      </c>
    </row>
    <row r="33" spans="1:14" ht="15.5" x14ac:dyDescent="0.35">
      <c r="A33" s="160">
        <v>6</v>
      </c>
      <c r="B33" s="138">
        <v>0.4</v>
      </c>
      <c r="C33" s="138">
        <v>0.48</v>
      </c>
      <c r="D33" s="160">
        <v>2</v>
      </c>
      <c r="E33" s="138">
        <v>0.88</v>
      </c>
      <c r="F33" s="138">
        <v>0.22</v>
      </c>
      <c r="G33" s="850" t="s">
        <v>214</v>
      </c>
      <c r="H33" s="851"/>
      <c r="J33" s="84"/>
      <c r="K33" s="138">
        <v>0.62</v>
      </c>
      <c r="L33" s="138">
        <v>0.69</v>
      </c>
      <c r="M33" s="138">
        <f t="shared" si="1"/>
        <v>1.24</v>
      </c>
      <c r="N33" s="139">
        <f t="shared" si="0"/>
        <v>0.85559999999999992</v>
      </c>
    </row>
    <row r="34" spans="1:14" ht="15.5" x14ac:dyDescent="0.35">
      <c r="A34" s="160">
        <v>8</v>
      </c>
      <c r="B34" s="138">
        <v>0.55000000000000004</v>
      </c>
      <c r="C34" s="138">
        <v>0.87</v>
      </c>
      <c r="D34" s="160">
        <v>4</v>
      </c>
      <c r="E34" s="138">
        <v>1.05</v>
      </c>
      <c r="F34" s="138">
        <v>0.82</v>
      </c>
      <c r="G34" s="138" t="s">
        <v>493</v>
      </c>
      <c r="H34" s="139">
        <v>0.53</v>
      </c>
      <c r="I34" s="578">
        <v>0.55000000000000004</v>
      </c>
      <c r="J34" s="84"/>
      <c r="K34" s="138">
        <v>0.68</v>
      </c>
      <c r="L34" s="138">
        <v>0.5</v>
      </c>
      <c r="M34" s="138">
        <f>K34*4</f>
        <v>2.72</v>
      </c>
      <c r="N34" s="139">
        <f t="shared" si="0"/>
        <v>1.36</v>
      </c>
    </row>
    <row r="35" spans="1:14" ht="15.5" x14ac:dyDescent="0.35">
      <c r="A35" s="160">
        <v>10</v>
      </c>
      <c r="B35" s="138">
        <v>0.38</v>
      </c>
      <c r="C35" s="138">
        <v>0.73</v>
      </c>
      <c r="D35" s="160">
        <v>6</v>
      </c>
      <c r="E35" s="138">
        <v>0.92</v>
      </c>
      <c r="F35" s="138">
        <v>1.74</v>
      </c>
      <c r="G35" s="138"/>
      <c r="H35" s="139"/>
      <c r="N35" s="6">
        <f>SUM(N27:N34)</f>
        <v>10.819320000000001</v>
      </c>
    </row>
    <row r="36" spans="1:14" ht="15.5" x14ac:dyDescent="0.35">
      <c r="A36" s="160">
        <v>12</v>
      </c>
      <c r="B36" s="138"/>
      <c r="C36" s="138"/>
      <c r="D36" s="160">
        <v>8</v>
      </c>
      <c r="E36" s="138">
        <v>0.64</v>
      </c>
      <c r="F36" s="138">
        <v>0.67</v>
      </c>
      <c r="G36" s="138" t="s">
        <v>215</v>
      </c>
      <c r="H36" s="139"/>
    </row>
    <row r="37" spans="1:14" ht="15.5" x14ac:dyDescent="0.35">
      <c r="A37" s="417"/>
      <c r="B37" s="416"/>
      <c r="C37" s="416">
        <v>2.9</v>
      </c>
      <c r="D37" s="160">
        <v>10</v>
      </c>
      <c r="E37" s="416">
        <v>0.78</v>
      </c>
      <c r="F37" s="416">
        <v>0.49</v>
      </c>
      <c r="G37" s="416" t="s">
        <v>494</v>
      </c>
      <c r="H37" s="418">
        <v>0.79</v>
      </c>
      <c r="I37" s="467">
        <v>0.65</v>
      </c>
    </row>
    <row r="38" spans="1:14" ht="15.5" x14ac:dyDescent="0.35">
      <c r="A38" s="417"/>
      <c r="B38" s="416"/>
      <c r="C38" s="416"/>
      <c r="D38" s="160">
        <v>12</v>
      </c>
      <c r="E38" s="416">
        <v>0.78</v>
      </c>
      <c r="F38" s="416">
        <v>0.9</v>
      </c>
      <c r="G38" s="416"/>
      <c r="H38" s="418"/>
    </row>
    <row r="39" spans="1:14" ht="15.5" x14ac:dyDescent="0.35">
      <c r="A39" s="417"/>
      <c r="B39" s="416"/>
      <c r="C39" s="416"/>
      <c r="D39" s="160">
        <v>14</v>
      </c>
      <c r="E39" s="416">
        <v>0.62</v>
      </c>
      <c r="F39" s="416">
        <v>0.69</v>
      </c>
      <c r="G39" s="416"/>
      <c r="H39" s="418"/>
    </row>
    <row r="40" spans="1:14" ht="15.5" x14ac:dyDescent="0.35">
      <c r="A40" s="417"/>
      <c r="B40" s="416"/>
      <c r="C40" s="416"/>
      <c r="D40" s="160">
        <v>16</v>
      </c>
      <c r="E40" s="416">
        <v>0.68</v>
      </c>
      <c r="F40" s="416">
        <v>0.5</v>
      </c>
      <c r="G40" s="416"/>
      <c r="H40" s="418"/>
    </row>
    <row r="41" spans="1:14" ht="15.5" x14ac:dyDescent="0.35">
      <c r="A41" s="417"/>
      <c r="B41" s="416"/>
      <c r="C41" s="416"/>
      <c r="D41" s="160">
        <v>18</v>
      </c>
      <c r="E41" s="416"/>
      <c r="F41" s="416">
        <v>10.6</v>
      </c>
      <c r="G41" s="416"/>
      <c r="H41" s="418"/>
    </row>
    <row r="43" spans="1:14" ht="14" x14ac:dyDescent="0.3">
      <c r="A43" s="135" t="s">
        <v>232</v>
      </c>
      <c r="C43" s="11" t="s">
        <v>233</v>
      </c>
      <c r="D43" s="155">
        <v>40014</v>
      </c>
    </row>
    <row r="44" spans="1:14" ht="14" x14ac:dyDescent="0.3">
      <c r="A44" s="209" t="s">
        <v>244</v>
      </c>
      <c r="B44" s="209" t="s">
        <v>184</v>
      </c>
      <c r="C44" s="209" t="s">
        <v>185</v>
      </c>
      <c r="D44" s="209" t="s">
        <v>186</v>
      </c>
      <c r="E44" s="209" t="s">
        <v>187</v>
      </c>
      <c r="F44" s="209" t="s">
        <v>188</v>
      </c>
      <c r="G44" s="209" t="s">
        <v>201</v>
      </c>
      <c r="H44" s="210" t="s">
        <v>213</v>
      </c>
      <c r="J44" s="662" t="s">
        <v>765</v>
      </c>
      <c r="K44" s="6">
        <f>AVERAGE(D45:D47,D54:D56,D60:D62,D64:D66,D8:D10)</f>
        <v>7.7273333333333332</v>
      </c>
    </row>
    <row r="45" spans="1:14" ht="13" x14ac:dyDescent="0.3">
      <c r="A45" s="126" t="s">
        <v>192</v>
      </c>
      <c r="B45" s="143">
        <v>0.4861111111111111</v>
      </c>
      <c r="C45" s="84">
        <v>0.31419999999999998</v>
      </c>
      <c r="D45" s="84">
        <v>8.0399999999999991</v>
      </c>
      <c r="E45" s="84">
        <v>22.52</v>
      </c>
      <c r="F45" s="84">
        <v>8.44</v>
      </c>
      <c r="G45" s="134">
        <v>2.4500000000000002</v>
      </c>
      <c r="H45" s="206">
        <v>8.3000000000000007</v>
      </c>
    </row>
    <row r="46" spans="1:14" ht="13" x14ac:dyDescent="0.3">
      <c r="A46" s="126" t="s">
        <v>193</v>
      </c>
      <c r="B46" s="84"/>
      <c r="C46" s="84">
        <v>0.31580000000000003</v>
      </c>
      <c r="D46" s="84">
        <v>7.66</v>
      </c>
      <c r="E46" s="84">
        <v>22.37</v>
      </c>
      <c r="F46" s="84">
        <v>8.34</v>
      </c>
      <c r="G46" s="84"/>
      <c r="I46" s="6">
        <f>AVERAGE(E45:E47)</f>
        <v>22.393333333333334</v>
      </c>
    </row>
    <row r="47" spans="1:14" ht="13" x14ac:dyDescent="0.3">
      <c r="A47" s="126" t="s">
        <v>194</v>
      </c>
      <c r="B47" s="84"/>
      <c r="C47" s="84">
        <v>0.31559999999999999</v>
      </c>
      <c r="D47" s="84">
        <v>7.4</v>
      </c>
      <c r="E47" s="84">
        <v>22.29</v>
      </c>
      <c r="F47" s="84">
        <v>8.2799999999999994</v>
      </c>
      <c r="G47" s="84"/>
    </row>
    <row r="48" spans="1:14" ht="13" x14ac:dyDescent="0.3">
      <c r="A48" s="126" t="s">
        <v>195</v>
      </c>
      <c r="B48" s="84"/>
      <c r="C48" s="84">
        <v>0.31419999999999998</v>
      </c>
      <c r="D48" s="84">
        <v>7.42</v>
      </c>
      <c r="E48" s="84">
        <v>22.22</v>
      </c>
      <c r="F48" s="84">
        <v>8.2799999999999994</v>
      </c>
      <c r="G48" s="84"/>
    </row>
    <row r="49" spans="1:9" ht="13" x14ac:dyDescent="0.3">
      <c r="A49" s="126" t="s">
        <v>196</v>
      </c>
      <c r="B49" s="84"/>
      <c r="C49" s="84">
        <v>0.31509999999999999</v>
      </c>
      <c r="D49" s="84">
        <v>7.26</v>
      </c>
      <c r="E49" s="84">
        <v>22.21</v>
      </c>
      <c r="F49" s="84">
        <v>8.25</v>
      </c>
      <c r="G49" s="84"/>
    </row>
    <row r="50" spans="1:9" ht="13" x14ac:dyDescent="0.3">
      <c r="A50" s="126" t="s">
        <v>197</v>
      </c>
      <c r="B50" s="84"/>
      <c r="C50" s="84">
        <v>0.51539999999999997</v>
      </c>
      <c r="D50" s="84">
        <v>7.05</v>
      </c>
      <c r="E50" s="84">
        <v>22.15</v>
      </c>
      <c r="F50" s="84">
        <v>8.2100000000000009</v>
      </c>
      <c r="G50" s="84"/>
    </row>
    <row r="51" spans="1:9" ht="13" x14ac:dyDescent="0.3">
      <c r="A51" s="126" t="s">
        <v>198</v>
      </c>
      <c r="B51" s="84"/>
      <c r="C51" s="84">
        <v>0.31490000000000001</v>
      </c>
      <c r="D51" s="84">
        <v>6.74</v>
      </c>
      <c r="E51" s="84">
        <v>22.1</v>
      </c>
      <c r="F51" s="84">
        <v>8.16</v>
      </c>
      <c r="G51" s="84"/>
    </row>
    <row r="52" spans="1:9" ht="13" x14ac:dyDescent="0.3">
      <c r="A52" s="421" t="s">
        <v>199</v>
      </c>
      <c r="C52" s="221">
        <v>0.31619999999999998</v>
      </c>
      <c r="D52" s="221">
        <v>5.27</v>
      </c>
      <c r="E52" s="221">
        <v>21.76</v>
      </c>
      <c r="F52" s="221">
        <v>7.99</v>
      </c>
    </row>
    <row r="53" spans="1:9" ht="14" x14ac:dyDescent="0.3">
      <c r="A53" s="209" t="s">
        <v>245</v>
      </c>
      <c r="B53" s="209" t="s">
        <v>184</v>
      </c>
      <c r="C53" s="209" t="s">
        <v>185</v>
      </c>
      <c r="D53" s="209" t="s">
        <v>186</v>
      </c>
      <c r="E53" s="209" t="s">
        <v>187</v>
      </c>
      <c r="F53" s="209" t="s">
        <v>188</v>
      </c>
      <c r="G53" s="209" t="s">
        <v>201</v>
      </c>
      <c r="H53" s="210" t="s">
        <v>213</v>
      </c>
    </row>
    <row r="54" spans="1:9" ht="13" x14ac:dyDescent="0.3">
      <c r="A54" s="126" t="s">
        <v>192</v>
      </c>
      <c r="B54" s="143">
        <v>0.49236111111111108</v>
      </c>
      <c r="C54" s="84">
        <v>0.31509999999999999</v>
      </c>
      <c r="D54" s="84">
        <v>7.6</v>
      </c>
      <c r="E54" s="84">
        <v>22.53</v>
      </c>
      <c r="F54" s="84">
        <v>8.32</v>
      </c>
      <c r="G54" s="134">
        <v>2.2999999999999998</v>
      </c>
      <c r="H54" s="84">
        <v>5</v>
      </c>
    </row>
    <row r="55" spans="1:9" ht="13" x14ac:dyDescent="0.3">
      <c r="A55" s="126" t="s">
        <v>193</v>
      </c>
      <c r="B55" s="84"/>
      <c r="C55" s="84">
        <v>0.3145</v>
      </c>
      <c r="D55" s="84">
        <v>7.62</v>
      </c>
      <c r="E55" s="84">
        <v>22.45</v>
      </c>
      <c r="F55" s="84">
        <v>8.31</v>
      </c>
      <c r="G55" s="84"/>
      <c r="I55">
        <f>AVERAGE(E54:E56)</f>
        <v>22.44</v>
      </c>
    </row>
    <row r="56" spans="1:9" ht="13" x14ac:dyDescent="0.3">
      <c r="A56" s="126" t="s">
        <v>194</v>
      </c>
      <c r="B56" s="84"/>
      <c r="C56" s="84">
        <v>0.31519999999999998</v>
      </c>
      <c r="D56" s="84">
        <v>7.4</v>
      </c>
      <c r="E56" s="84">
        <v>22.34</v>
      </c>
      <c r="F56" s="84">
        <v>8.2799999999999994</v>
      </c>
      <c r="G56" s="84"/>
    </row>
    <row r="57" spans="1:9" ht="13" x14ac:dyDescent="0.3">
      <c r="A57" s="126" t="s">
        <v>195</v>
      </c>
      <c r="B57" s="84"/>
      <c r="C57" s="84">
        <v>0.31490000000000001</v>
      </c>
      <c r="D57" s="84">
        <v>7.28</v>
      </c>
      <c r="E57" s="84">
        <v>22.25</v>
      </c>
      <c r="F57" s="84">
        <v>8.23</v>
      </c>
      <c r="G57" s="84"/>
    </row>
    <row r="58" spans="1:9" ht="13" x14ac:dyDescent="0.3">
      <c r="A58" s="126" t="s">
        <v>196</v>
      </c>
      <c r="B58" s="84"/>
      <c r="C58" s="84">
        <v>0.31390000000000001</v>
      </c>
      <c r="D58" s="84">
        <v>7.3</v>
      </c>
      <c r="E58" s="84">
        <v>22.15</v>
      </c>
      <c r="F58" s="84">
        <v>8.25</v>
      </c>
      <c r="G58" s="84"/>
    </row>
    <row r="59" spans="1:9" ht="14" x14ac:dyDescent="0.3">
      <c r="A59" s="209" t="s">
        <v>246</v>
      </c>
      <c r="B59" s="209" t="s">
        <v>184</v>
      </c>
      <c r="C59" s="209" t="s">
        <v>185</v>
      </c>
      <c r="D59" s="209" t="s">
        <v>186</v>
      </c>
      <c r="E59" s="209" t="s">
        <v>187</v>
      </c>
      <c r="F59" s="209" t="s">
        <v>188</v>
      </c>
      <c r="G59" s="209" t="s">
        <v>201</v>
      </c>
      <c r="H59" s="210" t="s">
        <v>213</v>
      </c>
    </row>
    <row r="60" spans="1:9" ht="13" x14ac:dyDescent="0.3">
      <c r="A60" s="126" t="s">
        <v>192</v>
      </c>
      <c r="B60" s="143">
        <v>0.49791666666666662</v>
      </c>
      <c r="C60" s="84">
        <v>0.317</v>
      </c>
      <c r="D60" s="84">
        <v>8.1199999999999992</v>
      </c>
      <c r="E60" s="84">
        <v>22.7</v>
      </c>
      <c r="F60" s="84">
        <v>8.5399999999999991</v>
      </c>
      <c r="G60" s="134">
        <v>2.4</v>
      </c>
      <c r="H60" s="84">
        <v>3.8</v>
      </c>
    </row>
    <row r="61" spans="1:9" ht="13" x14ac:dyDescent="0.3">
      <c r="A61" s="126" t="s">
        <v>193</v>
      </c>
      <c r="B61" s="84"/>
      <c r="C61" s="84">
        <v>0.31740000000000002</v>
      </c>
      <c r="D61" s="84">
        <v>8.02</v>
      </c>
      <c r="E61" s="84">
        <v>22.4</v>
      </c>
      <c r="F61" s="84">
        <v>8.42</v>
      </c>
      <c r="G61" s="84"/>
      <c r="I61">
        <f>AVERAGE(E60:E62)</f>
        <v>22.493333333333329</v>
      </c>
    </row>
    <row r="62" spans="1:9" ht="13" x14ac:dyDescent="0.3">
      <c r="A62" s="126" t="s">
        <v>194</v>
      </c>
      <c r="B62" s="84"/>
      <c r="C62" s="84">
        <v>0.31940000000000002</v>
      </c>
      <c r="D62" s="84">
        <v>8</v>
      </c>
      <c r="E62" s="84">
        <v>22.38</v>
      </c>
      <c r="F62" s="84">
        <v>8.42</v>
      </c>
      <c r="G62" s="84"/>
    </row>
    <row r="63" spans="1:9" ht="14" x14ac:dyDescent="0.3">
      <c r="A63" s="209" t="s">
        <v>247</v>
      </c>
      <c r="B63" s="209" t="s">
        <v>184</v>
      </c>
      <c r="C63" s="209" t="s">
        <v>185</v>
      </c>
      <c r="D63" s="209" t="s">
        <v>186</v>
      </c>
      <c r="E63" s="209" t="s">
        <v>187</v>
      </c>
      <c r="F63" s="209" t="s">
        <v>188</v>
      </c>
      <c r="G63" s="209" t="s">
        <v>201</v>
      </c>
      <c r="H63" s="210" t="s">
        <v>213</v>
      </c>
    </row>
    <row r="64" spans="1:9" ht="13" x14ac:dyDescent="0.3">
      <c r="A64" s="126" t="s">
        <v>192</v>
      </c>
      <c r="B64" s="143">
        <v>0.50416666666666665</v>
      </c>
      <c r="C64" s="84">
        <v>0.31269999999999998</v>
      </c>
      <c r="D64" s="84">
        <v>8</v>
      </c>
      <c r="E64" s="84">
        <v>22.53</v>
      </c>
      <c r="F64" s="84">
        <v>8.41</v>
      </c>
      <c r="G64" s="134">
        <v>2.4</v>
      </c>
      <c r="H64" s="84">
        <v>6.2</v>
      </c>
    </row>
    <row r="65" spans="1:9" ht="13" x14ac:dyDescent="0.3">
      <c r="A65" s="126" t="s">
        <v>193</v>
      </c>
      <c r="B65" s="189"/>
      <c r="C65" s="84">
        <v>0.31269999999999998</v>
      </c>
      <c r="D65" s="84">
        <v>7.71</v>
      </c>
      <c r="E65" s="84">
        <v>22.54</v>
      </c>
      <c r="F65" s="84">
        <v>8.3699999999999992</v>
      </c>
      <c r="G65" s="84"/>
      <c r="I65">
        <f>AVERAGE(E64:E66)</f>
        <v>22.47</v>
      </c>
    </row>
    <row r="66" spans="1:9" ht="13" x14ac:dyDescent="0.3">
      <c r="A66" s="126" t="s">
        <v>194</v>
      </c>
      <c r="B66" s="84"/>
      <c r="C66" s="84">
        <v>0.31290000000000001</v>
      </c>
      <c r="D66" s="84">
        <v>7.7</v>
      </c>
      <c r="E66" s="84">
        <v>22.34</v>
      </c>
      <c r="F66" s="84">
        <v>8.3699999999999992</v>
      </c>
      <c r="G66" s="84"/>
    </row>
    <row r="67" spans="1:9" ht="13" x14ac:dyDescent="0.3">
      <c r="A67" s="126" t="s">
        <v>195</v>
      </c>
      <c r="B67" s="84"/>
      <c r="C67" s="84">
        <v>0.31240000000000001</v>
      </c>
      <c r="D67" s="84">
        <v>7.58</v>
      </c>
      <c r="E67" s="84">
        <v>22.23</v>
      </c>
      <c r="F67" s="84">
        <v>8.32</v>
      </c>
      <c r="G67" s="84"/>
    </row>
    <row r="68" spans="1:9" ht="13" x14ac:dyDescent="0.3">
      <c r="A68" s="126" t="s">
        <v>196</v>
      </c>
      <c r="B68" s="84"/>
      <c r="C68" s="84">
        <v>0.3125</v>
      </c>
      <c r="D68" s="84">
        <v>7.46</v>
      </c>
      <c r="E68" s="84">
        <v>22.2</v>
      </c>
      <c r="F68" s="84">
        <v>8.2899999999999991</v>
      </c>
      <c r="G68" s="84"/>
    </row>
    <row r="69" spans="1:9" ht="13" x14ac:dyDescent="0.3">
      <c r="A69" s="126" t="s">
        <v>197</v>
      </c>
      <c r="B69" s="84"/>
      <c r="C69" s="84">
        <v>0.31180000000000002</v>
      </c>
      <c r="D69" s="84">
        <v>7.2</v>
      </c>
      <c r="E69" s="84">
        <v>22.01</v>
      </c>
      <c r="F69" s="84">
        <v>8.25</v>
      </c>
      <c r="G69" s="84"/>
    </row>
  </sheetData>
  <mergeCells count="5">
    <mergeCell ref="G33:H33"/>
    <mergeCell ref="A26:B26"/>
    <mergeCell ref="D26:E26"/>
    <mergeCell ref="G26:H26"/>
    <mergeCell ref="E29:F29"/>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72"/>
  <sheetViews>
    <sheetView workbookViewId="0">
      <selection activeCell="F4" sqref="F4:F18"/>
    </sheetView>
  </sheetViews>
  <sheetFormatPr defaultRowHeight="12.5" x14ac:dyDescent="0.25"/>
  <cols>
    <col min="1" max="1" width="16.08984375" customWidth="1"/>
    <col min="4" max="4" width="11.54296875" customWidth="1"/>
    <col min="7" max="7" width="13.08984375" customWidth="1"/>
    <col min="8" max="8" width="12.08984375" customWidth="1"/>
    <col min="10" max="10" width="16.6328125" bestFit="1" customWidth="1"/>
    <col min="11" max="11" width="19.90625" customWidth="1"/>
  </cols>
  <sheetData>
    <row r="1" spans="1:11" ht="16" thickBot="1" x14ac:dyDescent="0.4">
      <c r="A1" s="135" t="s">
        <v>503</v>
      </c>
      <c r="J1" s="574" t="s">
        <v>483</v>
      </c>
      <c r="K1" s="579" t="s">
        <v>497</v>
      </c>
    </row>
    <row r="2" spans="1:11" ht="14.5" thickBot="1" x14ac:dyDescent="0.35">
      <c r="A2" s="1" t="s">
        <v>180</v>
      </c>
      <c r="B2" s="155">
        <v>40399</v>
      </c>
      <c r="J2" s="576" t="s">
        <v>291</v>
      </c>
      <c r="K2" s="580">
        <v>6</v>
      </c>
    </row>
    <row r="3" spans="1:11" ht="14.5" thickBot="1" x14ac:dyDescent="0.35">
      <c r="A3" s="209" t="s">
        <v>23</v>
      </c>
      <c r="B3" s="209" t="s">
        <v>184</v>
      </c>
      <c r="C3" s="209" t="s">
        <v>185</v>
      </c>
      <c r="D3" s="209" t="s">
        <v>186</v>
      </c>
      <c r="E3" s="209" t="s">
        <v>187</v>
      </c>
      <c r="F3" s="209" t="s">
        <v>188</v>
      </c>
      <c r="J3" s="576" t="s">
        <v>292</v>
      </c>
      <c r="K3" s="580" t="s">
        <v>498</v>
      </c>
    </row>
    <row r="4" spans="1:11" ht="14.5" thickBot="1" x14ac:dyDescent="0.35">
      <c r="A4" s="94" t="s">
        <v>238</v>
      </c>
      <c r="B4" s="143">
        <v>0.39861111111111108</v>
      </c>
      <c r="C4" s="84">
        <v>0.99</v>
      </c>
      <c r="D4" s="84">
        <v>8.06</v>
      </c>
      <c r="E4" s="84">
        <v>16.3</v>
      </c>
      <c r="F4" s="84">
        <v>8.6300000000000008</v>
      </c>
      <c r="G4" s="92"/>
      <c r="J4" s="576" t="s">
        <v>288</v>
      </c>
      <c r="K4" s="580">
        <v>22</v>
      </c>
    </row>
    <row r="5" spans="1:11" ht="14.5" thickBot="1" x14ac:dyDescent="0.35">
      <c r="A5" s="94" t="s">
        <v>239</v>
      </c>
      <c r="B5" s="143">
        <v>0.41388888888888892</v>
      </c>
      <c r="C5" s="84">
        <v>0.157</v>
      </c>
      <c r="D5" s="84">
        <v>7.66</v>
      </c>
      <c r="E5" s="84">
        <v>16.8</v>
      </c>
      <c r="F5" s="84">
        <v>8.7100000000000009</v>
      </c>
      <c r="G5" s="92"/>
      <c r="J5" s="576" t="s">
        <v>282</v>
      </c>
      <c r="K5" s="580">
        <v>24</v>
      </c>
    </row>
    <row r="6" spans="1:11" ht="14.5" thickBot="1" x14ac:dyDescent="0.35">
      <c r="A6" s="94" t="s">
        <v>240</v>
      </c>
      <c r="B6" s="143">
        <v>0.43055555555555558</v>
      </c>
      <c r="C6" s="84">
        <v>0.28499999999999998</v>
      </c>
      <c r="D6" s="84">
        <v>6.52</v>
      </c>
      <c r="E6" s="84">
        <v>22.1</v>
      </c>
      <c r="F6" s="84">
        <v>8.6300000000000008</v>
      </c>
      <c r="G6" s="92"/>
      <c r="J6" s="576" t="s">
        <v>284</v>
      </c>
      <c r="K6" s="580">
        <v>32</v>
      </c>
    </row>
    <row r="7" spans="1:11" ht="14.5" thickBot="1" x14ac:dyDescent="0.35">
      <c r="A7" s="94" t="s">
        <v>229</v>
      </c>
      <c r="B7" s="321" t="s">
        <v>241</v>
      </c>
      <c r="C7" s="322"/>
      <c r="D7" s="322"/>
      <c r="E7" s="322"/>
      <c r="F7" s="322"/>
      <c r="G7" s="209" t="s">
        <v>201</v>
      </c>
      <c r="H7" s="210" t="s">
        <v>213</v>
      </c>
      <c r="J7" s="576" t="s">
        <v>489</v>
      </c>
      <c r="K7" s="580" t="s">
        <v>499</v>
      </c>
    </row>
    <row r="8" spans="1:11" ht="14.5" thickBot="1" x14ac:dyDescent="0.35">
      <c r="A8" s="126" t="s">
        <v>192</v>
      </c>
      <c r="B8" s="143">
        <v>0.45347222222222222</v>
      </c>
      <c r="C8" s="84">
        <v>0.28399999999999997</v>
      </c>
      <c r="D8" s="84">
        <v>6.79</v>
      </c>
      <c r="E8" s="84">
        <v>21.8</v>
      </c>
      <c r="F8" s="84">
        <v>8.5</v>
      </c>
      <c r="G8" s="134">
        <v>2.2000000000000002</v>
      </c>
      <c r="H8" s="188">
        <v>10.6</v>
      </c>
      <c r="J8" s="576" t="s">
        <v>286</v>
      </c>
      <c r="K8" s="580" t="s">
        <v>500</v>
      </c>
    </row>
    <row r="9" spans="1:11" ht="14.5" thickBot="1" x14ac:dyDescent="0.35">
      <c r="A9" s="126" t="s">
        <v>193</v>
      </c>
      <c r="B9" s="84"/>
      <c r="C9" s="84">
        <v>0.27800000000000002</v>
      </c>
      <c r="D9" s="84">
        <v>4.37</v>
      </c>
      <c r="E9" s="84">
        <v>21.4</v>
      </c>
      <c r="F9" s="84">
        <v>8.26</v>
      </c>
      <c r="G9" s="84"/>
      <c r="J9" s="422" t="s">
        <v>502</v>
      </c>
      <c r="K9" s="580" t="s">
        <v>501</v>
      </c>
    </row>
    <row r="10" spans="1:11" ht="13" x14ac:dyDescent="0.3">
      <c r="A10" s="126" t="s">
        <v>194</v>
      </c>
      <c r="B10" s="84"/>
      <c r="C10" s="84">
        <v>0.28000000000000003</v>
      </c>
      <c r="D10" s="84">
        <v>4.3099999999999996</v>
      </c>
      <c r="E10" s="84">
        <v>21.2</v>
      </c>
      <c r="F10" s="84">
        <v>8.15</v>
      </c>
      <c r="G10" s="84"/>
    </row>
    <row r="11" spans="1:11" ht="13" x14ac:dyDescent="0.3">
      <c r="A11" s="126" t="s">
        <v>195</v>
      </c>
      <c r="B11" s="84"/>
      <c r="C11" s="84">
        <v>0.27800000000000002</v>
      </c>
      <c r="D11" s="84">
        <v>3.64</v>
      </c>
      <c r="E11" s="84">
        <v>21</v>
      </c>
      <c r="F11" s="84">
        <v>8.07</v>
      </c>
      <c r="G11" s="84"/>
    </row>
    <row r="12" spans="1:11" ht="13" x14ac:dyDescent="0.3">
      <c r="A12" s="126" t="s">
        <v>196</v>
      </c>
      <c r="B12" s="84"/>
      <c r="C12" s="84">
        <v>0.27700000000000002</v>
      </c>
      <c r="D12" s="84">
        <v>3.3</v>
      </c>
      <c r="E12" s="84">
        <v>20.9</v>
      </c>
      <c r="F12" s="84">
        <v>8.02</v>
      </c>
      <c r="G12" s="84"/>
      <c r="J12" s="157"/>
    </row>
    <row r="13" spans="1:11" ht="13" x14ac:dyDescent="0.3">
      <c r="A13" s="126" t="s">
        <v>197</v>
      </c>
      <c r="B13" s="84"/>
      <c r="C13" s="84">
        <v>0.27600000000000002</v>
      </c>
      <c r="D13" s="84">
        <v>3.21</v>
      </c>
      <c r="E13" s="84">
        <v>20.8</v>
      </c>
      <c r="F13" s="84">
        <v>7.94</v>
      </c>
      <c r="G13" s="84"/>
    </row>
    <row r="14" spans="1:11" ht="13" x14ac:dyDescent="0.3">
      <c r="A14" s="126" t="s">
        <v>198</v>
      </c>
      <c r="B14" s="84"/>
      <c r="C14" s="84">
        <v>0.27600000000000002</v>
      </c>
      <c r="D14" s="84">
        <v>3.11</v>
      </c>
      <c r="E14" s="84">
        <v>20.7</v>
      </c>
      <c r="F14" s="84">
        <v>7.9</v>
      </c>
      <c r="G14" s="84"/>
    </row>
    <row r="15" spans="1:11" ht="13" x14ac:dyDescent="0.3">
      <c r="A15" s="126" t="s">
        <v>199</v>
      </c>
      <c r="B15" s="84"/>
      <c r="C15" s="84">
        <v>0.27700000000000002</v>
      </c>
      <c r="D15" s="84">
        <v>3.07</v>
      </c>
      <c r="E15" s="84">
        <v>20.7</v>
      </c>
      <c r="F15" s="84">
        <v>7.89</v>
      </c>
      <c r="G15" s="84"/>
    </row>
    <row r="16" spans="1:11" ht="13" x14ac:dyDescent="0.3">
      <c r="A16" s="126" t="s">
        <v>200</v>
      </c>
      <c r="B16" s="143"/>
      <c r="C16" s="84">
        <v>0.27600000000000002</v>
      </c>
      <c r="D16" s="84">
        <v>2.91</v>
      </c>
      <c r="E16" s="84">
        <v>20.7</v>
      </c>
      <c r="F16" s="84">
        <v>7.86</v>
      </c>
      <c r="G16" s="84"/>
      <c r="I16" s="6">
        <f>AVERAGE(D8:D10)</f>
        <v>5.1566666666666663</v>
      </c>
    </row>
    <row r="17" spans="1:14" ht="13" x14ac:dyDescent="0.3">
      <c r="A17" s="126" t="s">
        <v>227</v>
      </c>
      <c r="B17" s="143"/>
      <c r="C17" s="84">
        <v>0.27100000000000002</v>
      </c>
      <c r="D17" s="84">
        <v>2.88</v>
      </c>
      <c r="E17" s="84">
        <v>20.2</v>
      </c>
      <c r="F17" s="84">
        <v>7.86</v>
      </c>
      <c r="G17" s="84"/>
      <c r="I17" s="6">
        <f>AVERAGE(D8:D12)</f>
        <v>4.4820000000000002</v>
      </c>
    </row>
    <row r="18" spans="1:14" ht="13" x14ac:dyDescent="0.3">
      <c r="A18" s="126" t="s">
        <v>228</v>
      </c>
      <c r="B18" s="84"/>
      <c r="C18" s="84">
        <v>0.27500000000000002</v>
      </c>
      <c r="D18" s="84">
        <v>1.8</v>
      </c>
      <c r="E18" s="84">
        <v>20.5</v>
      </c>
      <c r="F18" s="84">
        <v>7.76</v>
      </c>
      <c r="G18" s="84"/>
    </row>
    <row r="19" spans="1:14" ht="13" x14ac:dyDescent="0.3">
      <c r="A19" s="208"/>
      <c r="B19" s="92"/>
      <c r="C19" s="92"/>
      <c r="D19" s="443">
        <f>AVERAGE(D8:D18)</f>
        <v>3.580909090909091</v>
      </c>
      <c r="E19" s="443">
        <f>AVERAGE(E8:E10)</f>
        <v>21.466666666666669</v>
      </c>
      <c r="F19" s="443">
        <f>AVERAGE(F8:F18)</f>
        <v>8.0190909090909077</v>
      </c>
      <c r="G19" s="92"/>
    </row>
    <row r="20" spans="1:14" ht="13" x14ac:dyDescent="0.3">
      <c r="A20" s="126" t="s">
        <v>230</v>
      </c>
      <c r="B20" s="84"/>
      <c r="C20" s="84"/>
      <c r="D20" s="84"/>
      <c r="E20" s="84"/>
      <c r="F20" s="84"/>
      <c r="G20" s="84"/>
      <c r="H20" s="21" t="s">
        <v>237</v>
      </c>
    </row>
    <row r="21" spans="1:14" ht="13" x14ac:dyDescent="0.3">
      <c r="A21" s="264" t="s">
        <v>231</v>
      </c>
      <c r="B21" s="84"/>
      <c r="C21" s="84"/>
      <c r="D21" s="84"/>
      <c r="E21" s="84"/>
      <c r="F21" s="84"/>
      <c r="G21" s="84"/>
    </row>
    <row r="22" spans="1:14" x14ac:dyDescent="0.25">
      <c r="A22" s="131" t="s">
        <v>11</v>
      </c>
      <c r="B22" s="228" t="s">
        <v>504</v>
      </c>
      <c r="C22" s="132"/>
      <c r="D22" s="132"/>
      <c r="E22" s="132"/>
      <c r="F22" s="132"/>
      <c r="G22" s="132"/>
    </row>
    <row r="23" spans="1:14" x14ac:dyDescent="0.25">
      <c r="A23" s="144"/>
      <c r="B23" s="133"/>
      <c r="C23" s="133"/>
      <c r="D23" s="133"/>
      <c r="E23" s="133"/>
      <c r="F23" s="133"/>
      <c r="G23" s="133"/>
    </row>
    <row r="24" spans="1:14" x14ac:dyDescent="0.25">
      <c r="A24" s="144"/>
      <c r="B24" s="133"/>
      <c r="C24" s="133"/>
      <c r="D24" s="133"/>
      <c r="E24" s="133"/>
      <c r="F24" s="133"/>
      <c r="G24" s="133"/>
    </row>
    <row r="25" spans="1:14" ht="24" x14ac:dyDescent="0.35">
      <c r="A25" s="853" t="s">
        <v>130</v>
      </c>
      <c r="B25" s="853"/>
      <c r="C25" s="257"/>
      <c r="D25" s="853" t="s">
        <v>133</v>
      </c>
      <c r="E25" s="853"/>
      <c r="F25" s="137"/>
      <c r="G25" s="849" t="s">
        <v>34</v>
      </c>
      <c r="H25" s="849"/>
      <c r="J25" s="141" t="s">
        <v>204</v>
      </c>
      <c r="K25" s="141" t="s">
        <v>205</v>
      </c>
      <c r="L25" s="142" t="s">
        <v>206</v>
      </c>
      <c r="M25" s="141" t="s">
        <v>207</v>
      </c>
      <c r="N25" s="142" t="s">
        <v>208</v>
      </c>
    </row>
    <row r="26" spans="1:14" ht="15.5" x14ac:dyDescent="0.35">
      <c r="A26" s="162" t="s">
        <v>184</v>
      </c>
      <c r="B26" s="258">
        <v>0.39583333333333331</v>
      </c>
      <c r="C26" s="259"/>
      <c r="D26" s="162" t="s">
        <v>184</v>
      </c>
      <c r="E26" s="260">
        <v>0.41388888888888892</v>
      </c>
      <c r="F26" s="260"/>
      <c r="G26" s="162" t="s">
        <v>184</v>
      </c>
      <c r="H26" s="260">
        <v>0.42986111111111108</v>
      </c>
      <c r="J26" s="138">
        <v>2</v>
      </c>
      <c r="K26" s="138">
        <v>1.25</v>
      </c>
      <c r="L26" s="138">
        <v>0.56999999999999995</v>
      </c>
      <c r="M26" s="138">
        <f>K26*3</f>
        <v>3.75</v>
      </c>
      <c r="N26" s="139">
        <f t="shared" ref="N26:N34" si="0">L26*M26</f>
        <v>2.1374999999999997</v>
      </c>
    </row>
    <row r="27" spans="1:14" ht="16" thickBot="1" x14ac:dyDescent="0.4">
      <c r="A27" s="162" t="s">
        <v>202</v>
      </c>
      <c r="B27" s="261">
        <v>12</v>
      </c>
      <c r="C27" s="261"/>
      <c r="D27" s="162" t="s">
        <v>202</v>
      </c>
      <c r="E27" s="263">
        <v>18</v>
      </c>
      <c r="F27" s="263"/>
      <c r="G27" s="162" t="s">
        <v>202</v>
      </c>
      <c r="H27" s="263">
        <v>50</v>
      </c>
      <c r="J27" s="138">
        <v>4</v>
      </c>
      <c r="K27" s="138">
        <v>1.45</v>
      </c>
      <c r="L27" s="138">
        <v>0.57999999999999996</v>
      </c>
      <c r="M27" s="138">
        <f t="shared" ref="M27:M33" si="1">K27*2</f>
        <v>2.9</v>
      </c>
      <c r="N27" s="139">
        <f t="shared" si="0"/>
        <v>1.6819999999999999</v>
      </c>
    </row>
    <row r="28" spans="1:14" ht="16" thickBot="1" x14ac:dyDescent="0.4">
      <c r="A28" s="165" t="s">
        <v>203</v>
      </c>
      <c r="B28" s="262" t="s">
        <v>491</v>
      </c>
      <c r="C28" s="262"/>
      <c r="D28" s="163" t="s">
        <v>203</v>
      </c>
      <c r="E28" s="854" t="s">
        <v>505</v>
      </c>
      <c r="F28" s="854"/>
      <c r="G28" s="163" t="s">
        <v>203</v>
      </c>
      <c r="H28" s="245" t="s">
        <v>495</v>
      </c>
      <c r="J28" s="138">
        <v>6</v>
      </c>
      <c r="K28" s="138">
        <v>2.5299999999999998</v>
      </c>
      <c r="L28" s="138">
        <v>1.3</v>
      </c>
      <c r="M28" s="138">
        <f t="shared" si="1"/>
        <v>5.0599999999999996</v>
      </c>
      <c r="N28" s="139">
        <f t="shared" si="0"/>
        <v>6.5779999999999994</v>
      </c>
    </row>
    <row r="29" spans="1:14" ht="24" x14ac:dyDescent="0.35">
      <c r="A29" s="159" t="s">
        <v>204</v>
      </c>
      <c r="B29" s="159" t="s">
        <v>205</v>
      </c>
      <c r="C29" s="161" t="s">
        <v>206</v>
      </c>
      <c r="D29" s="159" t="s">
        <v>204</v>
      </c>
      <c r="E29" s="159" t="s">
        <v>243</v>
      </c>
      <c r="F29" s="161" t="s">
        <v>211</v>
      </c>
      <c r="G29" s="159" t="s">
        <v>205</v>
      </c>
      <c r="H29" s="161" t="s">
        <v>206</v>
      </c>
      <c r="J29" s="138">
        <v>8</v>
      </c>
      <c r="K29" s="140">
        <v>1.72</v>
      </c>
      <c r="L29" s="138">
        <v>1.6</v>
      </c>
      <c r="M29" s="138">
        <f t="shared" si="1"/>
        <v>3.44</v>
      </c>
      <c r="N29" s="139">
        <f t="shared" si="0"/>
        <v>5.5040000000000004</v>
      </c>
    </row>
    <row r="30" spans="1:14" ht="15.5" x14ac:dyDescent="0.35">
      <c r="A30" s="160">
        <v>2</v>
      </c>
      <c r="B30" s="138">
        <v>0.5</v>
      </c>
      <c r="C30" s="138">
        <v>0.55000000000000004</v>
      </c>
      <c r="D30" s="160" t="s">
        <v>234</v>
      </c>
      <c r="E30" s="138">
        <v>4.2</v>
      </c>
      <c r="F30" s="138"/>
      <c r="G30" s="849" t="s">
        <v>34</v>
      </c>
      <c r="H30" s="849"/>
      <c r="J30" s="138">
        <v>10</v>
      </c>
      <c r="K30" s="467">
        <v>1.27</v>
      </c>
      <c r="L30" s="416">
        <v>1.78</v>
      </c>
      <c r="M30" s="138">
        <f t="shared" si="1"/>
        <v>2.54</v>
      </c>
      <c r="N30" s="139">
        <f t="shared" si="0"/>
        <v>4.5212000000000003</v>
      </c>
    </row>
    <row r="31" spans="1:14" ht="15.5" x14ac:dyDescent="0.35">
      <c r="A31" s="160">
        <v>4</v>
      </c>
      <c r="B31" s="138">
        <v>0.25</v>
      </c>
      <c r="C31" s="138">
        <v>0.32</v>
      </c>
      <c r="D31" s="160" t="s">
        <v>242</v>
      </c>
      <c r="E31" s="138"/>
      <c r="F31" s="138">
        <v>36.799999999999997</v>
      </c>
      <c r="G31" s="138">
        <v>0.34</v>
      </c>
      <c r="H31" s="139">
        <v>2.94</v>
      </c>
      <c r="I31" s="230">
        <v>50</v>
      </c>
      <c r="J31" s="138">
        <v>12</v>
      </c>
      <c r="K31" s="467">
        <v>1.25</v>
      </c>
      <c r="L31" s="416">
        <v>3.26</v>
      </c>
      <c r="M31" s="138">
        <f t="shared" si="1"/>
        <v>2.5</v>
      </c>
      <c r="N31" s="139">
        <f t="shared" si="0"/>
        <v>8.1499999999999986</v>
      </c>
    </row>
    <row r="32" spans="1:14" ht="15.5" x14ac:dyDescent="0.35">
      <c r="A32" s="160">
        <v>6</v>
      </c>
      <c r="B32" s="138">
        <v>0.38</v>
      </c>
      <c r="C32" s="138">
        <v>0.17</v>
      </c>
      <c r="D32" s="160">
        <v>2</v>
      </c>
      <c r="E32" s="138">
        <v>1.25</v>
      </c>
      <c r="F32" s="138">
        <v>0.56999999999999995</v>
      </c>
      <c r="G32" s="850" t="s">
        <v>214</v>
      </c>
      <c r="H32" s="851"/>
      <c r="J32" s="138">
        <v>14</v>
      </c>
      <c r="K32" s="467">
        <v>1.1499999999999999</v>
      </c>
      <c r="L32" s="416">
        <v>2.23</v>
      </c>
      <c r="M32" s="138">
        <f t="shared" si="1"/>
        <v>2.2999999999999998</v>
      </c>
      <c r="N32" s="139">
        <f t="shared" si="0"/>
        <v>5.1289999999999996</v>
      </c>
    </row>
    <row r="33" spans="1:14" ht="15.5" x14ac:dyDescent="0.35">
      <c r="A33" s="160">
        <v>8</v>
      </c>
      <c r="B33" s="138">
        <v>0.48</v>
      </c>
      <c r="C33" s="138">
        <v>1.1000000000000001</v>
      </c>
      <c r="D33" s="160">
        <v>4</v>
      </c>
      <c r="E33" s="138">
        <v>1.45</v>
      </c>
      <c r="F33" s="138">
        <v>0.57999999999999996</v>
      </c>
      <c r="G33" s="138"/>
      <c r="H33" s="139"/>
      <c r="J33" s="138">
        <v>16</v>
      </c>
      <c r="K33" s="467">
        <v>1.05</v>
      </c>
      <c r="L33" s="416">
        <v>1.51</v>
      </c>
      <c r="M33" s="138">
        <f t="shared" si="1"/>
        <v>2.1</v>
      </c>
      <c r="N33" s="139">
        <f t="shared" si="0"/>
        <v>3.1710000000000003</v>
      </c>
    </row>
    <row r="34" spans="1:14" ht="15.5" x14ac:dyDescent="0.35">
      <c r="A34" s="160">
        <v>12</v>
      </c>
      <c r="B34" s="138">
        <v>0.38</v>
      </c>
      <c r="C34" s="138">
        <v>1.83</v>
      </c>
      <c r="D34" s="160">
        <v>6</v>
      </c>
      <c r="E34" s="138">
        <v>2.5299999999999998</v>
      </c>
      <c r="F34" s="138">
        <v>1.3</v>
      </c>
      <c r="G34" s="138" t="s">
        <v>215</v>
      </c>
      <c r="H34" s="139"/>
      <c r="J34" s="138">
        <v>18</v>
      </c>
      <c r="K34" s="467">
        <v>0.34</v>
      </c>
      <c r="L34" s="467">
        <v>2.94</v>
      </c>
      <c r="M34" s="138">
        <f>K34*50</f>
        <v>17</v>
      </c>
      <c r="N34" s="139">
        <f t="shared" si="0"/>
        <v>49.98</v>
      </c>
    </row>
    <row r="35" spans="1:14" ht="15.5" x14ac:dyDescent="0.35">
      <c r="A35" s="128"/>
      <c r="B35" s="138"/>
      <c r="C35" s="138"/>
      <c r="D35" s="160">
        <v>8</v>
      </c>
      <c r="E35" s="140">
        <v>1.72</v>
      </c>
      <c r="F35" s="138">
        <v>1.6</v>
      </c>
      <c r="G35" s="138"/>
      <c r="H35" s="139"/>
      <c r="N35" s="6">
        <f>SUM(N26:N34)</f>
        <v>86.852699999999999</v>
      </c>
    </row>
    <row r="36" spans="1:14" ht="15.5" x14ac:dyDescent="0.35">
      <c r="A36" s="128"/>
      <c r="B36" s="416"/>
      <c r="C36" s="416"/>
      <c r="D36" s="160">
        <v>10</v>
      </c>
      <c r="E36" s="467">
        <v>1.27</v>
      </c>
      <c r="F36" s="416">
        <v>1.78</v>
      </c>
      <c r="G36" s="416"/>
      <c r="H36" s="418"/>
    </row>
    <row r="37" spans="1:14" ht="15.5" x14ac:dyDescent="0.35">
      <c r="A37" s="128"/>
      <c r="B37" s="416"/>
      <c r="C37" s="416"/>
      <c r="D37" s="160">
        <v>12</v>
      </c>
      <c r="E37" s="467">
        <v>1.25</v>
      </c>
      <c r="F37" s="416">
        <v>3.26</v>
      </c>
      <c r="G37" s="416"/>
      <c r="H37" s="418"/>
    </row>
    <row r="38" spans="1:14" ht="15.5" x14ac:dyDescent="0.35">
      <c r="A38" s="128"/>
      <c r="B38" s="416"/>
      <c r="C38" s="416"/>
      <c r="D38" s="160">
        <v>14</v>
      </c>
      <c r="E38" s="467">
        <v>1.1499999999999999</v>
      </c>
      <c r="F38" s="416">
        <v>2.23</v>
      </c>
      <c r="G38" s="416"/>
      <c r="H38" s="418"/>
    </row>
    <row r="39" spans="1:14" ht="15.5" x14ac:dyDescent="0.35">
      <c r="A39" s="128"/>
      <c r="B39" s="416"/>
      <c r="C39" s="416">
        <v>3.6</v>
      </c>
      <c r="D39" s="160">
        <v>16</v>
      </c>
      <c r="E39" s="467">
        <v>1.05</v>
      </c>
      <c r="F39" s="416">
        <v>1.51</v>
      </c>
      <c r="G39" s="416"/>
      <c r="H39" s="418"/>
    </row>
    <row r="41" spans="1:14" ht="14" x14ac:dyDescent="0.3">
      <c r="A41" s="135" t="s">
        <v>232</v>
      </c>
      <c r="C41" s="11" t="s">
        <v>233</v>
      </c>
      <c r="D41" s="155">
        <v>40399</v>
      </c>
    </row>
    <row r="42" spans="1:14" ht="14" x14ac:dyDescent="0.3">
      <c r="A42" s="209" t="s">
        <v>248</v>
      </c>
      <c r="B42" s="209" t="s">
        <v>184</v>
      </c>
      <c r="C42" s="209" t="s">
        <v>185</v>
      </c>
      <c r="D42" s="209" t="s">
        <v>186</v>
      </c>
      <c r="E42" s="209" t="s">
        <v>187</v>
      </c>
      <c r="F42" s="209" t="s">
        <v>188</v>
      </c>
      <c r="G42" s="209" t="s">
        <v>201</v>
      </c>
      <c r="H42" s="210" t="s">
        <v>213</v>
      </c>
      <c r="J42" s="662" t="s">
        <v>767</v>
      </c>
      <c r="K42" s="6">
        <f>AVERAGE(D43:D45,D51:D53,D61:D63,D67:D69,D8:D10,)</f>
        <v>5.5587500000000007</v>
      </c>
    </row>
    <row r="43" spans="1:14" ht="13" x14ac:dyDescent="0.3">
      <c r="A43" s="126" t="s">
        <v>192</v>
      </c>
      <c r="B43" s="143">
        <v>0.4694444444444445</v>
      </c>
      <c r="C43" s="84">
        <v>0.28000000000000003</v>
      </c>
      <c r="D43" s="84">
        <v>6.7</v>
      </c>
      <c r="E43" s="84">
        <v>22.2</v>
      </c>
      <c r="F43" s="84">
        <v>8.7200000000000006</v>
      </c>
      <c r="G43" s="134">
        <v>1.85</v>
      </c>
      <c r="H43" s="84">
        <v>5.6</v>
      </c>
      <c r="I43">
        <f>AVERAGE(E43:E45)</f>
        <v>21.8</v>
      </c>
    </row>
    <row r="44" spans="1:14" ht="13" x14ac:dyDescent="0.3">
      <c r="A44" s="126" t="s">
        <v>193</v>
      </c>
      <c r="B44" s="84"/>
      <c r="C44" s="84">
        <v>0.27500000000000002</v>
      </c>
      <c r="D44" s="84">
        <v>5.84</v>
      </c>
      <c r="E44" s="84">
        <v>21.7</v>
      </c>
      <c r="F44" s="84">
        <v>8.57</v>
      </c>
      <c r="G44" s="84"/>
    </row>
    <row r="45" spans="1:14" ht="13" x14ac:dyDescent="0.3">
      <c r="A45" s="126" t="s">
        <v>194</v>
      </c>
      <c r="B45" s="84"/>
      <c r="C45" s="84">
        <v>0.28000000000000003</v>
      </c>
      <c r="D45" s="84">
        <v>4.5</v>
      </c>
      <c r="E45" s="84">
        <v>21.5</v>
      </c>
      <c r="F45" s="84">
        <v>8.43</v>
      </c>
      <c r="G45" s="84"/>
    </row>
    <row r="46" spans="1:14" ht="13" x14ac:dyDescent="0.3">
      <c r="A46" s="126" t="s">
        <v>195</v>
      </c>
      <c r="B46" s="84"/>
      <c r="C46" s="84">
        <v>0.28299999999999997</v>
      </c>
      <c r="D46" s="84">
        <v>3.88</v>
      </c>
      <c r="E46" s="84">
        <v>21.2</v>
      </c>
      <c r="F46" s="84">
        <v>8.33</v>
      </c>
      <c r="G46" s="84"/>
    </row>
    <row r="47" spans="1:14" ht="13" x14ac:dyDescent="0.3">
      <c r="A47" s="126" t="s">
        <v>196</v>
      </c>
      <c r="B47" s="84"/>
      <c r="C47" s="84">
        <v>0.28100000000000003</v>
      </c>
      <c r="D47" s="84">
        <v>3.25</v>
      </c>
      <c r="E47" s="84">
        <v>21</v>
      </c>
      <c r="F47" s="84">
        <v>8.2200000000000006</v>
      </c>
      <c r="G47" s="84"/>
    </row>
    <row r="48" spans="1:14" ht="13" x14ac:dyDescent="0.3">
      <c r="A48" s="126" t="s">
        <v>197</v>
      </c>
      <c r="B48" s="84"/>
      <c r="C48" s="84">
        <v>0.28100000000000003</v>
      </c>
      <c r="D48" s="84">
        <v>2.78</v>
      </c>
      <c r="E48" s="84">
        <v>20.9</v>
      </c>
      <c r="F48" s="84">
        <v>8.14</v>
      </c>
      <c r="G48" s="84"/>
    </row>
    <row r="50" spans="1:9" ht="14" x14ac:dyDescent="0.3">
      <c r="A50" s="209" t="s">
        <v>249</v>
      </c>
      <c r="B50" s="209" t="s">
        <v>184</v>
      </c>
      <c r="C50" s="209" t="s">
        <v>185</v>
      </c>
      <c r="D50" s="209" t="s">
        <v>186</v>
      </c>
      <c r="E50" s="209" t="s">
        <v>187</v>
      </c>
      <c r="F50" s="209" t="s">
        <v>188</v>
      </c>
      <c r="G50" s="209" t="s">
        <v>201</v>
      </c>
      <c r="H50" s="210" t="s">
        <v>213</v>
      </c>
    </row>
    <row r="51" spans="1:9" ht="13" x14ac:dyDescent="0.3">
      <c r="A51" s="126" t="s">
        <v>192</v>
      </c>
      <c r="B51" s="143">
        <v>0.47638888888888892</v>
      </c>
      <c r="C51" s="84">
        <v>0.28399999999999997</v>
      </c>
      <c r="D51" s="84">
        <v>6.64</v>
      </c>
      <c r="E51" s="84">
        <v>22.2</v>
      </c>
      <c r="F51" s="84">
        <v>8.66</v>
      </c>
      <c r="G51" s="134">
        <v>2</v>
      </c>
      <c r="H51" s="84">
        <v>5</v>
      </c>
      <c r="I51" s="6">
        <f>AVERAGE(E51:E53)</f>
        <v>21.8</v>
      </c>
    </row>
    <row r="52" spans="1:9" ht="13" x14ac:dyDescent="0.3">
      <c r="A52" s="126" t="s">
        <v>193</v>
      </c>
      <c r="B52" s="84"/>
      <c r="C52" s="84">
        <v>0.27900000000000003</v>
      </c>
      <c r="D52" s="84">
        <v>5.32</v>
      </c>
      <c r="E52" s="84">
        <v>21.7</v>
      </c>
      <c r="F52" s="84">
        <v>8.5</v>
      </c>
      <c r="G52" s="84"/>
    </row>
    <row r="53" spans="1:9" ht="13" x14ac:dyDescent="0.3">
      <c r="A53" s="126" t="s">
        <v>194</v>
      </c>
      <c r="B53" s="84"/>
      <c r="C53" s="84">
        <v>0.27600000000000002</v>
      </c>
      <c r="D53" s="84">
        <v>5.2</v>
      </c>
      <c r="E53" s="84">
        <v>21.5</v>
      </c>
      <c r="F53" s="84">
        <v>8.43</v>
      </c>
      <c r="G53" s="84"/>
    </row>
    <row r="54" spans="1:9" ht="13" x14ac:dyDescent="0.3">
      <c r="A54" s="126" t="s">
        <v>195</v>
      </c>
      <c r="B54" s="84"/>
      <c r="C54" s="84">
        <v>0.28199999999999997</v>
      </c>
      <c r="D54" s="84">
        <v>3.91</v>
      </c>
      <c r="E54" s="84">
        <v>21.3</v>
      </c>
      <c r="F54" s="84">
        <v>8.27</v>
      </c>
      <c r="G54" s="84"/>
    </row>
    <row r="55" spans="1:9" ht="13" x14ac:dyDescent="0.3">
      <c r="A55" s="126" t="s">
        <v>196</v>
      </c>
      <c r="B55" s="84"/>
      <c r="C55" s="84">
        <v>0.27900000000000003</v>
      </c>
      <c r="D55" s="84">
        <v>3.06</v>
      </c>
      <c r="E55" s="84">
        <v>20.9</v>
      </c>
      <c r="F55" s="84">
        <v>8.15</v>
      </c>
      <c r="G55" s="84"/>
    </row>
    <row r="56" spans="1:9" ht="13" x14ac:dyDescent="0.3">
      <c r="A56" s="126" t="s">
        <v>197</v>
      </c>
      <c r="B56" s="84"/>
      <c r="C56" s="84"/>
      <c r="D56" s="84"/>
      <c r="E56" s="84"/>
      <c r="F56" s="84"/>
      <c r="G56" s="84"/>
    </row>
    <row r="57" spans="1:9" ht="13" x14ac:dyDescent="0.3">
      <c r="A57" s="126" t="s">
        <v>198</v>
      </c>
      <c r="B57" s="84"/>
      <c r="C57" s="84"/>
      <c r="D57" s="84"/>
      <c r="E57" s="84"/>
      <c r="F57" s="84"/>
      <c r="G57" s="84"/>
    </row>
    <row r="58" spans="1:9" ht="13" x14ac:dyDescent="0.3">
      <c r="A58" s="126" t="s">
        <v>199</v>
      </c>
      <c r="B58" s="84"/>
      <c r="C58" s="84"/>
      <c r="D58" s="84"/>
      <c r="E58" s="84"/>
      <c r="F58" s="84"/>
      <c r="G58" s="84"/>
    </row>
    <row r="60" spans="1:9" ht="14" x14ac:dyDescent="0.3">
      <c r="A60" s="209" t="s">
        <v>250</v>
      </c>
      <c r="B60" s="209" t="s">
        <v>184</v>
      </c>
      <c r="C60" s="209" t="s">
        <v>185</v>
      </c>
      <c r="D60" s="209" t="s">
        <v>186</v>
      </c>
      <c r="E60" s="209" t="s">
        <v>187</v>
      </c>
      <c r="F60" s="209" t="s">
        <v>188</v>
      </c>
      <c r="G60" s="209" t="s">
        <v>201</v>
      </c>
      <c r="H60" s="210" t="s">
        <v>213</v>
      </c>
    </row>
    <row r="61" spans="1:9" ht="13" x14ac:dyDescent="0.3">
      <c r="A61" s="126" t="s">
        <v>192</v>
      </c>
      <c r="B61" s="143">
        <v>0.4826388888888889</v>
      </c>
      <c r="C61" s="84">
        <v>0.28100000000000003</v>
      </c>
      <c r="D61" s="84">
        <v>6.61</v>
      </c>
      <c r="E61" s="84">
        <v>22.2</v>
      </c>
      <c r="F61" s="84">
        <v>8.73</v>
      </c>
      <c r="G61" s="134">
        <v>2</v>
      </c>
      <c r="H61" s="84">
        <v>4.4000000000000004</v>
      </c>
      <c r="I61" s="6">
        <f>AVERAGE(E61:E63)</f>
        <v>22</v>
      </c>
    </row>
    <row r="62" spans="1:9" ht="13" x14ac:dyDescent="0.3">
      <c r="A62" s="126" t="s">
        <v>193</v>
      </c>
      <c r="B62" s="84"/>
      <c r="C62" s="84">
        <v>0.28100000000000003</v>
      </c>
      <c r="D62" s="84">
        <v>6.61</v>
      </c>
      <c r="E62" s="84">
        <v>22</v>
      </c>
      <c r="F62" s="84">
        <v>8.74</v>
      </c>
      <c r="G62" s="84"/>
    </row>
    <row r="63" spans="1:9" ht="13" x14ac:dyDescent="0.3">
      <c r="A63" s="126" t="s">
        <v>194</v>
      </c>
      <c r="B63" s="84"/>
      <c r="C63" s="84">
        <v>0.28100000000000003</v>
      </c>
      <c r="D63" s="84">
        <v>6.4</v>
      </c>
      <c r="E63" s="84">
        <v>21.8</v>
      </c>
      <c r="F63" s="84">
        <v>8.61</v>
      </c>
      <c r="G63" s="84"/>
    </row>
    <row r="64" spans="1:9" ht="13" x14ac:dyDescent="0.3">
      <c r="A64" s="126" t="s">
        <v>195</v>
      </c>
      <c r="B64" s="84"/>
      <c r="C64" s="84">
        <v>0.30199999999999999</v>
      </c>
      <c r="D64" s="84">
        <v>4.26</v>
      </c>
      <c r="E64" s="84">
        <v>2.2999999999999998</v>
      </c>
      <c r="F64" s="84">
        <v>8.44</v>
      </c>
      <c r="G64" s="84"/>
    </row>
    <row r="66" spans="1:9" ht="14" x14ac:dyDescent="0.3">
      <c r="A66" s="209" t="s">
        <v>251</v>
      </c>
      <c r="B66" s="209" t="s">
        <v>184</v>
      </c>
      <c r="C66" s="209" t="s">
        <v>185</v>
      </c>
      <c r="D66" s="209" t="s">
        <v>186</v>
      </c>
      <c r="E66" s="209" t="s">
        <v>187</v>
      </c>
      <c r="F66" s="209" t="s">
        <v>188</v>
      </c>
      <c r="G66" s="209" t="s">
        <v>201</v>
      </c>
      <c r="H66" s="210" t="s">
        <v>213</v>
      </c>
    </row>
    <row r="67" spans="1:9" ht="13" x14ac:dyDescent="0.3">
      <c r="A67" s="126" t="s">
        <v>192</v>
      </c>
      <c r="B67" s="143">
        <v>0.48888888888888887</v>
      </c>
      <c r="C67" s="84">
        <v>0.28100000000000003</v>
      </c>
      <c r="D67" s="84">
        <v>6.98</v>
      </c>
      <c r="E67" s="84">
        <v>22.3</v>
      </c>
      <c r="F67" s="84">
        <v>8.86</v>
      </c>
      <c r="G67" s="134">
        <v>2.4</v>
      </c>
      <c r="H67" s="84">
        <v>6.5</v>
      </c>
      <c r="I67" s="6">
        <f>AVERAGE(E67:E69)</f>
        <v>21.966666666666669</v>
      </c>
    </row>
    <row r="68" spans="1:9" ht="13" x14ac:dyDescent="0.3">
      <c r="A68" s="126" t="s">
        <v>193</v>
      </c>
      <c r="B68" s="84"/>
      <c r="C68" s="84">
        <v>0.28100000000000003</v>
      </c>
      <c r="D68" s="84">
        <v>6.47</v>
      </c>
      <c r="E68" s="84">
        <v>22</v>
      </c>
      <c r="F68" s="84">
        <v>8.86</v>
      </c>
      <c r="G68" s="84"/>
    </row>
    <row r="69" spans="1:9" ht="13" x14ac:dyDescent="0.3">
      <c r="A69" s="126" t="s">
        <v>194</v>
      </c>
      <c r="B69" s="84"/>
      <c r="C69" s="84">
        <v>0.26800000000000002</v>
      </c>
      <c r="D69" s="84">
        <v>6.2</v>
      </c>
      <c r="E69" s="84">
        <v>21.6</v>
      </c>
      <c r="F69" s="84">
        <v>8.76</v>
      </c>
      <c r="G69" s="84"/>
    </row>
    <row r="70" spans="1:9" ht="13" x14ac:dyDescent="0.3">
      <c r="A70" s="126" t="s">
        <v>195</v>
      </c>
      <c r="B70" s="84"/>
      <c r="C70" s="84">
        <v>0.27</v>
      </c>
      <c r="D70" s="84">
        <v>5.57</v>
      </c>
      <c r="E70" s="84">
        <v>21.3</v>
      </c>
      <c r="F70" s="84">
        <v>8.6</v>
      </c>
      <c r="G70" s="84"/>
    </row>
    <row r="71" spans="1:9" ht="13" x14ac:dyDescent="0.3">
      <c r="A71" s="126" t="s">
        <v>196</v>
      </c>
      <c r="B71" s="84"/>
      <c r="C71" s="84">
        <v>0.27100000000000002</v>
      </c>
      <c r="D71" s="84">
        <v>4.91</v>
      </c>
      <c r="E71" s="84">
        <v>21.3</v>
      </c>
      <c r="F71" s="84">
        <v>8.44</v>
      </c>
      <c r="G71" s="84"/>
    </row>
    <row r="72" spans="1:9" ht="13" x14ac:dyDescent="0.3">
      <c r="A72" s="126" t="s">
        <v>197</v>
      </c>
      <c r="B72" s="84"/>
      <c r="C72" s="84">
        <v>0.25600000000000001</v>
      </c>
      <c r="D72" s="84">
        <v>5.2</v>
      </c>
      <c r="E72" s="84">
        <v>20.7</v>
      </c>
      <c r="F72" s="84">
        <v>8.41</v>
      </c>
      <c r="G72" s="84"/>
    </row>
  </sheetData>
  <mergeCells count="6">
    <mergeCell ref="G32:H32"/>
    <mergeCell ref="A25:B25"/>
    <mergeCell ref="D25:E25"/>
    <mergeCell ref="G25:H25"/>
    <mergeCell ref="E28:F28"/>
    <mergeCell ref="G30:H30"/>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67"/>
  <sheetViews>
    <sheetView workbookViewId="0">
      <selection activeCell="F4" sqref="F4:F18"/>
    </sheetView>
  </sheetViews>
  <sheetFormatPr defaultRowHeight="12.5" x14ac:dyDescent="0.25"/>
  <cols>
    <col min="1" max="1" width="18.36328125" customWidth="1"/>
    <col min="4" max="4" width="10.54296875" bestFit="1" customWidth="1"/>
    <col min="7" max="7" width="12.6328125" customWidth="1"/>
    <col min="8" max="8" width="13.36328125" customWidth="1"/>
    <col min="9" max="9" width="24.36328125" customWidth="1"/>
    <col min="10" max="10" width="15.90625" bestFit="1" customWidth="1"/>
  </cols>
  <sheetData>
    <row r="1" spans="1:10" ht="14" x14ac:dyDescent="0.3">
      <c r="A1" s="135" t="s">
        <v>273</v>
      </c>
      <c r="I1" s="189" t="s">
        <v>281</v>
      </c>
      <c r="J1" s="189" t="s">
        <v>283</v>
      </c>
    </row>
    <row r="2" spans="1:10" ht="13" x14ac:dyDescent="0.3">
      <c r="A2" s="1" t="s">
        <v>180</v>
      </c>
      <c r="B2" s="155">
        <v>40413</v>
      </c>
      <c r="I2" s="84" t="s">
        <v>291</v>
      </c>
      <c r="J2" s="447">
        <v>2</v>
      </c>
    </row>
    <row r="3" spans="1:10" ht="14" x14ac:dyDescent="0.3">
      <c r="A3" s="209" t="s">
        <v>23</v>
      </c>
      <c r="B3" s="209" t="s">
        <v>184</v>
      </c>
      <c r="C3" s="209" t="s">
        <v>185</v>
      </c>
      <c r="D3" s="209" t="s">
        <v>186</v>
      </c>
      <c r="E3" s="209" t="s">
        <v>187</v>
      </c>
      <c r="F3" s="209" t="s">
        <v>188</v>
      </c>
      <c r="I3" s="189" t="s">
        <v>282</v>
      </c>
      <c r="J3" s="447">
        <v>30</v>
      </c>
    </row>
    <row r="4" spans="1:10" ht="13" x14ac:dyDescent="0.3">
      <c r="A4" s="94" t="s">
        <v>238</v>
      </c>
      <c r="B4" s="143">
        <v>0.3972222222222222</v>
      </c>
      <c r="C4" s="84">
        <v>1.6</v>
      </c>
      <c r="D4" s="84">
        <v>7.88</v>
      </c>
      <c r="E4" s="84">
        <v>19.600000000000001</v>
      </c>
      <c r="F4" s="84">
        <v>8.23</v>
      </c>
      <c r="G4" s="92"/>
      <c r="I4" s="189" t="s">
        <v>284</v>
      </c>
      <c r="J4" s="447">
        <v>48</v>
      </c>
    </row>
    <row r="5" spans="1:10" ht="13" x14ac:dyDescent="0.3">
      <c r="A5" s="94" t="s">
        <v>239</v>
      </c>
      <c r="B5" s="143">
        <v>0.41111111111111115</v>
      </c>
      <c r="C5" s="84">
        <v>0.21099999999999999</v>
      </c>
      <c r="D5" s="84">
        <v>7.48</v>
      </c>
      <c r="E5" s="84">
        <v>17.899999999999999</v>
      </c>
      <c r="F5" s="84">
        <v>8.2799999999999994</v>
      </c>
      <c r="G5" s="92"/>
      <c r="I5" s="189" t="s">
        <v>285</v>
      </c>
      <c r="J5" s="589" t="s">
        <v>626</v>
      </c>
    </row>
    <row r="6" spans="1:10" ht="13" x14ac:dyDescent="0.3">
      <c r="A6" s="94" t="s">
        <v>240</v>
      </c>
      <c r="B6" s="143">
        <v>0.42777777777777781</v>
      </c>
      <c r="C6" s="84">
        <v>0.25800000000000001</v>
      </c>
      <c r="D6" s="84">
        <v>6.24</v>
      </c>
      <c r="E6" s="84">
        <v>22</v>
      </c>
      <c r="F6" s="84">
        <v>8.57</v>
      </c>
      <c r="G6" s="92"/>
      <c r="I6" s="189" t="s">
        <v>286</v>
      </c>
      <c r="J6" s="291">
        <v>28</v>
      </c>
    </row>
    <row r="7" spans="1:10" ht="14" x14ac:dyDescent="0.3">
      <c r="A7" s="94" t="s">
        <v>229</v>
      </c>
      <c r="B7" s="321" t="s">
        <v>241</v>
      </c>
      <c r="C7" s="322"/>
      <c r="D7" s="322"/>
      <c r="E7" s="322"/>
      <c r="F7" s="322"/>
      <c r="G7" s="209" t="s">
        <v>201</v>
      </c>
      <c r="H7" s="210" t="s">
        <v>213</v>
      </c>
      <c r="I7" s="422" t="s">
        <v>288</v>
      </c>
      <c r="J7" s="291">
        <v>14</v>
      </c>
    </row>
    <row r="8" spans="1:10" ht="13" x14ac:dyDescent="0.3">
      <c r="A8" s="126" t="s">
        <v>192</v>
      </c>
      <c r="B8" s="143">
        <v>0.47361111111111115</v>
      </c>
      <c r="C8" s="84">
        <v>0.25700000000000001</v>
      </c>
      <c r="D8" s="84">
        <v>7.63</v>
      </c>
      <c r="E8" s="84">
        <v>21.4</v>
      </c>
      <c r="F8" s="84">
        <v>8.65</v>
      </c>
      <c r="G8" s="134">
        <v>1.4</v>
      </c>
      <c r="H8" s="188">
        <v>10.85</v>
      </c>
      <c r="I8" s="422" t="s">
        <v>292</v>
      </c>
      <c r="J8" s="291">
        <v>30</v>
      </c>
    </row>
    <row r="9" spans="1:10" ht="13" x14ac:dyDescent="0.3">
      <c r="A9" s="126" t="s">
        <v>193</v>
      </c>
      <c r="B9" s="84"/>
      <c r="C9" s="84">
        <v>0.25600000000000001</v>
      </c>
      <c r="D9" s="84">
        <v>7.74</v>
      </c>
      <c r="E9" s="84">
        <v>21.4</v>
      </c>
      <c r="F9" s="84">
        <v>8.64</v>
      </c>
      <c r="G9" s="84"/>
      <c r="I9" s="422" t="s">
        <v>301</v>
      </c>
      <c r="J9" s="291">
        <v>2</v>
      </c>
    </row>
    <row r="10" spans="1:10" ht="13" x14ac:dyDescent="0.3">
      <c r="A10" s="126" t="s">
        <v>194</v>
      </c>
      <c r="B10" s="84"/>
      <c r="C10" s="84">
        <v>0.25700000000000001</v>
      </c>
      <c r="D10" s="84">
        <v>7.37</v>
      </c>
      <c r="E10" s="84">
        <v>21.3</v>
      </c>
      <c r="F10" s="84">
        <v>8.64</v>
      </c>
      <c r="G10" s="84"/>
      <c r="J10">
        <f>SUM(J2:J9)</f>
        <v>154</v>
      </c>
    </row>
    <row r="11" spans="1:10" ht="13" x14ac:dyDescent="0.3">
      <c r="A11" s="126" t="s">
        <v>195</v>
      </c>
      <c r="B11" s="84"/>
      <c r="C11" s="84">
        <v>0.255</v>
      </c>
      <c r="D11" s="84">
        <v>7.11</v>
      </c>
      <c r="E11" s="84">
        <v>21.3</v>
      </c>
      <c r="F11" s="84">
        <v>8.6300000000000008</v>
      </c>
      <c r="G11" s="84"/>
      <c r="I11" s="6">
        <f>AVERAGE(E8:E10)</f>
        <v>21.366666666666664</v>
      </c>
      <c r="J11" s="21" t="s">
        <v>627</v>
      </c>
    </row>
    <row r="12" spans="1:10" ht="13" x14ac:dyDescent="0.3">
      <c r="A12" s="126" t="s">
        <v>196</v>
      </c>
      <c r="B12" s="84"/>
      <c r="C12" s="84">
        <v>0.25600000000000001</v>
      </c>
      <c r="D12" s="84">
        <v>7</v>
      </c>
      <c r="E12" s="84">
        <v>21.3</v>
      </c>
      <c r="F12" s="84">
        <v>8.61</v>
      </c>
      <c r="G12" s="84"/>
      <c r="I12" s="6"/>
    </row>
    <row r="13" spans="1:10" ht="13" x14ac:dyDescent="0.3">
      <c r="A13" s="126" t="s">
        <v>197</v>
      </c>
      <c r="B13" s="84"/>
      <c r="C13" s="84">
        <v>0.25700000000000001</v>
      </c>
      <c r="D13" s="84">
        <v>7.04</v>
      </c>
      <c r="E13" s="84">
        <v>21.3</v>
      </c>
      <c r="F13" s="84">
        <v>8.6</v>
      </c>
      <c r="G13" s="84"/>
    </row>
    <row r="14" spans="1:10" ht="13" x14ac:dyDescent="0.3">
      <c r="A14" s="126" t="s">
        <v>198</v>
      </c>
      <c r="B14" s="84"/>
      <c r="C14" s="84">
        <v>0.254</v>
      </c>
      <c r="D14" s="84">
        <v>6.72</v>
      </c>
      <c r="E14" s="84">
        <v>21.2</v>
      </c>
      <c r="F14" s="84">
        <v>8.57</v>
      </c>
      <c r="G14" s="84"/>
    </row>
    <row r="15" spans="1:10" ht="13" x14ac:dyDescent="0.3">
      <c r="A15" s="126" t="s">
        <v>199</v>
      </c>
      <c r="B15" s="84"/>
      <c r="C15" s="84">
        <v>0.255</v>
      </c>
      <c r="D15" s="84">
        <v>6.56</v>
      </c>
      <c r="E15" s="84">
        <v>21.1</v>
      </c>
      <c r="F15" s="84">
        <v>8.52</v>
      </c>
      <c r="G15" s="84"/>
    </row>
    <row r="16" spans="1:10" ht="13" x14ac:dyDescent="0.3">
      <c r="A16" s="126" t="s">
        <v>200</v>
      </c>
      <c r="B16" s="143"/>
      <c r="C16" s="84">
        <v>0.25600000000000001</v>
      </c>
      <c r="D16" s="84">
        <v>6.12</v>
      </c>
      <c r="E16" s="84">
        <v>21</v>
      </c>
      <c r="F16" s="84">
        <v>8.44</v>
      </c>
      <c r="G16" s="84"/>
    </row>
    <row r="17" spans="1:14" ht="13" x14ac:dyDescent="0.3">
      <c r="A17" s="126" t="s">
        <v>227</v>
      </c>
      <c r="B17" s="143"/>
      <c r="C17" s="84">
        <v>0.255</v>
      </c>
      <c r="D17" s="84">
        <v>5.43</v>
      </c>
      <c r="E17" s="84">
        <v>20.7</v>
      </c>
      <c r="F17" s="84">
        <v>8.24</v>
      </c>
      <c r="G17" s="84"/>
    </row>
    <row r="18" spans="1:14" ht="13" x14ac:dyDescent="0.3">
      <c r="A18" s="126" t="s">
        <v>228</v>
      </c>
      <c r="B18" s="84"/>
      <c r="C18" s="84">
        <v>0.26300000000000001</v>
      </c>
      <c r="D18" s="84">
        <v>3.57</v>
      </c>
      <c r="E18" s="84">
        <v>20.6</v>
      </c>
      <c r="F18" s="84">
        <v>8.07</v>
      </c>
      <c r="G18" s="84"/>
    </row>
    <row r="19" spans="1:14" ht="13" x14ac:dyDescent="0.3">
      <c r="A19" s="208"/>
      <c r="B19" s="92"/>
      <c r="C19" s="92"/>
      <c r="D19" s="443">
        <f>AVERAGE(D8:D18)</f>
        <v>6.5718181818181813</v>
      </c>
      <c r="E19" s="92">
        <f>AVERAGE(D8:D10)</f>
        <v>7.580000000000001</v>
      </c>
      <c r="F19" s="92">
        <f>AVERAGE(D8:D13)</f>
        <v>7.3150000000000004</v>
      </c>
      <c r="G19" s="92"/>
    </row>
    <row r="20" spans="1:14" ht="13" x14ac:dyDescent="0.3">
      <c r="A20" s="126" t="s">
        <v>230</v>
      </c>
      <c r="B20" s="143">
        <v>0.4465277777777778</v>
      </c>
      <c r="C20" s="84">
        <v>1.1299999999999999</v>
      </c>
      <c r="D20" s="84">
        <v>6.07</v>
      </c>
      <c r="E20" s="84">
        <v>17.7</v>
      </c>
      <c r="F20" s="84">
        <v>8.2100000000000009</v>
      </c>
      <c r="G20" s="189" t="s">
        <v>657</v>
      </c>
    </row>
    <row r="21" spans="1:14" ht="13" x14ac:dyDescent="0.3">
      <c r="A21" s="264" t="s">
        <v>231</v>
      </c>
      <c r="B21" s="143">
        <v>0.4513888888888889</v>
      </c>
      <c r="C21" s="84">
        <v>1.0900000000000001</v>
      </c>
      <c r="D21" s="84">
        <v>7.57</v>
      </c>
      <c r="E21" s="84">
        <v>18.399999999999999</v>
      </c>
      <c r="F21" s="84">
        <v>8.5</v>
      </c>
      <c r="G21" s="189" t="s">
        <v>658</v>
      </c>
    </row>
    <row r="22" spans="1:14" x14ac:dyDescent="0.25">
      <c r="A22" s="131" t="s">
        <v>11</v>
      </c>
      <c r="B22" s="132" t="s">
        <v>252</v>
      </c>
      <c r="C22" s="132"/>
      <c r="D22" s="132"/>
      <c r="E22" s="132"/>
      <c r="F22" s="132"/>
      <c r="G22" s="132"/>
    </row>
    <row r="23" spans="1:14" x14ac:dyDescent="0.25">
      <c r="A23" s="144"/>
      <c r="B23" s="133"/>
      <c r="C23" s="133"/>
      <c r="D23" s="133"/>
      <c r="E23" s="133"/>
      <c r="F23" s="133"/>
      <c r="G23" s="133"/>
    </row>
    <row r="24" spans="1:14" x14ac:dyDescent="0.25">
      <c r="A24" s="144"/>
      <c r="B24" s="133"/>
      <c r="C24" s="133"/>
      <c r="D24" s="133"/>
      <c r="E24" s="133"/>
      <c r="F24" s="133"/>
      <c r="G24" s="133"/>
    </row>
    <row r="25" spans="1:14" ht="24" x14ac:dyDescent="0.35">
      <c r="A25" s="853" t="s">
        <v>130</v>
      </c>
      <c r="B25" s="853"/>
      <c r="C25" s="257"/>
      <c r="D25" s="853" t="s">
        <v>133</v>
      </c>
      <c r="E25" s="853"/>
      <c r="F25" s="137"/>
      <c r="G25" s="849" t="s">
        <v>34</v>
      </c>
      <c r="H25" s="849"/>
      <c r="J25" s="141" t="s">
        <v>204</v>
      </c>
      <c r="K25" s="141" t="s">
        <v>205</v>
      </c>
      <c r="L25" s="142" t="s">
        <v>206</v>
      </c>
      <c r="M25" s="141" t="s">
        <v>207</v>
      </c>
      <c r="N25" s="142" t="s">
        <v>208</v>
      </c>
    </row>
    <row r="26" spans="1:14" ht="15.5" x14ac:dyDescent="0.35">
      <c r="A26" s="162" t="s">
        <v>184</v>
      </c>
      <c r="B26" s="258">
        <v>0.3972222222222222</v>
      </c>
      <c r="C26" s="259"/>
      <c r="D26" s="162" t="s">
        <v>184</v>
      </c>
      <c r="E26" s="260">
        <v>0.41111111111111115</v>
      </c>
      <c r="F26" s="485">
        <v>3.9</v>
      </c>
      <c r="G26" s="162" t="s">
        <v>184</v>
      </c>
      <c r="H26" s="260">
        <v>0.42777777777777781</v>
      </c>
      <c r="J26" s="138">
        <v>0</v>
      </c>
      <c r="K26" s="138">
        <v>1.05</v>
      </c>
      <c r="L26" s="138">
        <v>0.18</v>
      </c>
      <c r="M26" s="138">
        <f t="shared" ref="M26:M34" si="0">K26*2</f>
        <v>2.1</v>
      </c>
      <c r="N26" s="139">
        <f>L26*M26</f>
        <v>0.378</v>
      </c>
    </row>
    <row r="27" spans="1:14" ht="16" thickBot="1" x14ac:dyDescent="0.4">
      <c r="A27" s="162" t="s">
        <v>202</v>
      </c>
      <c r="B27" s="261">
        <v>11</v>
      </c>
      <c r="C27" s="399" t="s">
        <v>628</v>
      </c>
      <c r="D27" s="162" t="s">
        <v>202</v>
      </c>
      <c r="E27" s="263">
        <v>19</v>
      </c>
      <c r="F27" s="263"/>
      <c r="G27" s="162" t="s">
        <v>202</v>
      </c>
      <c r="H27" s="263">
        <v>50</v>
      </c>
      <c r="J27" s="138">
        <v>2</v>
      </c>
      <c r="K27" s="138">
        <v>1.22</v>
      </c>
      <c r="L27" s="138">
        <v>0.85</v>
      </c>
      <c r="M27" s="138">
        <f t="shared" si="0"/>
        <v>2.44</v>
      </c>
      <c r="N27" s="139">
        <f>L27*M27</f>
        <v>2.0739999999999998</v>
      </c>
    </row>
    <row r="28" spans="1:14" ht="30.75" customHeight="1" thickBot="1" x14ac:dyDescent="0.4">
      <c r="A28" s="165" t="s">
        <v>203</v>
      </c>
      <c r="B28" s="852" t="s">
        <v>629</v>
      </c>
      <c r="C28" s="852"/>
      <c r="D28" s="163" t="s">
        <v>203</v>
      </c>
      <c r="E28" s="854" t="s">
        <v>629</v>
      </c>
      <c r="F28" s="854"/>
      <c r="G28" s="163" t="s">
        <v>203</v>
      </c>
      <c r="H28" s="166" t="s">
        <v>253</v>
      </c>
      <c r="J28" s="138">
        <v>4</v>
      </c>
      <c r="K28" s="138">
        <v>1.05</v>
      </c>
      <c r="L28" s="138">
        <v>1.7</v>
      </c>
      <c r="M28" s="138">
        <f t="shared" si="0"/>
        <v>2.1</v>
      </c>
      <c r="N28" s="139">
        <f>L28*M28</f>
        <v>3.57</v>
      </c>
    </row>
    <row r="29" spans="1:14" ht="24" x14ac:dyDescent="0.35">
      <c r="A29" s="159" t="s">
        <v>204</v>
      </c>
      <c r="B29" s="159" t="s">
        <v>205</v>
      </c>
      <c r="C29" s="161" t="s">
        <v>206</v>
      </c>
      <c r="D29" s="159" t="s">
        <v>204</v>
      </c>
      <c r="E29" s="159" t="s">
        <v>243</v>
      </c>
      <c r="F29" s="161" t="s">
        <v>211</v>
      </c>
      <c r="G29" s="159" t="s">
        <v>205</v>
      </c>
      <c r="H29" s="161" t="s">
        <v>206</v>
      </c>
      <c r="J29" s="138"/>
      <c r="K29" s="138">
        <v>0.8</v>
      </c>
      <c r="L29" s="138">
        <v>0.44</v>
      </c>
      <c r="M29" s="138">
        <f t="shared" si="0"/>
        <v>1.6</v>
      </c>
      <c r="N29" s="139">
        <f t="shared" ref="N29:N34" si="1">L29*M29</f>
        <v>0.70400000000000007</v>
      </c>
    </row>
    <row r="30" spans="1:14" ht="15.5" x14ac:dyDescent="0.35">
      <c r="A30" s="160">
        <v>2</v>
      </c>
      <c r="B30" s="138">
        <v>0.2</v>
      </c>
      <c r="C30" s="138">
        <v>0.37</v>
      </c>
      <c r="D30" s="160">
        <v>2</v>
      </c>
      <c r="E30" s="138">
        <v>1.05</v>
      </c>
      <c r="F30" s="138">
        <v>0.18</v>
      </c>
      <c r="G30" s="849" t="s">
        <v>34</v>
      </c>
      <c r="H30" s="849"/>
      <c r="I30" s="230">
        <v>20.100000000000001</v>
      </c>
      <c r="K30" s="138">
        <v>0.8</v>
      </c>
      <c r="L30" s="138">
        <v>0.57999999999999996</v>
      </c>
      <c r="M30" s="138">
        <f t="shared" si="0"/>
        <v>1.6</v>
      </c>
      <c r="N30" s="139">
        <f t="shared" si="1"/>
        <v>0.92799999999999994</v>
      </c>
    </row>
    <row r="31" spans="1:14" ht="15.5" x14ac:dyDescent="0.35">
      <c r="A31" s="160">
        <v>4</v>
      </c>
      <c r="B31" s="138">
        <v>0.25</v>
      </c>
      <c r="C31" s="138">
        <v>0.2</v>
      </c>
      <c r="D31" s="160">
        <v>4</v>
      </c>
      <c r="E31" s="138">
        <v>1.22</v>
      </c>
      <c r="F31" s="138">
        <v>0.85</v>
      </c>
      <c r="G31" s="138">
        <v>0.2</v>
      </c>
      <c r="H31" s="139">
        <v>2.0099999999999998</v>
      </c>
      <c r="K31" s="140">
        <v>0.93</v>
      </c>
      <c r="L31" s="138">
        <v>1.61</v>
      </c>
      <c r="M31" s="138">
        <f t="shared" si="0"/>
        <v>1.86</v>
      </c>
      <c r="N31" s="139">
        <f t="shared" si="1"/>
        <v>2.9946000000000002</v>
      </c>
    </row>
    <row r="32" spans="1:14" ht="15.5" x14ac:dyDescent="0.35">
      <c r="A32" s="160">
        <v>6</v>
      </c>
      <c r="B32" s="138">
        <v>0.35</v>
      </c>
      <c r="C32" s="138">
        <v>0.49</v>
      </c>
      <c r="D32" s="160">
        <v>6</v>
      </c>
      <c r="E32" s="138">
        <v>1.05</v>
      </c>
      <c r="F32" s="138">
        <v>1.7</v>
      </c>
      <c r="G32" s="850" t="s">
        <v>214</v>
      </c>
      <c r="H32" s="851"/>
      <c r="I32">
        <v>0.37</v>
      </c>
      <c r="K32" s="140">
        <v>0.88</v>
      </c>
      <c r="L32" s="138">
        <v>0.88</v>
      </c>
      <c r="M32" s="138">
        <f t="shared" si="0"/>
        <v>1.76</v>
      </c>
      <c r="N32" s="139">
        <f t="shared" si="1"/>
        <v>1.5488</v>
      </c>
    </row>
    <row r="33" spans="1:14" ht="15.5" x14ac:dyDescent="0.35">
      <c r="A33" s="160">
        <v>8</v>
      </c>
      <c r="B33" s="138">
        <v>0.4</v>
      </c>
      <c r="C33" s="138">
        <v>0.53</v>
      </c>
      <c r="D33" s="160">
        <v>8</v>
      </c>
      <c r="E33" s="138">
        <v>0.8</v>
      </c>
      <c r="F33" s="138">
        <v>0.44</v>
      </c>
      <c r="G33" s="138" t="s">
        <v>630</v>
      </c>
      <c r="H33" s="139">
        <v>0.46</v>
      </c>
      <c r="K33" s="140">
        <v>0.72</v>
      </c>
      <c r="L33" s="138">
        <v>0.82</v>
      </c>
      <c r="M33" s="138">
        <f t="shared" si="0"/>
        <v>1.44</v>
      </c>
      <c r="N33" s="139">
        <f t="shared" si="1"/>
        <v>1.1807999999999998</v>
      </c>
    </row>
    <row r="34" spans="1:14" ht="15.5" x14ac:dyDescent="0.35">
      <c r="A34" s="160">
        <v>12</v>
      </c>
      <c r="B34" s="138">
        <v>0.32</v>
      </c>
      <c r="C34" s="138">
        <v>0.4</v>
      </c>
      <c r="D34" s="160">
        <v>10</v>
      </c>
      <c r="E34" s="138">
        <v>0.8</v>
      </c>
      <c r="F34" s="138">
        <v>0.57999999999999996</v>
      </c>
      <c r="G34" s="138" t="s">
        <v>215</v>
      </c>
      <c r="H34" s="139"/>
      <c r="I34" s="6">
        <v>0.5</v>
      </c>
      <c r="K34" s="140">
        <v>0.65</v>
      </c>
      <c r="L34" s="138">
        <v>0.3</v>
      </c>
      <c r="M34" s="138">
        <f t="shared" si="0"/>
        <v>1.3</v>
      </c>
      <c r="N34" s="139">
        <f t="shared" si="1"/>
        <v>0.39</v>
      </c>
    </row>
    <row r="35" spans="1:14" ht="15.5" x14ac:dyDescent="0.35">
      <c r="A35" s="128"/>
      <c r="B35" s="138"/>
      <c r="C35" s="607">
        <v>2.2200000000000002</v>
      </c>
      <c r="D35" s="160">
        <v>12</v>
      </c>
      <c r="E35" s="140">
        <v>0.93</v>
      </c>
      <c r="F35" s="138">
        <v>1.61</v>
      </c>
      <c r="G35" s="138" t="s">
        <v>631</v>
      </c>
      <c r="H35" s="139">
        <v>0.67</v>
      </c>
      <c r="N35" s="6">
        <f>SUM(N26:N34)</f>
        <v>13.7682</v>
      </c>
    </row>
    <row r="36" spans="1:14" ht="15.5" x14ac:dyDescent="0.35">
      <c r="A36" s="128"/>
      <c r="B36" s="416"/>
      <c r="C36" s="416"/>
      <c r="D36" s="160">
        <v>14</v>
      </c>
      <c r="E36" s="140">
        <v>0.88</v>
      </c>
      <c r="F36" s="138">
        <v>0.88</v>
      </c>
      <c r="G36" s="416"/>
      <c r="H36" s="418"/>
    </row>
    <row r="37" spans="1:14" ht="15.5" x14ac:dyDescent="0.35">
      <c r="A37" s="128"/>
      <c r="B37" s="416"/>
      <c r="C37" s="416"/>
      <c r="D37" s="160">
        <v>16</v>
      </c>
      <c r="E37" s="140">
        <v>0.72</v>
      </c>
      <c r="F37" s="138">
        <v>0.82</v>
      </c>
      <c r="G37" s="416"/>
      <c r="H37" s="418"/>
    </row>
    <row r="38" spans="1:14" ht="15.5" x14ac:dyDescent="0.35">
      <c r="A38" s="128"/>
      <c r="B38" s="416"/>
      <c r="C38" s="416"/>
      <c r="D38" s="160">
        <v>18</v>
      </c>
      <c r="E38" s="140">
        <v>0.65</v>
      </c>
      <c r="F38" s="138">
        <v>0.3</v>
      </c>
      <c r="G38" s="416"/>
      <c r="H38" s="418"/>
    </row>
    <row r="39" spans="1:14" ht="15.5" x14ac:dyDescent="0.35">
      <c r="F39" s="608">
        <v>13.8</v>
      </c>
    </row>
    <row r="40" spans="1:14" ht="14" x14ac:dyDescent="0.3">
      <c r="A40" s="135" t="s">
        <v>232</v>
      </c>
      <c r="C40" s="11" t="s">
        <v>233</v>
      </c>
      <c r="D40" s="155">
        <v>40413</v>
      </c>
    </row>
    <row r="41" spans="1:14" ht="14" x14ac:dyDescent="0.3">
      <c r="A41" s="209" t="s">
        <v>248</v>
      </c>
      <c r="B41" s="209" t="s">
        <v>184</v>
      </c>
      <c r="C41" s="209" t="s">
        <v>185</v>
      </c>
      <c r="D41" s="209" t="s">
        <v>186</v>
      </c>
      <c r="E41" s="209" t="s">
        <v>187</v>
      </c>
      <c r="F41" s="209" t="s">
        <v>188</v>
      </c>
      <c r="G41" s="209" t="s">
        <v>201</v>
      </c>
      <c r="H41" s="210" t="s">
        <v>213</v>
      </c>
    </row>
    <row r="42" spans="1:14" ht="13" x14ac:dyDescent="0.3">
      <c r="A42" s="126" t="s">
        <v>192</v>
      </c>
      <c r="B42" s="143">
        <v>0.48680555555555555</v>
      </c>
      <c r="C42" s="84">
        <v>0.25700000000000001</v>
      </c>
      <c r="D42" s="84">
        <v>7.71</v>
      </c>
      <c r="E42" s="84">
        <v>21.7</v>
      </c>
      <c r="F42" s="84">
        <v>8.73</v>
      </c>
      <c r="G42" s="134">
        <v>1.3</v>
      </c>
      <c r="H42" s="84">
        <v>8.4</v>
      </c>
      <c r="I42" s="6">
        <f>AVERAGE(E42:E44)</f>
        <v>21.533333333333331</v>
      </c>
      <c r="J42" s="21" t="s">
        <v>632</v>
      </c>
      <c r="K42" s="610" t="s">
        <v>633</v>
      </c>
    </row>
    <row r="43" spans="1:14" ht="13" x14ac:dyDescent="0.3">
      <c r="A43" s="126" t="s">
        <v>193</v>
      </c>
      <c r="B43" s="84"/>
      <c r="C43" s="84">
        <v>0.25700000000000001</v>
      </c>
      <c r="D43" s="84">
        <v>7.63</v>
      </c>
      <c r="E43" s="84">
        <v>21.5</v>
      </c>
      <c r="F43" s="84">
        <v>8.73</v>
      </c>
      <c r="G43" s="84"/>
    </row>
    <row r="44" spans="1:14" ht="13" x14ac:dyDescent="0.3">
      <c r="A44" s="126" t="s">
        <v>194</v>
      </c>
      <c r="B44" s="84"/>
      <c r="C44" s="84">
        <v>0.25700000000000001</v>
      </c>
      <c r="D44" s="84">
        <v>7.13</v>
      </c>
      <c r="E44" s="84">
        <v>21.4</v>
      </c>
      <c r="F44" s="84">
        <v>8.7100000000000009</v>
      </c>
      <c r="G44" s="84"/>
    </row>
    <row r="45" spans="1:14" ht="13" x14ac:dyDescent="0.3">
      <c r="A45" s="126" t="s">
        <v>195</v>
      </c>
      <c r="B45" s="84"/>
      <c r="C45" s="84">
        <v>0.25700000000000001</v>
      </c>
      <c r="D45" s="84">
        <v>7.26</v>
      </c>
      <c r="E45" s="84">
        <v>21.3</v>
      </c>
      <c r="F45" s="84">
        <v>8.64</v>
      </c>
      <c r="G45" s="84"/>
    </row>
    <row r="46" spans="1:14" ht="13" x14ac:dyDescent="0.3">
      <c r="A46" s="126" t="s">
        <v>196</v>
      </c>
      <c r="B46" s="84"/>
      <c r="C46" s="84">
        <v>0.25700000000000001</v>
      </c>
      <c r="D46" s="84">
        <v>6.94</v>
      </c>
      <c r="E46" s="84">
        <v>21.3</v>
      </c>
      <c r="F46" s="84">
        <v>8.6</v>
      </c>
      <c r="G46" s="84"/>
    </row>
    <row r="47" spans="1:14" ht="13" x14ac:dyDescent="0.3">
      <c r="A47" s="126" t="s">
        <v>197</v>
      </c>
      <c r="B47" s="84"/>
      <c r="C47" s="84">
        <v>0.25800000000000001</v>
      </c>
      <c r="D47" s="84">
        <v>6.6</v>
      </c>
      <c r="E47" s="84">
        <v>21.2</v>
      </c>
      <c r="F47" s="84">
        <v>8.5299999999999994</v>
      </c>
      <c r="G47" s="84"/>
    </row>
    <row r="48" spans="1:14" ht="13" x14ac:dyDescent="0.3">
      <c r="A48" s="126" t="s">
        <v>198</v>
      </c>
      <c r="B48" s="84"/>
      <c r="C48" s="84">
        <v>0.25900000000000001</v>
      </c>
      <c r="D48" s="84">
        <v>6.3</v>
      </c>
      <c r="E48" s="84">
        <v>21</v>
      </c>
      <c r="F48" s="84">
        <v>8.4700000000000006</v>
      </c>
      <c r="G48" s="84"/>
    </row>
    <row r="49" spans="1:11" ht="13" x14ac:dyDescent="0.3">
      <c r="A49" s="421" t="s">
        <v>199</v>
      </c>
      <c r="C49" s="221">
        <v>0.26</v>
      </c>
      <c r="D49" s="84">
        <v>5.3</v>
      </c>
      <c r="E49" s="84">
        <v>20.9</v>
      </c>
      <c r="F49" s="84">
        <v>8.35</v>
      </c>
      <c r="G49" s="84"/>
    </row>
    <row r="50" spans="1:11" ht="14" x14ac:dyDescent="0.3">
      <c r="A50" s="209" t="s">
        <v>249</v>
      </c>
      <c r="B50" s="209" t="s">
        <v>184</v>
      </c>
      <c r="C50" s="209" t="s">
        <v>185</v>
      </c>
      <c r="D50" s="209" t="s">
        <v>186</v>
      </c>
      <c r="E50" s="209" t="s">
        <v>187</v>
      </c>
      <c r="F50" s="209" t="s">
        <v>188</v>
      </c>
      <c r="G50" s="209" t="s">
        <v>201</v>
      </c>
      <c r="H50" s="210" t="s">
        <v>213</v>
      </c>
    </row>
    <row r="51" spans="1:11" ht="13" x14ac:dyDescent="0.3">
      <c r="A51" s="126" t="s">
        <v>192</v>
      </c>
      <c r="B51" s="143">
        <v>0.49583333333333335</v>
      </c>
      <c r="C51" s="84">
        <v>0.23899999999999999</v>
      </c>
      <c r="D51" s="84">
        <v>7.41</v>
      </c>
      <c r="E51" s="84">
        <v>21.5</v>
      </c>
      <c r="F51" s="84">
        <v>8.65</v>
      </c>
      <c r="G51" s="134">
        <v>1.5</v>
      </c>
      <c r="H51" s="84">
        <v>5</v>
      </c>
      <c r="I51" s="6">
        <f>AVERAGE(E51:E53)</f>
        <v>21.433333333333334</v>
      </c>
      <c r="J51" s="21" t="s">
        <v>632</v>
      </c>
      <c r="K51" s="610" t="s">
        <v>633</v>
      </c>
    </row>
    <row r="52" spans="1:11" ht="13" x14ac:dyDescent="0.3">
      <c r="A52" s="126" t="s">
        <v>193</v>
      </c>
      <c r="B52" s="84"/>
      <c r="C52" s="84">
        <v>0.25700000000000001</v>
      </c>
      <c r="D52" s="84">
        <v>7.54</v>
      </c>
      <c r="E52" s="84">
        <v>21.4</v>
      </c>
      <c r="F52" s="84">
        <v>8.65</v>
      </c>
      <c r="G52" s="84"/>
    </row>
    <row r="53" spans="1:11" ht="13" x14ac:dyDescent="0.3">
      <c r="A53" s="126" t="s">
        <v>194</v>
      </c>
      <c r="B53" s="84"/>
      <c r="C53" s="84">
        <v>0.25700000000000001</v>
      </c>
      <c r="D53" s="84">
        <v>6.98</v>
      </c>
      <c r="E53" s="84">
        <v>21.4</v>
      </c>
      <c r="F53" s="84">
        <v>8.65</v>
      </c>
      <c r="G53" s="84"/>
    </row>
    <row r="54" spans="1:11" ht="13" x14ac:dyDescent="0.3">
      <c r="A54" s="126" t="s">
        <v>195</v>
      </c>
      <c r="B54" s="84"/>
      <c r="C54" s="84">
        <v>0.25700000000000001</v>
      </c>
      <c r="D54" s="84">
        <v>7.52</v>
      </c>
      <c r="E54" s="84">
        <v>21.4</v>
      </c>
      <c r="F54" s="84">
        <v>8.65</v>
      </c>
      <c r="G54" s="84"/>
    </row>
    <row r="55" spans="1:11" ht="13" x14ac:dyDescent="0.3">
      <c r="A55" s="126" t="s">
        <v>196</v>
      </c>
      <c r="B55" s="84"/>
      <c r="C55" s="84">
        <v>0.25600000000000001</v>
      </c>
      <c r="D55" s="84">
        <v>6.14</v>
      </c>
      <c r="E55" s="84">
        <v>21.3</v>
      </c>
      <c r="F55" s="84">
        <v>8.59</v>
      </c>
      <c r="G55" s="84"/>
    </row>
    <row r="56" spans="1:11" ht="14" x14ac:dyDescent="0.3">
      <c r="A56" s="209" t="s">
        <v>250</v>
      </c>
      <c r="B56" s="209" t="s">
        <v>184</v>
      </c>
      <c r="C56" s="209" t="s">
        <v>185</v>
      </c>
      <c r="D56" s="209" t="s">
        <v>186</v>
      </c>
      <c r="E56" s="209" t="s">
        <v>187</v>
      </c>
      <c r="F56" s="209" t="s">
        <v>188</v>
      </c>
      <c r="G56" s="209" t="s">
        <v>201</v>
      </c>
      <c r="H56" s="210" t="s">
        <v>213</v>
      </c>
    </row>
    <row r="57" spans="1:11" ht="13" x14ac:dyDescent="0.3">
      <c r="A57" s="126" t="s">
        <v>192</v>
      </c>
      <c r="B57" s="609">
        <v>0.50277777777777777</v>
      </c>
      <c r="C57" s="84">
        <v>0.25700000000000001</v>
      </c>
      <c r="D57" s="84">
        <v>7.76</v>
      </c>
      <c r="E57" s="84">
        <v>21.9</v>
      </c>
      <c r="F57" s="84">
        <v>8.3000000000000007</v>
      </c>
      <c r="G57" s="466">
        <v>1.35</v>
      </c>
      <c r="H57" s="84">
        <v>4</v>
      </c>
      <c r="I57" s="6">
        <f>AVERAGE(E57:E59)</f>
        <v>21.766666666666669</v>
      </c>
      <c r="J57" s="21" t="s">
        <v>632</v>
      </c>
      <c r="K57" s="610" t="s">
        <v>633</v>
      </c>
    </row>
    <row r="58" spans="1:11" ht="13" x14ac:dyDescent="0.3">
      <c r="A58" s="126" t="s">
        <v>193</v>
      </c>
      <c r="B58" s="470"/>
      <c r="C58" s="84">
        <v>0.25900000000000001</v>
      </c>
      <c r="D58" s="84">
        <v>8.27</v>
      </c>
      <c r="E58" s="84">
        <v>21.8</v>
      </c>
      <c r="F58" s="84">
        <v>8.81</v>
      </c>
      <c r="G58" s="475"/>
    </row>
    <row r="59" spans="1:11" ht="13" x14ac:dyDescent="0.3">
      <c r="A59" s="126" t="s">
        <v>194</v>
      </c>
      <c r="B59" s="470"/>
      <c r="C59" s="84">
        <v>0.27</v>
      </c>
      <c r="D59" s="84">
        <v>7.1</v>
      </c>
      <c r="E59" s="84">
        <v>21.6</v>
      </c>
      <c r="F59" s="84">
        <v>8.74</v>
      </c>
      <c r="G59" s="475"/>
    </row>
    <row r="60" spans="1:11" ht="13" x14ac:dyDescent="0.3">
      <c r="A60" s="198" t="s">
        <v>195</v>
      </c>
      <c r="B60" s="84"/>
      <c r="C60" s="206">
        <v>0.27900000000000003</v>
      </c>
      <c r="D60" s="206">
        <v>5.0999999999999996</v>
      </c>
      <c r="E60" s="206">
        <v>21.2</v>
      </c>
      <c r="F60" s="206">
        <v>8.5299999999999994</v>
      </c>
      <c r="G60" s="84"/>
    </row>
    <row r="61" spans="1:11" ht="14" x14ac:dyDescent="0.3">
      <c r="A61" s="209" t="s">
        <v>251</v>
      </c>
      <c r="B61" s="209" t="s">
        <v>184</v>
      </c>
      <c r="C61" s="209" t="s">
        <v>185</v>
      </c>
      <c r="D61" s="209" t="s">
        <v>186</v>
      </c>
      <c r="E61" s="209" t="s">
        <v>187</v>
      </c>
      <c r="F61" s="209" t="s">
        <v>188</v>
      </c>
      <c r="G61" s="209" t="s">
        <v>201</v>
      </c>
      <c r="H61" s="210" t="s">
        <v>213</v>
      </c>
    </row>
    <row r="62" spans="1:11" ht="13" x14ac:dyDescent="0.3">
      <c r="A62" s="126" t="s">
        <v>192</v>
      </c>
      <c r="B62" s="143">
        <v>0.5083333333333333</v>
      </c>
      <c r="C62" s="84">
        <v>0.25800000000000001</v>
      </c>
      <c r="D62" s="84">
        <v>7.73</v>
      </c>
      <c r="E62" s="84">
        <v>21.8</v>
      </c>
      <c r="F62" s="84">
        <v>8.81</v>
      </c>
      <c r="G62" s="134">
        <v>1.4</v>
      </c>
      <c r="H62" s="84">
        <v>6.3</v>
      </c>
      <c r="I62" s="6">
        <f>AVERAGE(E62:E64)</f>
        <v>21.8</v>
      </c>
      <c r="J62" s="21" t="s">
        <v>632</v>
      </c>
      <c r="K62" s="610" t="s">
        <v>633</v>
      </c>
    </row>
    <row r="63" spans="1:11" ht="13" x14ac:dyDescent="0.3">
      <c r="A63" s="126" t="s">
        <v>193</v>
      </c>
      <c r="B63" s="84"/>
      <c r="C63" s="84">
        <v>0.25700000000000001</v>
      </c>
      <c r="D63" s="84">
        <v>7.25</v>
      </c>
      <c r="E63" s="84">
        <v>21.8</v>
      </c>
      <c r="F63" s="84">
        <v>8.81</v>
      </c>
      <c r="G63" s="84"/>
    </row>
    <row r="64" spans="1:11" ht="13" x14ac:dyDescent="0.3">
      <c r="A64" s="126" t="s">
        <v>194</v>
      </c>
      <c r="B64" s="84"/>
      <c r="C64" s="84">
        <v>0.25700000000000001</v>
      </c>
      <c r="D64" s="84">
        <v>7.54</v>
      </c>
      <c r="E64" s="84">
        <v>21.8</v>
      </c>
      <c r="F64" s="84">
        <v>8.81</v>
      </c>
      <c r="G64" s="84"/>
    </row>
    <row r="65" spans="1:7" ht="13" x14ac:dyDescent="0.3">
      <c r="A65" s="126" t="s">
        <v>195</v>
      </c>
      <c r="B65" s="84"/>
      <c r="C65" s="84">
        <v>0.25600000000000001</v>
      </c>
      <c r="D65" s="84">
        <v>7.3</v>
      </c>
      <c r="E65" s="84">
        <v>21.6</v>
      </c>
      <c r="F65" s="84">
        <v>8.8000000000000007</v>
      </c>
      <c r="G65" s="84"/>
    </row>
    <row r="66" spans="1:7" ht="13" x14ac:dyDescent="0.3">
      <c r="A66" s="126" t="s">
        <v>196</v>
      </c>
      <c r="B66" s="84"/>
      <c r="C66" s="84">
        <v>0.25600000000000001</v>
      </c>
      <c r="D66" s="84">
        <v>7.6</v>
      </c>
      <c r="E66" s="84">
        <v>21.5</v>
      </c>
      <c r="F66" s="84">
        <v>8.8000000000000007</v>
      </c>
      <c r="G66" s="84"/>
    </row>
    <row r="67" spans="1:7" ht="13" x14ac:dyDescent="0.3">
      <c r="A67" s="126" t="s">
        <v>197</v>
      </c>
      <c r="B67" s="84"/>
      <c r="C67" s="84">
        <v>0.254</v>
      </c>
      <c r="D67" s="84">
        <v>7.03</v>
      </c>
      <c r="E67" s="84">
        <v>21.3</v>
      </c>
      <c r="F67" s="84">
        <v>8.7200000000000006</v>
      </c>
      <c r="G67" s="84"/>
    </row>
  </sheetData>
  <mergeCells count="7">
    <mergeCell ref="G32:H32"/>
    <mergeCell ref="B28:C28"/>
    <mergeCell ref="A25:B25"/>
    <mergeCell ref="D25:E25"/>
    <mergeCell ref="G25:H25"/>
    <mergeCell ref="E28:F28"/>
    <mergeCell ref="G30:H3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9"/>
  <sheetViews>
    <sheetView workbookViewId="0">
      <selection activeCell="Y2" sqref="Y2:AB19"/>
    </sheetView>
  </sheetViews>
  <sheetFormatPr defaultRowHeight="12.5" x14ac:dyDescent="0.25"/>
  <cols>
    <col min="1" max="1" width="16.453125" customWidth="1"/>
    <col min="2" max="2" width="12.36328125" bestFit="1" customWidth="1"/>
    <col min="3" max="14" width="5" bestFit="1" customWidth="1"/>
    <col min="15" max="16" width="5" customWidth="1"/>
    <col min="17" max="17" width="5" bestFit="1" customWidth="1"/>
    <col min="18" max="21" width="5" customWidth="1"/>
    <col min="22" max="22" width="4.6328125" customWidth="1"/>
    <col min="23" max="23" width="6" bestFit="1" customWidth="1"/>
    <col min="25" max="25" width="15.6328125" customWidth="1"/>
    <col min="26" max="26" width="11.453125" customWidth="1"/>
  </cols>
  <sheetData>
    <row r="1" spans="1:31" ht="15.5" x14ac:dyDescent="0.35">
      <c r="A1" s="821" t="s">
        <v>772</v>
      </c>
      <c r="B1" s="822"/>
      <c r="C1" s="822"/>
      <c r="D1" s="822"/>
      <c r="E1" s="822"/>
      <c r="F1" s="822"/>
      <c r="G1" s="822"/>
      <c r="H1" s="822"/>
      <c r="I1" s="822"/>
      <c r="J1" s="822"/>
      <c r="K1" s="822"/>
      <c r="L1" s="822"/>
      <c r="M1" s="822"/>
      <c r="N1" s="822"/>
      <c r="O1" s="822"/>
      <c r="P1" s="822"/>
      <c r="Q1" s="822"/>
      <c r="R1" s="822"/>
      <c r="S1" s="822"/>
      <c r="T1" s="822"/>
      <c r="U1" s="822"/>
      <c r="V1" s="822"/>
      <c r="W1" s="822"/>
    </row>
    <row r="2" spans="1:31" ht="13" x14ac:dyDescent="0.3">
      <c r="A2" s="823" t="s">
        <v>22</v>
      </c>
      <c r="B2" s="825" t="s">
        <v>23</v>
      </c>
      <c r="C2" s="827" t="s">
        <v>120</v>
      </c>
      <c r="D2" s="827"/>
      <c r="E2" s="827"/>
      <c r="F2" s="827"/>
      <c r="G2" s="827"/>
      <c r="H2" s="827"/>
      <c r="I2" s="827"/>
      <c r="J2" s="827"/>
      <c r="K2" s="827"/>
      <c r="L2" s="827"/>
      <c r="M2" s="827"/>
      <c r="N2" s="827"/>
      <c r="O2" s="827"/>
      <c r="P2" s="827"/>
      <c r="Q2" s="827"/>
      <c r="R2" s="827"/>
      <c r="S2" s="827"/>
      <c r="T2" s="827"/>
      <c r="U2" s="827"/>
      <c r="V2" s="827"/>
      <c r="W2" s="827"/>
      <c r="Y2" s="823" t="s">
        <v>22</v>
      </c>
      <c r="Z2" s="825" t="s">
        <v>23</v>
      </c>
      <c r="AA2" s="827" t="s">
        <v>106</v>
      </c>
      <c r="AB2" s="827"/>
    </row>
    <row r="3" spans="1:31" ht="26" x14ac:dyDescent="0.25">
      <c r="A3" s="824"/>
      <c r="B3" s="826"/>
      <c r="C3" s="78">
        <v>1991</v>
      </c>
      <c r="D3" s="78">
        <v>1992</v>
      </c>
      <c r="E3" s="78">
        <v>1993</v>
      </c>
      <c r="F3" s="78">
        <v>1994</v>
      </c>
      <c r="G3" s="78">
        <v>1995</v>
      </c>
      <c r="H3" s="78">
        <v>1996</v>
      </c>
      <c r="I3" s="78">
        <v>1997</v>
      </c>
      <c r="J3" s="78">
        <v>1998</v>
      </c>
      <c r="K3" s="78">
        <v>1999</v>
      </c>
      <c r="L3" s="79">
        <v>2000</v>
      </c>
      <c r="M3" s="79">
        <v>2001</v>
      </c>
      <c r="N3" s="78">
        <v>2002</v>
      </c>
      <c r="O3" s="78">
        <v>2003</v>
      </c>
      <c r="P3" s="78">
        <v>2004</v>
      </c>
      <c r="Q3" s="78">
        <v>2005</v>
      </c>
      <c r="R3" s="78">
        <v>2006</v>
      </c>
      <c r="S3" s="78">
        <v>2007</v>
      </c>
      <c r="T3" s="78">
        <v>2008</v>
      </c>
      <c r="U3" s="78">
        <v>2009</v>
      </c>
      <c r="V3" s="78">
        <v>2010</v>
      </c>
      <c r="W3" s="12" t="s">
        <v>771</v>
      </c>
      <c r="Y3" s="824"/>
      <c r="Z3" s="826"/>
      <c r="AA3" s="78">
        <v>2010</v>
      </c>
      <c r="AB3" s="12" t="s">
        <v>771</v>
      </c>
    </row>
    <row r="4" spans="1:31" x14ac:dyDescent="0.25">
      <c r="A4" s="818" t="s">
        <v>24</v>
      </c>
      <c r="B4" s="673" t="s">
        <v>122</v>
      </c>
      <c r="C4" s="290">
        <v>17.670000000000002</v>
      </c>
      <c r="D4" s="290">
        <v>26.03</v>
      </c>
      <c r="E4" s="290">
        <v>13.73</v>
      </c>
      <c r="F4" s="290">
        <v>29.68</v>
      </c>
      <c r="G4" s="290">
        <v>9.4</v>
      </c>
      <c r="H4" s="290">
        <v>17.100000000000001</v>
      </c>
      <c r="I4" s="290">
        <v>8.23</v>
      </c>
      <c r="J4" s="290">
        <v>4.9000000000000004</v>
      </c>
      <c r="K4" s="290">
        <v>6.2</v>
      </c>
      <c r="L4" s="671">
        <v>23.9</v>
      </c>
      <c r="M4" s="671">
        <v>24.6</v>
      </c>
      <c r="N4" s="671">
        <v>15.4</v>
      </c>
      <c r="O4" s="671">
        <v>14.8</v>
      </c>
      <c r="P4" s="671">
        <v>6.6</v>
      </c>
      <c r="Q4" s="671">
        <v>15.4</v>
      </c>
      <c r="R4" s="671">
        <v>9.1</v>
      </c>
      <c r="S4" s="671">
        <v>9.3000000000000007</v>
      </c>
      <c r="T4" s="671">
        <v>17.3</v>
      </c>
      <c r="U4" s="671">
        <v>12.5</v>
      </c>
      <c r="V4" s="671">
        <v>10.6</v>
      </c>
      <c r="W4" s="16">
        <f>AVERAGE(C4:V4)</f>
        <v>14.622000000000003</v>
      </c>
      <c r="Y4" s="818" t="s">
        <v>24</v>
      </c>
      <c r="Z4" s="673" t="s">
        <v>122</v>
      </c>
      <c r="AA4" s="671">
        <f>V4</f>
        <v>10.6</v>
      </c>
      <c r="AB4" s="16">
        <f>W4</f>
        <v>14.622000000000003</v>
      </c>
      <c r="AD4">
        <v>12.5</v>
      </c>
      <c r="AE4">
        <v>14.8</v>
      </c>
    </row>
    <row r="5" spans="1:31" x14ac:dyDescent="0.25">
      <c r="A5" s="819"/>
      <c r="B5" s="673" t="s">
        <v>123</v>
      </c>
      <c r="C5" s="290">
        <v>19.82</v>
      </c>
      <c r="D5" s="290">
        <v>15.51</v>
      </c>
      <c r="E5" s="290">
        <v>5.85</v>
      </c>
      <c r="F5" s="290">
        <v>17.02</v>
      </c>
      <c r="G5" s="290">
        <v>6.2</v>
      </c>
      <c r="H5" s="290">
        <v>10.3</v>
      </c>
      <c r="I5" s="290">
        <v>2.4300000000000002</v>
      </c>
      <c r="J5" s="290">
        <v>5.4</v>
      </c>
      <c r="K5" s="290">
        <v>5.5</v>
      </c>
      <c r="L5" s="671">
        <v>8.9</v>
      </c>
      <c r="M5" s="671">
        <v>6.3</v>
      </c>
      <c r="N5" s="671"/>
      <c r="O5" s="671"/>
      <c r="P5" s="671"/>
      <c r="Q5" s="671"/>
      <c r="R5" s="671"/>
      <c r="S5" s="671"/>
      <c r="T5" s="671"/>
      <c r="U5" s="671"/>
      <c r="V5" s="671"/>
      <c r="W5" s="16">
        <f t="shared" ref="W5:W18" si="0">AVERAGE(C5:T5)</f>
        <v>9.3845454545454565</v>
      </c>
      <c r="Y5" s="819"/>
      <c r="Z5" s="673" t="s">
        <v>123</v>
      </c>
      <c r="AA5" s="702"/>
      <c r="AB5" s="16">
        <f t="shared" ref="AB5:AB19" si="1">W5</f>
        <v>9.3845454545454565</v>
      </c>
      <c r="AD5">
        <v>291</v>
      </c>
      <c r="AE5">
        <v>341</v>
      </c>
    </row>
    <row r="6" spans="1:31" ht="14.25" customHeight="1" x14ac:dyDescent="0.25">
      <c r="A6" s="820"/>
      <c r="B6" s="80" t="s">
        <v>121</v>
      </c>
      <c r="C6" s="674">
        <f t="shared" ref="C6:J6" si="2">AVERAGE(C4:C5)</f>
        <v>18.745000000000001</v>
      </c>
      <c r="D6" s="674">
        <f t="shared" si="2"/>
        <v>20.77</v>
      </c>
      <c r="E6" s="674">
        <f t="shared" si="2"/>
        <v>9.7899999999999991</v>
      </c>
      <c r="F6" s="674">
        <f t="shared" si="2"/>
        <v>23.35</v>
      </c>
      <c r="G6" s="674">
        <f t="shared" si="2"/>
        <v>7.8000000000000007</v>
      </c>
      <c r="H6" s="674">
        <f t="shared" si="2"/>
        <v>13.700000000000001</v>
      </c>
      <c r="I6" s="674">
        <f t="shared" si="2"/>
        <v>5.33</v>
      </c>
      <c r="J6" s="674">
        <f t="shared" si="2"/>
        <v>5.15</v>
      </c>
      <c r="K6" s="674">
        <f>AVERAGE(K4:K5)</f>
        <v>5.85</v>
      </c>
      <c r="L6" s="674">
        <f>AVERAGE(L4:L5)</f>
        <v>16.399999999999999</v>
      </c>
      <c r="M6" s="674">
        <f>AVERAGE(M4:M5)</f>
        <v>15.450000000000001</v>
      </c>
      <c r="N6" s="674">
        <f>AVERAGE(N4:N5)</f>
        <v>15.4</v>
      </c>
      <c r="O6" s="674">
        <f t="shared" ref="O6:T6" si="3">AVERAGE(O4:O5)</f>
        <v>14.8</v>
      </c>
      <c r="P6" s="674">
        <f t="shared" si="3"/>
        <v>6.6</v>
      </c>
      <c r="Q6" s="674">
        <f t="shared" si="3"/>
        <v>15.4</v>
      </c>
      <c r="R6" s="674">
        <f t="shared" si="3"/>
        <v>9.1</v>
      </c>
      <c r="S6" s="674">
        <f t="shared" si="3"/>
        <v>9.3000000000000007</v>
      </c>
      <c r="T6" s="674">
        <f t="shared" si="3"/>
        <v>17.3</v>
      </c>
      <c r="U6" s="674">
        <f>AVERAGE(U4:U5)</f>
        <v>12.5</v>
      </c>
      <c r="V6" s="674">
        <f>AVERAGE(V4:V5)</f>
        <v>10.6</v>
      </c>
      <c r="W6" s="16">
        <f t="shared" si="0"/>
        <v>12.790833333333333</v>
      </c>
      <c r="Y6" s="820"/>
      <c r="Z6" s="786" t="s">
        <v>121</v>
      </c>
      <c r="AA6" s="702">
        <f t="shared" ref="AA6:AA19" si="4">V6</f>
        <v>10.6</v>
      </c>
      <c r="AB6" s="16">
        <f t="shared" si="1"/>
        <v>12.790833333333333</v>
      </c>
      <c r="AD6">
        <v>244</v>
      </c>
      <c r="AE6">
        <v>313.7</v>
      </c>
    </row>
    <row r="7" spans="1:31" ht="13" x14ac:dyDescent="0.3">
      <c r="A7" s="828" t="s">
        <v>25</v>
      </c>
      <c r="B7" s="673" t="s">
        <v>122</v>
      </c>
      <c r="C7" s="671">
        <v>442</v>
      </c>
      <c r="D7" s="671">
        <v>289</v>
      </c>
      <c r="E7" s="671">
        <v>504</v>
      </c>
      <c r="F7" s="671">
        <v>382</v>
      </c>
      <c r="G7" s="671">
        <v>474</v>
      </c>
      <c r="H7" s="671">
        <v>578</v>
      </c>
      <c r="I7" s="671">
        <v>393</v>
      </c>
      <c r="J7" s="671">
        <v>388</v>
      </c>
      <c r="K7" s="671">
        <v>224</v>
      </c>
      <c r="L7" s="671">
        <v>431</v>
      </c>
      <c r="M7" s="671">
        <v>401</v>
      </c>
      <c r="N7" s="671">
        <v>289</v>
      </c>
      <c r="O7" s="671">
        <v>268</v>
      </c>
      <c r="P7" s="671">
        <v>268</v>
      </c>
      <c r="Q7" s="287">
        <v>193.23769230769227</v>
      </c>
      <c r="R7" s="287">
        <v>158.27857142857144</v>
      </c>
      <c r="S7" s="127">
        <v>221.96199999999999</v>
      </c>
      <c r="T7" s="127">
        <v>233</v>
      </c>
      <c r="U7" s="127">
        <v>291</v>
      </c>
      <c r="V7" s="127">
        <v>287</v>
      </c>
      <c r="W7" s="16">
        <f t="shared" si="0"/>
        <v>340.97101465201467</v>
      </c>
      <c r="Y7" s="828" t="s">
        <v>25</v>
      </c>
      <c r="Z7" s="673" t="s">
        <v>122</v>
      </c>
      <c r="AA7" s="702">
        <f t="shared" si="4"/>
        <v>287</v>
      </c>
      <c r="AB7" s="16">
        <f t="shared" si="1"/>
        <v>340.97101465201467</v>
      </c>
      <c r="AD7">
        <v>34.200000000000003</v>
      </c>
      <c r="AE7">
        <v>63.1</v>
      </c>
    </row>
    <row r="8" spans="1:31" ht="13" x14ac:dyDescent="0.3">
      <c r="A8" s="829"/>
      <c r="B8" s="673" t="s">
        <v>123</v>
      </c>
      <c r="C8" s="671">
        <v>381</v>
      </c>
      <c r="D8" s="671">
        <v>282</v>
      </c>
      <c r="E8" s="671">
        <v>451</v>
      </c>
      <c r="F8" s="671">
        <v>356</v>
      </c>
      <c r="G8" s="671">
        <v>502</v>
      </c>
      <c r="H8" s="671">
        <v>589</v>
      </c>
      <c r="I8" s="671">
        <v>365</v>
      </c>
      <c r="J8" s="671">
        <v>372</v>
      </c>
      <c r="K8" s="671">
        <v>220</v>
      </c>
      <c r="L8" s="671">
        <v>443</v>
      </c>
      <c r="M8" s="671">
        <v>395</v>
      </c>
      <c r="N8" s="671">
        <v>288</v>
      </c>
      <c r="O8" s="671">
        <v>271</v>
      </c>
      <c r="P8" s="671">
        <v>249</v>
      </c>
      <c r="Q8" s="287">
        <v>206.98615384615383</v>
      </c>
      <c r="R8" s="287">
        <v>149.7446153846154</v>
      </c>
      <c r="S8" s="127">
        <v>233.56642857142859</v>
      </c>
      <c r="T8" s="127"/>
      <c r="U8" s="127"/>
      <c r="V8" s="127"/>
      <c r="W8" s="16">
        <f t="shared" si="0"/>
        <v>338.48807045895279</v>
      </c>
      <c r="Y8" s="829"/>
      <c r="Z8" s="673" t="s">
        <v>123</v>
      </c>
      <c r="AA8" s="702"/>
      <c r="AB8" s="16">
        <f t="shared" si="1"/>
        <v>338.48807045895279</v>
      </c>
      <c r="AD8">
        <v>35.299999999999997</v>
      </c>
      <c r="AE8">
        <v>91.7</v>
      </c>
    </row>
    <row r="9" spans="1:31" ht="13" x14ac:dyDescent="0.3">
      <c r="A9" s="829"/>
      <c r="B9" s="673" t="s">
        <v>769</v>
      </c>
      <c r="C9" s="671">
        <v>341</v>
      </c>
      <c r="D9" s="671">
        <v>228</v>
      </c>
      <c r="E9" s="671">
        <v>333</v>
      </c>
      <c r="F9" s="671">
        <v>308</v>
      </c>
      <c r="G9" s="671">
        <v>503</v>
      </c>
      <c r="H9" s="671">
        <v>561</v>
      </c>
      <c r="I9" s="671">
        <v>341</v>
      </c>
      <c r="J9" s="671">
        <v>342</v>
      </c>
      <c r="K9" s="671">
        <v>231</v>
      </c>
      <c r="L9" s="671">
        <v>483</v>
      </c>
      <c r="M9" s="671">
        <v>390</v>
      </c>
      <c r="N9" s="671">
        <v>268</v>
      </c>
      <c r="O9" s="671">
        <v>259</v>
      </c>
      <c r="P9" s="671">
        <v>224</v>
      </c>
      <c r="Q9" s="287">
        <v>220.75615384615381</v>
      </c>
      <c r="R9" s="287">
        <v>151.27000000000001</v>
      </c>
      <c r="S9" s="127">
        <v>232.79071428571427</v>
      </c>
      <c r="T9" s="127">
        <v>230</v>
      </c>
      <c r="U9" s="127">
        <v>244</v>
      </c>
      <c r="V9" s="127">
        <v>222</v>
      </c>
      <c r="W9" s="16">
        <f t="shared" si="0"/>
        <v>313.71204822954826</v>
      </c>
      <c r="Y9" s="829"/>
      <c r="Z9" s="673" t="s">
        <v>769</v>
      </c>
      <c r="AA9" s="702">
        <f t="shared" si="4"/>
        <v>222</v>
      </c>
      <c r="AB9" s="16">
        <f t="shared" si="1"/>
        <v>313.71204822954826</v>
      </c>
      <c r="AD9">
        <v>6.9</v>
      </c>
      <c r="AE9">
        <v>6.5</v>
      </c>
    </row>
    <row r="10" spans="1:31" x14ac:dyDescent="0.25">
      <c r="A10" s="830"/>
      <c r="B10" s="80" t="s">
        <v>121</v>
      </c>
      <c r="C10" s="675">
        <f t="shared" ref="C10:J10" si="5">AVERAGE(C7:C9)</f>
        <v>388</v>
      </c>
      <c r="D10" s="675">
        <f t="shared" si="5"/>
        <v>266.33333333333331</v>
      </c>
      <c r="E10" s="675">
        <f t="shared" si="5"/>
        <v>429.33333333333331</v>
      </c>
      <c r="F10" s="675">
        <f t="shared" si="5"/>
        <v>348.66666666666669</v>
      </c>
      <c r="G10" s="675">
        <f t="shared" si="5"/>
        <v>493</v>
      </c>
      <c r="H10" s="675">
        <f t="shared" si="5"/>
        <v>576</v>
      </c>
      <c r="I10" s="675">
        <f t="shared" si="5"/>
        <v>366.33333333333331</v>
      </c>
      <c r="J10" s="675">
        <f t="shared" si="5"/>
        <v>367.33333333333331</v>
      </c>
      <c r="K10" s="675">
        <f>AVERAGE(K7:K9)</f>
        <v>225</v>
      </c>
      <c r="L10" s="676">
        <v>441</v>
      </c>
      <c r="M10" s="676">
        <v>387</v>
      </c>
      <c r="N10" s="675">
        <f t="shared" ref="N10:V10" si="6">AVERAGE(N7:N9)</f>
        <v>281.66666666666669</v>
      </c>
      <c r="O10" s="675">
        <f t="shared" si="6"/>
        <v>266</v>
      </c>
      <c r="P10" s="675">
        <f t="shared" si="6"/>
        <v>247</v>
      </c>
      <c r="Q10" s="675">
        <f t="shared" si="6"/>
        <v>206.99333333333331</v>
      </c>
      <c r="R10" s="675">
        <f t="shared" si="6"/>
        <v>153.09772893772893</v>
      </c>
      <c r="S10" s="675">
        <f t="shared" si="6"/>
        <v>229.4397142857143</v>
      </c>
      <c r="T10" s="675">
        <f t="shared" si="6"/>
        <v>231.5</v>
      </c>
      <c r="U10" s="675">
        <f t="shared" si="6"/>
        <v>267.5</v>
      </c>
      <c r="V10" s="675">
        <f t="shared" si="6"/>
        <v>254.5</v>
      </c>
      <c r="W10" s="16">
        <f t="shared" si="0"/>
        <v>327.98319129019126</v>
      </c>
      <c r="Y10" s="830"/>
      <c r="Z10" s="786" t="s">
        <v>121</v>
      </c>
      <c r="AA10" s="702">
        <f t="shared" si="4"/>
        <v>254.5</v>
      </c>
      <c r="AB10" s="16">
        <f t="shared" si="1"/>
        <v>327.98319129019126</v>
      </c>
      <c r="AD10">
        <v>10</v>
      </c>
      <c r="AE10">
        <v>10.6</v>
      </c>
    </row>
    <row r="11" spans="1:31" ht="13" x14ac:dyDescent="0.3">
      <c r="A11" s="818" t="s">
        <v>26</v>
      </c>
      <c r="B11" s="673" t="s">
        <v>122</v>
      </c>
      <c r="C11" s="671">
        <v>144</v>
      </c>
      <c r="D11" s="671">
        <v>146</v>
      </c>
      <c r="E11" s="671">
        <v>175</v>
      </c>
      <c r="F11" s="671">
        <v>83</v>
      </c>
      <c r="G11" s="671">
        <v>34</v>
      </c>
      <c r="H11" s="671">
        <v>29</v>
      </c>
      <c r="I11" s="671">
        <v>38</v>
      </c>
      <c r="J11" s="671">
        <v>33</v>
      </c>
      <c r="K11" s="671">
        <v>34</v>
      </c>
      <c r="L11" s="671">
        <v>59</v>
      </c>
      <c r="M11" s="671">
        <v>42</v>
      </c>
      <c r="N11" s="671">
        <v>46</v>
      </c>
      <c r="O11" s="671">
        <v>79</v>
      </c>
      <c r="P11" s="671">
        <v>24</v>
      </c>
      <c r="Q11" s="287">
        <v>33.021419788316948</v>
      </c>
      <c r="R11" s="677">
        <f>AVERAGE(A11:Q11)</f>
        <v>66.601427985887796</v>
      </c>
      <c r="S11" s="120">
        <v>29.742840573556929</v>
      </c>
      <c r="T11" s="120">
        <v>39.799999999999997</v>
      </c>
      <c r="U11" s="120">
        <v>34.200000000000003</v>
      </c>
      <c r="V11" s="120">
        <v>28.3</v>
      </c>
      <c r="W11" s="16">
        <f t="shared" si="0"/>
        <v>63.064760463764543</v>
      </c>
      <c r="Y11" s="818" t="s">
        <v>26</v>
      </c>
      <c r="Z11" s="673" t="s">
        <v>122</v>
      </c>
      <c r="AA11" s="702">
        <f t="shared" si="4"/>
        <v>28.3</v>
      </c>
      <c r="AB11" s="16">
        <f t="shared" si="1"/>
        <v>63.064760463764543</v>
      </c>
      <c r="AD11">
        <v>2.7</v>
      </c>
      <c r="AE11">
        <v>2.2000000000000002</v>
      </c>
    </row>
    <row r="12" spans="1:31" ht="13" x14ac:dyDescent="0.3">
      <c r="A12" s="819"/>
      <c r="B12" s="673" t="s">
        <v>123</v>
      </c>
      <c r="C12" s="671">
        <v>138</v>
      </c>
      <c r="D12" s="671">
        <v>140</v>
      </c>
      <c r="E12" s="671">
        <v>164</v>
      </c>
      <c r="F12" s="671">
        <v>79</v>
      </c>
      <c r="G12" s="671">
        <v>37</v>
      </c>
      <c r="H12" s="671">
        <v>33</v>
      </c>
      <c r="I12" s="671">
        <v>45</v>
      </c>
      <c r="J12" s="671">
        <v>40</v>
      </c>
      <c r="K12" s="671">
        <v>37</v>
      </c>
      <c r="L12" s="671">
        <v>57</v>
      </c>
      <c r="M12" s="671">
        <v>42</v>
      </c>
      <c r="N12" s="671">
        <v>49</v>
      </c>
      <c r="O12" s="671">
        <v>63</v>
      </c>
      <c r="P12" s="671">
        <v>27</v>
      </c>
      <c r="Q12" s="287">
        <v>34.148239344480501</v>
      </c>
      <c r="R12" s="677">
        <f>AVERAGE(A12:Q12)</f>
        <v>65.676549289632035</v>
      </c>
      <c r="S12" s="120">
        <v>31.47923603241675</v>
      </c>
      <c r="T12" s="120"/>
      <c r="U12" s="120"/>
      <c r="V12" s="120"/>
      <c r="W12" s="16">
        <f t="shared" si="0"/>
        <v>63.664942627442905</v>
      </c>
      <c r="Y12" s="819"/>
      <c r="Z12" s="673" t="s">
        <v>123</v>
      </c>
      <c r="AA12" s="702"/>
      <c r="AB12" s="16">
        <f t="shared" si="1"/>
        <v>63.664942627442905</v>
      </c>
    </row>
    <row r="13" spans="1:31" ht="13" x14ac:dyDescent="0.3">
      <c r="A13" s="819"/>
      <c r="B13" s="673" t="s">
        <v>769</v>
      </c>
      <c r="C13" s="671">
        <v>270</v>
      </c>
      <c r="D13" s="671">
        <v>201</v>
      </c>
      <c r="E13" s="671">
        <v>240</v>
      </c>
      <c r="F13" s="671">
        <v>99</v>
      </c>
      <c r="G13" s="671">
        <v>52</v>
      </c>
      <c r="H13" s="671">
        <v>66</v>
      </c>
      <c r="I13" s="671">
        <v>86</v>
      </c>
      <c r="J13" s="671">
        <v>69</v>
      </c>
      <c r="K13" s="671">
        <v>54</v>
      </c>
      <c r="L13" s="671">
        <v>56</v>
      </c>
      <c r="M13" s="671">
        <v>64</v>
      </c>
      <c r="N13" s="671">
        <v>56</v>
      </c>
      <c r="O13" s="671">
        <v>56</v>
      </c>
      <c r="P13" s="671">
        <v>44</v>
      </c>
      <c r="Q13" s="287">
        <v>47.091899981300472</v>
      </c>
      <c r="R13" s="677">
        <f>AVERAGE(A13:Q13)</f>
        <v>97.33945999875337</v>
      </c>
      <c r="S13" s="120">
        <v>30.821478699787626</v>
      </c>
      <c r="T13" s="120">
        <v>62.2</v>
      </c>
      <c r="U13" s="120">
        <v>35.299999999999997</v>
      </c>
      <c r="V13" s="120">
        <v>38.9</v>
      </c>
      <c r="W13" s="16">
        <f t="shared" si="0"/>
        <v>91.691824371102314</v>
      </c>
      <c r="Y13" s="819"/>
      <c r="Z13" s="673" t="s">
        <v>769</v>
      </c>
      <c r="AA13" s="702">
        <f t="shared" si="4"/>
        <v>38.9</v>
      </c>
      <c r="AB13" s="16">
        <f t="shared" si="1"/>
        <v>91.691824371102314</v>
      </c>
    </row>
    <row r="14" spans="1:31" x14ac:dyDescent="0.25">
      <c r="A14" s="820"/>
      <c r="B14" s="80" t="s">
        <v>121</v>
      </c>
      <c r="C14" s="675">
        <f t="shared" ref="C14:J14" si="7">AVERAGE(C11:C13)</f>
        <v>184</v>
      </c>
      <c r="D14" s="675">
        <f t="shared" si="7"/>
        <v>162.33333333333334</v>
      </c>
      <c r="E14" s="675">
        <f t="shared" si="7"/>
        <v>193</v>
      </c>
      <c r="F14" s="675">
        <f t="shared" si="7"/>
        <v>87</v>
      </c>
      <c r="G14" s="675">
        <f t="shared" si="7"/>
        <v>41</v>
      </c>
      <c r="H14" s="675">
        <f t="shared" si="7"/>
        <v>42.666666666666664</v>
      </c>
      <c r="I14" s="675">
        <f t="shared" si="7"/>
        <v>56.333333333333336</v>
      </c>
      <c r="J14" s="675">
        <f t="shared" si="7"/>
        <v>47.333333333333336</v>
      </c>
      <c r="K14" s="675">
        <f>AVERAGE(K11:K13)</f>
        <v>41.666666666666664</v>
      </c>
      <c r="L14" s="676">
        <v>60</v>
      </c>
      <c r="M14" s="676">
        <v>50</v>
      </c>
      <c r="N14" s="675">
        <f t="shared" ref="N14:V14" si="8">AVERAGE(N11:N13)</f>
        <v>50.333333333333336</v>
      </c>
      <c r="O14" s="675">
        <f t="shared" si="8"/>
        <v>66</v>
      </c>
      <c r="P14" s="675">
        <f t="shared" si="8"/>
        <v>31.666666666666668</v>
      </c>
      <c r="Q14" s="675">
        <f t="shared" si="8"/>
        <v>38.087186371365974</v>
      </c>
      <c r="R14" s="675">
        <f t="shared" si="8"/>
        <v>76.539145758091067</v>
      </c>
      <c r="S14" s="675">
        <f t="shared" si="8"/>
        <v>30.681185101920438</v>
      </c>
      <c r="T14" s="675">
        <f t="shared" si="8"/>
        <v>51</v>
      </c>
      <c r="U14" s="675">
        <f t="shared" si="8"/>
        <v>34.75</v>
      </c>
      <c r="V14" s="675">
        <f t="shared" si="8"/>
        <v>33.6</v>
      </c>
      <c r="W14" s="16">
        <f t="shared" si="0"/>
        <v>72.757825031372832</v>
      </c>
      <c r="Y14" s="820"/>
      <c r="Z14" s="786" t="s">
        <v>121</v>
      </c>
      <c r="AA14" s="702">
        <f t="shared" si="4"/>
        <v>33.6</v>
      </c>
      <c r="AB14" s="16">
        <f t="shared" si="1"/>
        <v>72.757825031372832</v>
      </c>
    </row>
    <row r="15" spans="1:31" ht="13" x14ac:dyDescent="0.3">
      <c r="A15" s="818" t="s">
        <v>27</v>
      </c>
      <c r="B15" s="673" t="s">
        <v>122</v>
      </c>
      <c r="C15" s="671">
        <v>6</v>
      </c>
      <c r="D15" s="671">
        <v>7</v>
      </c>
      <c r="E15" s="671">
        <v>4</v>
      </c>
      <c r="F15" s="671">
        <v>9</v>
      </c>
      <c r="G15" s="671">
        <v>6</v>
      </c>
      <c r="H15" s="671">
        <v>4</v>
      </c>
      <c r="I15" s="671">
        <v>12</v>
      </c>
      <c r="J15" s="671">
        <v>6</v>
      </c>
      <c r="K15" s="671">
        <v>7</v>
      </c>
      <c r="L15" s="671">
        <v>6</v>
      </c>
      <c r="M15" s="671">
        <v>7</v>
      </c>
      <c r="N15" s="671">
        <v>5</v>
      </c>
      <c r="O15" s="671">
        <v>7</v>
      </c>
      <c r="P15" s="671">
        <v>3</v>
      </c>
      <c r="Q15" s="81">
        <v>5.4026666666666667</v>
      </c>
      <c r="R15" s="678">
        <f>AVERAGE(A15:Q15)</f>
        <v>6.2935111111111111</v>
      </c>
      <c r="S15" s="120">
        <v>5.7373968253968224</v>
      </c>
      <c r="T15" s="120">
        <v>11.2</v>
      </c>
      <c r="U15" s="120">
        <v>6.9</v>
      </c>
      <c r="V15" s="120">
        <v>7.3</v>
      </c>
      <c r="W15" s="16">
        <f t="shared" si="0"/>
        <v>6.5351985890652564</v>
      </c>
      <c r="Y15" s="818" t="s">
        <v>27</v>
      </c>
      <c r="Z15" s="673" t="s">
        <v>122</v>
      </c>
      <c r="AA15" s="702">
        <f t="shared" si="4"/>
        <v>7.3</v>
      </c>
      <c r="AB15" s="16">
        <f t="shared" si="1"/>
        <v>6.5351985890652564</v>
      </c>
    </row>
    <row r="16" spans="1:31" ht="13" x14ac:dyDescent="0.3">
      <c r="A16" s="819"/>
      <c r="B16" s="673" t="s">
        <v>123</v>
      </c>
      <c r="C16" s="671">
        <v>8</v>
      </c>
      <c r="D16" s="671">
        <v>6</v>
      </c>
      <c r="E16" s="671">
        <v>6</v>
      </c>
      <c r="F16" s="671">
        <v>8</v>
      </c>
      <c r="G16" s="671">
        <v>7</v>
      </c>
      <c r="H16" s="671">
        <v>4</v>
      </c>
      <c r="I16" s="671">
        <v>15</v>
      </c>
      <c r="J16" s="671">
        <v>8</v>
      </c>
      <c r="K16" s="671">
        <v>9</v>
      </c>
      <c r="L16" s="671">
        <v>5</v>
      </c>
      <c r="M16" s="671">
        <v>7</v>
      </c>
      <c r="N16" s="671">
        <v>5</v>
      </c>
      <c r="O16" s="671">
        <v>6</v>
      </c>
      <c r="P16" s="671">
        <v>5</v>
      </c>
      <c r="Q16" s="81">
        <v>6.2253333333333343</v>
      </c>
      <c r="R16" s="678">
        <f>AVERAGE(A16:Q16)</f>
        <v>7.0150222222222229</v>
      </c>
      <c r="S16" s="120">
        <v>5.7020506912442395</v>
      </c>
      <c r="T16" s="120"/>
      <c r="U16" s="120"/>
      <c r="V16" s="120"/>
      <c r="W16" s="16">
        <f t="shared" si="0"/>
        <v>6.9377886027529296</v>
      </c>
      <c r="Y16" s="819"/>
      <c r="Z16" s="673" t="s">
        <v>123</v>
      </c>
      <c r="AA16" s="702"/>
      <c r="AB16" s="16">
        <f t="shared" si="1"/>
        <v>6.9377886027529296</v>
      </c>
    </row>
    <row r="17" spans="1:28" ht="13" x14ac:dyDescent="0.3">
      <c r="A17" s="819"/>
      <c r="B17" s="673" t="s">
        <v>769</v>
      </c>
      <c r="C17" s="671">
        <v>19</v>
      </c>
      <c r="D17" s="671">
        <v>8</v>
      </c>
      <c r="E17" s="671">
        <v>5</v>
      </c>
      <c r="F17" s="671">
        <v>9</v>
      </c>
      <c r="G17" s="671">
        <v>13</v>
      </c>
      <c r="H17" s="671">
        <v>7</v>
      </c>
      <c r="I17" s="671">
        <v>22</v>
      </c>
      <c r="J17" s="671">
        <v>12</v>
      </c>
      <c r="K17" s="671">
        <v>12</v>
      </c>
      <c r="L17" s="671">
        <v>8</v>
      </c>
      <c r="M17" s="671">
        <v>10</v>
      </c>
      <c r="N17" s="671">
        <v>5</v>
      </c>
      <c r="O17" s="671">
        <v>8</v>
      </c>
      <c r="P17" s="671">
        <v>9</v>
      </c>
      <c r="Q17" s="81">
        <v>7.4459215686274529</v>
      </c>
      <c r="R17" s="678">
        <f>AVERAGE(A17:Q17)</f>
        <v>10.296394771241831</v>
      </c>
      <c r="S17" s="120">
        <v>6.033309794757165</v>
      </c>
      <c r="T17" s="120">
        <v>20.9</v>
      </c>
      <c r="U17" s="120">
        <v>10</v>
      </c>
      <c r="V17" s="120">
        <v>8.9</v>
      </c>
      <c r="W17" s="16">
        <f t="shared" si="0"/>
        <v>10.648645896368137</v>
      </c>
      <c r="Y17" s="819"/>
      <c r="Z17" s="673" t="s">
        <v>769</v>
      </c>
      <c r="AA17" s="702">
        <f t="shared" si="4"/>
        <v>8.9</v>
      </c>
      <c r="AB17" s="16">
        <f t="shared" si="1"/>
        <v>10.648645896368137</v>
      </c>
    </row>
    <row r="18" spans="1:28" x14ac:dyDescent="0.25">
      <c r="A18" s="820"/>
      <c r="B18" s="80" t="s">
        <v>121</v>
      </c>
      <c r="C18" s="675">
        <f t="shared" ref="C18:J18" si="9">AVERAGE(C15:C17)</f>
        <v>11</v>
      </c>
      <c r="D18" s="675">
        <f t="shared" si="9"/>
        <v>7</v>
      </c>
      <c r="E18" s="675">
        <f t="shared" si="9"/>
        <v>5</v>
      </c>
      <c r="F18" s="675">
        <f t="shared" si="9"/>
        <v>8.6666666666666661</v>
      </c>
      <c r="G18" s="675">
        <f t="shared" si="9"/>
        <v>8.6666666666666661</v>
      </c>
      <c r="H18" s="675">
        <f t="shared" si="9"/>
        <v>5</v>
      </c>
      <c r="I18" s="675">
        <f t="shared" si="9"/>
        <v>16.333333333333332</v>
      </c>
      <c r="J18" s="675">
        <f t="shared" si="9"/>
        <v>8.6666666666666661</v>
      </c>
      <c r="K18" s="675">
        <f>AVERAGE(K15:K17)</f>
        <v>9.3333333333333339</v>
      </c>
      <c r="L18" s="676">
        <v>6.4</v>
      </c>
      <c r="M18" s="676">
        <v>8</v>
      </c>
      <c r="N18" s="676">
        <f t="shared" ref="N18:V18" si="10">AVERAGE(N15:N17)</f>
        <v>5</v>
      </c>
      <c r="O18" s="676">
        <f t="shared" si="10"/>
        <v>7</v>
      </c>
      <c r="P18" s="675">
        <f t="shared" si="10"/>
        <v>5.666666666666667</v>
      </c>
      <c r="Q18" s="675">
        <f t="shared" si="10"/>
        <v>6.3579738562091519</v>
      </c>
      <c r="R18" s="675">
        <f t="shared" si="10"/>
        <v>7.8683093681917216</v>
      </c>
      <c r="S18" s="675">
        <f t="shared" si="10"/>
        <v>5.824252437132742</v>
      </c>
      <c r="T18" s="675">
        <f t="shared" si="10"/>
        <v>16.049999999999997</v>
      </c>
      <c r="U18" s="675">
        <f t="shared" si="10"/>
        <v>8.4499999999999993</v>
      </c>
      <c r="V18" s="675">
        <f t="shared" si="10"/>
        <v>8.1</v>
      </c>
      <c r="W18" s="16">
        <f t="shared" si="0"/>
        <v>8.212992721937054</v>
      </c>
      <c r="Y18" s="820"/>
      <c r="Z18" s="786" t="s">
        <v>121</v>
      </c>
      <c r="AA18" s="702">
        <f t="shared" si="4"/>
        <v>8.1</v>
      </c>
      <c r="AB18" s="16">
        <f t="shared" si="1"/>
        <v>8.212992721937054</v>
      </c>
    </row>
    <row r="19" spans="1:28" ht="14" x14ac:dyDescent="0.4">
      <c r="A19" s="18" t="s">
        <v>28</v>
      </c>
      <c r="B19" s="673" t="s">
        <v>122</v>
      </c>
      <c r="C19" s="671">
        <v>2.17</v>
      </c>
      <c r="D19" s="671">
        <v>2.1</v>
      </c>
      <c r="E19" s="671">
        <v>2.84</v>
      </c>
      <c r="F19" s="671">
        <v>1.79</v>
      </c>
      <c r="G19" s="671">
        <v>2.14</v>
      </c>
      <c r="H19" s="671">
        <v>2.5099999999999998</v>
      </c>
      <c r="I19" s="671">
        <v>1.7</v>
      </c>
      <c r="J19" s="671">
        <v>1.8</v>
      </c>
      <c r="K19" s="671">
        <v>1.8</v>
      </c>
      <c r="L19" s="671">
        <v>2.4</v>
      </c>
      <c r="M19" s="671">
        <v>2.2999999999999998</v>
      </c>
      <c r="N19" s="671">
        <v>3</v>
      </c>
      <c r="O19" s="671">
        <v>1.7</v>
      </c>
      <c r="P19" s="671">
        <v>2.6</v>
      </c>
      <c r="Q19" s="290">
        <v>2.0656249999999998</v>
      </c>
      <c r="R19" s="290">
        <v>2.4</v>
      </c>
      <c r="S19" s="290">
        <v>1.7</v>
      </c>
      <c r="T19" s="290">
        <v>2.4</v>
      </c>
      <c r="U19" s="290">
        <v>2.7</v>
      </c>
      <c r="V19" s="290">
        <v>1.7</v>
      </c>
      <c r="W19" s="16">
        <f>AVERAGE(C19:V19)</f>
        <v>2.1907812500000001</v>
      </c>
      <c r="Y19" s="18" t="s">
        <v>28</v>
      </c>
      <c r="Z19" s="673" t="s">
        <v>122</v>
      </c>
      <c r="AA19" s="702">
        <f t="shared" si="4"/>
        <v>1.7</v>
      </c>
      <c r="AB19" s="16">
        <f t="shared" si="1"/>
        <v>2.1907812500000001</v>
      </c>
    </row>
  </sheetData>
  <mergeCells count="15">
    <mergeCell ref="Y11:Y14"/>
    <mergeCell ref="Y15:Y18"/>
    <mergeCell ref="Y2:Y3"/>
    <mergeCell ref="Z2:Z3"/>
    <mergeCell ref="AA2:AB2"/>
    <mergeCell ref="Y4:Y6"/>
    <mergeCell ref="Y7:Y10"/>
    <mergeCell ref="A11:A14"/>
    <mergeCell ref="A15:A18"/>
    <mergeCell ref="A1:W1"/>
    <mergeCell ref="A2:A3"/>
    <mergeCell ref="B2:B3"/>
    <mergeCell ref="C2:W2"/>
    <mergeCell ref="A4:A6"/>
    <mergeCell ref="A7:A10"/>
  </mergeCells>
  <phoneticPr fontId="8" type="noConversion"/>
  <pageMargins left="0.75" right="0.75" top="1" bottom="1" header="0.5" footer="0.5"/>
  <pageSetup orientation="landscape" horizontalDpi="4294967293"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67"/>
  <sheetViews>
    <sheetView workbookViewId="0">
      <selection activeCell="F4" sqref="F4:F18"/>
    </sheetView>
  </sheetViews>
  <sheetFormatPr defaultRowHeight="12.5" x14ac:dyDescent="0.25"/>
  <cols>
    <col min="1" max="1" width="22.6328125" customWidth="1"/>
    <col min="4" max="4" width="10" customWidth="1"/>
    <col min="7" max="7" width="10.90625" customWidth="1"/>
    <col min="8" max="8" width="13" customWidth="1"/>
    <col min="10" max="10" width="19.08984375" customWidth="1"/>
    <col min="11" max="11" width="16.08984375" customWidth="1"/>
    <col min="13" max="13" width="10.453125" bestFit="1" customWidth="1"/>
  </cols>
  <sheetData>
    <row r="1" spans="1:11" ht="14" x14ac:dyDescent="0.3">
      <c r="A1" s="135" t="s">
        <v>273</v>
      </c>
    </row>
    <row r="2" spans="1:11" ht="13" x14ac:dyDescent="0.3">
      <c r="A2" s="1" t="s">
        <v>180</v>
      </c>
      <c r="B2" s="155">
        <v>40428</v>
      </c>
      <c r="J2" s="189" t="s">
        <v>281</v>
      </c>
      <c r="K2" s="189" t="s">
        <v>283</v>
      </c>
    </row>
    <row r="3" spans="1:11" ht="14" x14ac:dyDescent="0.3">
      <c r="A3" s="209" t="s">
        <v>23</v>
      </c>
      <c r="B3" s="209" t="s">
        <v>184</v>
      </c>
      <c r="C3" s="209" t="s">
        <v>185</v>
      </c>
      <c r="D3" s="209" t="s">
        <v>186</v>
      </c>
      <c r="E3" s="209" t="s">
        <v>187</v>
      </c>
      <c r="F3" s="209" t="s">
        <v>188</v>
      </c>
      <c r="J3" s="84" t="s">
        <v>291</v>
      </c>
      <c r="K3" s="459">
        <v>4</v>
      </c>
    </row>
    <row r="4" spans="1:11" ht="13" x14ac:dyDescent="0.3">
      <c r="A4" s="94" t="s">
        <v>238</v>
      </c>
      <c r="B4" s="143">
        <v>0.42569444444444443</v>
      </c>
      <c r="C4" s="84">
        <v>2.0499999999999998</v>
      </c>
      <c r="D4" s="84">
        <v>8.7200000000000006</v>
      </c>
      <c r="E4" s="84">
        <v>11.3</v>
      </c>
      <c r="F4" s="84">
        <v>7.89</v>
      </c>
      <c r="G4" s="92"/>
      <c r="J4" s="189" t="s">
        <v>282</v>
      </c>
      <c r="K4" s="589" t="s">
        <v>635</v>
      </c>
    </row>
    <row r="5" spans="1:11" ht="13" x14ac:dyDescent="0.3">
      <c r="A5" s="94" t="s">
        <v>239</v>
      </c>
      <c r="B5" s="143">
        <v>0.44444444444444442</v>
      </c>
      <c r="C5" s="84">
        <v>0.219</v>
      </c>
      <c r="D5" s="84">
        <v>8.8800000000000008</v>
      </c>
      <c r="E5" s="84">
        <v>11.5</v>
      </c>
      <c r="F5" s="84">
        <v>8.5</v>
      </c>
      <c r="G5" s="92"/>
      <c r="J5" s="189" t="s">
        <v>284</v>
      </c>
      <c r="K5" s="459">
        <v>54</v>
      </c>
    </row>
    <row r="6" spans="1:11" ht="13" x14ac:dyDescent="0.3">
      <c r="A6" s="94" t="s">
        <v>240</v>
      </c>
      <c r="B6" s="143">
        <v>0.46319444444444446</v>
      </c>
      <c r="C6" s="84">
        <v>0.254</v>
      </c>
      <c r="D6" s="84">
        <v>6.17</v>
      </c>
      <c r="E6" s="84">
        <v>18.8</v>
      </c>
      <c r="F6" s="84">
        <v>9.0399999999999991</v>
      </c>
      <c r="G6" s="92"/>
      <c r="J6" s="189" t="s">
        <v>285</v>
      </c>
      <c r="K6" s="589" t="s">
        <v>636</v>
      </c>
    </row>
    <row r="7" spans="1:11" ht="14" x14ac:dyDescent="0.3">
      <c r="A7" s="94" t="s">
        <v>229</v>
      </c>
      <c r="B7" s="318" t="s">
        <v>241</v>
      </c>
      <c r="C7" s="319"/>
      <c r="D7" s="319"/>
      <c r="E7" s="319"/>
      <c r="F7" s="320"/>
      <c r="G7" s="209" t="s">
        <v>201</v>
      </c>
      <c r="H7" s="210" t="s">
        <v>213</v>
      </c>
      <c r="J7" s="189" t="s">
        <v>286</v>
      </c>
      <c r="K7" s="291">
        <v>47</v>
      </c>
    </row>
    <row r="8" spans="1:11" ht="13" x14ac:dyDescent="0.3">
      <c r="A8" s="126" t="s">
        <v>192</v>
      </c>
      <c r="B8" s="143">
        <v>0.50555555555555554</v>
      </c>
      <c r="C8" s="84">
        <v>0.25700000000000001</v>
      </c>
      <c r="D8" s="84">
        <v>8.64</v>
      </c>
      <c r="E8" s="84">
        <v>20</v>
      </c>
      <c r="F8" s="84">
        <v>9.09</v>
      </c>
      <c r="G8" s="134">
        <v>1.25</v>
      </c>
      <c r="H8" s="188">
        <v>10.6</v>
      </c>
      <c r="J8" s="422" t="s">
        <v>288</v>
      </c>
      <c r="K8" s="291">
        <v>13</v>
      </c>
    </row>
    <row r="9" spans="1:11" ht="13" x14ac:dyDescent="0.3">
      <c r="A9" s="126" t="s">
        <v>193</v>
      </c>
      <c r="B9" s="84"/>
      <c r="C9" s="84">
        <v>0.25700000000000001</v>
      </c>
      <c r="D9" s="84">
        <v>8.82</v>
      </c>
      <c r="E9" s="84">
        <v>20</v>
      </c>
      <c r="F9" s="84">
        <v>9.1199999999999992</v>
      </c>
      <c r="G9" s="84"/>
      <c r="J9" s="422" t="s">
        <v>292</v>
      </c>
      <c r="K9" s="291">
        <v>0</v>
      </c>
    </row>
    <row r="10" spans="1:11" ht="13" x14ac:dyDescent="0.3">
      <c r="A10" s="126" t="s">
        <v>194</v>
      </c>
      <c r="B10" s="84"/>
      <c r="C10" s="84">
        <v>0.25700000000000001</v>
      </c>
      <c r="D10" s="84">
        <v>8.48</v>
      </c>
      <c r="E10" s="84">
        <v>19.899999999999999</v>
      </c>
      <c r="F10" s="84">
        <v>9.14</v>
      </c>
      <c r="G10" s="84"/>
      <c r="J10" s="422" t="s">
        <v>301</v>
      </c>
      <c r="K10" s="291">
        <v>1</v>
      </c>
    </row>
    <row r="11" spans="1:11" ht="13" x14ac:dyDescent="0.3">
      <c r="A11" s="126" t="s">
        <v>195</v>
      </c>
      <c r="B11" s="84"/>
      <c r="C11" s="84">
        <v>0.25700000000000001</v>
      </c>
      <c r="D11" s="84">
        <v>8.0399999999999991</v>
      </c>
      <c r="E11" s="84">
        <v>19.8</v>
      </c>
      <c r="F11" s="84">
        <v>9.1</v>
      </c>
      <c r="G11" s="84"/>
    </row>
    <row r="12" spans="1:11" ht="13" x14ac:dyDescent="0.3">
      <c r="A12" s="126" t="s">
        <v>196</v>
      </c>
      <c r="B12" s="84"/>
      <c r="C12" s="84">
        <v>0.25700000000000001</v>
      </c>
      <c r="D12" s="84">
        <v>8</v>
      </c>
      <c r="E12" s="84">
        <v>19.8</v>
      </c>
      <c r="F12" s="84">
        <v>9.09</v>
      </c>
      <c r="G12" s="84"/>
      <c r="I12" s="21" t="s">
        <v>639</v>
      </c>
      <c r="J12" s="6">
        <f>AVERAGE(D8:D10)</f>
        <v>8.6466666666666665</v>
      </c>
    </row>
    <row r="13" spans="1:11" ht="13" x14ac:dyDescent="0.3">
      <c r="A13" s="126" t="s">
        <v>197</v>
      </c>
      <c r="B13" s="84"/>
      <c r="C13" s="84">
        <v>0.25700000000000001</v>
      </c>
      <c r="D13" s="84">
        <v>7.78</v>
      </c>
      <c r="E13" s="84">
        <v>19.8</v>
      </c>
      <c r="F13" s="84">
        <v>9.11</v>
      </c>
      <c r="G13" s="84"/>
    </row>
    <row r="14" spans="1:11" ht="13" x14ac:dyDescent="0.3">
      <c r="A14" s="126" t="s">
        <v>198</v>
      </c>
      <c r="B14" s="84"/>
      <c r="C14" s="84">
        <v>0.25700000000000001</v>
      </c>
      <c r="D14" s="84">
        <v>7.7</v>
      </c>
      <c r="E14" s="84">
        <v>19.8</v>
      </c>
      <c r="F14" s="84">
        <v>9.1199999999999992</v>
      </c>
      <c r="G14" s="84"/>
    </row>
    <row r="15" spans="1:11" ht="13" x14ac:dyDescent="0.3">
      <c r="A15" s="126" t="s">
        <v>199</v>
      </c>
      <c r="B15" s="84"/>
      <c r="C15" s="84">
        <v>0.25700000000000001</v>
      </c>
      <c r="D15" s="84">
        <v>8</v>
      </c>
      <c r="E15" s="84">
        <v>19.7</v>
      </c>
      <c r="F15" s="84">
        <v>9.1199999999999992</v>
      </c>
      <c r="G15" s="84"/>
    </row>
    <row r="16" spans="1:11" ht="13" x14ac:dyDescent="0.3">
      <c r="A16" s="126" t="s">
        <v>200</v>
      </c>
      <c r="B16" s="143"/>
      <c r="C16" s="84">
        <v>0.25700000000000001</v>
      </c>
      <c r="D16" s="84">
        <v>7.84</v>
      </c>
      <c r="E16" s="84">
        <v>19.600000000000001</v>
      </c>
      <c r="F16" s="84">
        <v>9.1199999999999992</v>
      </c>
      <c r="G16" s="84"/>
    </row>
    <row r="17" spans="1:14" ht="13" x14ac:dyDescent="0.3">
      <c r="A17" s="126" t="s">
        <v>227</v>
      </c>
      <c r="B17" s="143"/>
      <c r="C17" s="84">
        <v>0.255</v>
      </c>
      <c r="D17" s="84">
        <v>7.71</v>
      </c>
      <c r="E17" s="84">
        <v>18.8</v>
      </c>
      <c r="F17" s="84">
        <v>9.02</v>
      </c>
      <c r="G17" s="84"/>
    </row>
    <row r="18" spans="1:14" ht="13" x14ac:dyDescent="0.3">
      <c r="A18" s="126" t="s">
        <v>228</v>
      </c>
      <c r="B18" s="84"/>
      <c r="C18" s="84">
        <v>0.254</v>
      </c>
      <c r="D18" s="84">
        <v>5.4</v>
      </c>
      <c r="E18" s="84">
        <v>18.7</v>
      </c>
      <c r="F18" s="84">
        <v>8.73</v>
      </c>
      <c r="G18" s="84"/>
    </row>
    <row r="19" spans="1:14" ht="13" x14ac:dyDescent="0.3">
      <c r="A19" s="208"/>
      <c r="B19" s="92"/>
      <c r="C19" s="92"/>
      <c r="D19" s="443">
        <f>AVERAGE(D8:D18)</f>
        <v>7.8554545454545464</v>
      </c>
      <c r="E19" s="443">
        <f>AVERAGE(E8:E11)</f>
        <v>19.925000000000001</v>
      </c>
      <c r="F19" s="443">
        <f>AVERAGE(D8:D14)</f>
        <v>8.20857142857143</v>
      </c>
      <c r="G19" s="92"/>
    </row>
    <row r="20" spans="1:14" ht="13" x14ac:dyDescent="0.3">
      <c r="A20" s="126" t="s">
        <v>230</v>
      </c>
      <c r="B20" s="143"/>
      <c r="C20" s="84"/>
      <c r="D20" s="84"/>
      <c r="E20" s="84"/>
      <c r="F20" s="84"/>
      <c r="G20" s="84"/>
    </row>
    <row r="21" spans="1:14" ht="13" x14ac:dyDescent="0.3">
      <c r="A21" s="271" t="s">
        <v>231</v>
      </c>
      <c r="B21" s="143"/>
      <c r="C21" s="84"/>
      <c r="D21" s="84"/>
      <c r="E21" s="84"/>
      <c r="F21" s="84"/>
      <c r="G21" s="84"/>
    </row>
    <row r="22" spans="1:14" x14ac:dyDescent="0.25">
      <c r="A22" s="131" t="s">
        <v>11</v>
      </c>
      <c r="B22" s="228" t="s">
        <v>634</v>
      </c>
      <c r="C22" s="132"/>
      <c r="D22" s="132"/>
      <c r="E22" s="132"/>
      <c r="F22" s="132"/>
      <c r="G22" s="132"/>
    </row>
    <row r="23" spans="1:14" x14ac:dyDescent="0.25">
      <c r="A23" s="144"/>
      <c r="B23" s="229"/>
      <c r="C23" s="133"/>
      <c r="D23" s="133"/>
      <c r="E23" s="133"/>
      <c r="F23" s="133"/>
      <c r="G23" s="133"/>
    </row>
    <row r="24" spans="1:14" x14ac:dyDescent="0.25">
      <c r="A24" s="144"/>
      <c r="B24" s="133"/>
      <c r="C24" s="133"/>
      <c r="D24" s="133"/>
      <c r="E24" s="133"/>
      <c r="F24" s="133"/>
      <c r="G24" s="133"/>
    </row>
    <row r="25" spans="1:14" ht="24" x14ac:dyDescent="0.35">
      <c r="A25" s="853" t="s">
        <v>130</v>
      </c>
      <c r="B25" s="853"/>
      <c r="C25" s="268"/>
      <c r="D25" s="853" t="s">
        <v>133</v>
      </c>
      <c r="E25" s="853"/>
      <c r="F25" s="137"/>
      <c r="G25" s="849" t="s">
        <v>34</v>
      </c>
      <c r="H25" s="849"/>
      <c r="J25" s="141" t="s">
        <v>204</v>
      </c>
      <c r="K25" s="141" t="s">
        <v>205</v>
      </c>
      <c r="L25" s="142" t="s">
        <v>206</v>
      </c>
      <c r="M25" s="141" t="s">
        <v>207</v>
      </c>
      <c r="N25" s="142" t="s">
        <v>208</v>
      </c>
    </row>
    <row r="26" spans="1:14" ht="15.5" x14ac:dyDescent="0.35">
      <c r="A26" s="162" t="s">
        <v>184</v>
      </c>
      <c r="B26" s="265">
        <v>0.42569444444444443</v>
      </c>
      <c r="C26" s="266"/>
      <c r="D26" s="162" t="s">
        <v>184</v>
      </c>
      <c r="E26" s="270">
        <v>0.46180555555555558</v>
      </c>
      <c r="F26" s="485">
        <v>3.72</v>
      </c>
      <c r="G26" s="162" t="s">
        <v>184</v>
      </c>
      <c r="H26" s="270">
        <v>0.47361111111111115</v>
      </c>
      <c r="J26" s="138">
        <v>2</v>
      </c>
      <c r="K26" s="138">
        <v>0.1</v>
      </c>
      <c r="L26" s="138">
        <v>0.57999999999999996</v>
      </c>
      <c r="M26" s="138">
        <f>K26*50</f>
        <v>5</v>
      </c>
      <c r="N26" s="139">
        <f t="shared" ref="N26:N33" si="0">L26*M26</f>
        <v>2.9</v>
      </c>
    </row>
    <row r="27" spans="1:14" ht="16" thickBot="1" x14ac:dyDescent="0.4">
      <c r="A27" s="162" t="s">
        <v>202</v>
      </c>
      <c r="B27" s="267">
        <v>9</v>
      </c>
      <c r="C27" s="267"/>
      <c r="D27" s="162" t="s">
        <v>202</v>
      </c>
      <c r="E27" s="269">
        <v>16</v>
      </c>
      <c r="F27" s="269"/>
      <c r="G27" s="162" t="s">
        <v>202</v>
      </c>
      <c r="H27" s="269">
        <v>50</v>
      </c>
      <c r="J27" s="138">
        <v>4</v>
      </c>
      <c r="K27" s="138">
        <v>0.9</v>
      </c>
      <c r="L27" s="138">
        <v>0.6</v>
      </c>
      <c r="M27" s="138">
        <f>K27*2</f>
        <v>1.8</v>
      </c>
      <c r="N27" s="139">
        <f t="shared" si="0"/>
        <v>1.08</v>
      </c>
    </row>
    <row r="28" spans="1:14" ht="31.5" thickBot="1" x14ac:dyDescent="0.4">
      <c r="A28" s="165" t="s">
        <v>203</v>
      </c>
      <c r="B28" s="852" t="s">
        <v>315</v>
      </c>
      <c r="C28" s="852"/>
      <c r="D28" s="163" t="s">
        <v>203</v>
      </c>
      <c r="E28" s="854" t="s">
        <v>637</v>
      </c>
      <c r="F28" s="854"/>
      <c r="G28" s="163" t="s">
        <v>203</v>
      </c>
      <c r="H28" s="166" t="s">
        <v>638</v>
      </c>
      <c r="J28" s="138">
        <v>6</v>
      </c>
      <c r="K28" s="138">
        <v>0.9</v>
      </c>
      <c r="L28" s="138">
        <v>1.1200000000000001</v>
      </c>
      <c r="M28" s="138">
        <f>K28*2</f>
        <v>1.8</v>
      </c>
      <c r="N28" s="139">
        <f t="shared" si="0"/>
        <v>2.0160000000000005</v>
      </c>
    </row>
    <row r="29" spans="1:14" ht="24" x14ac:dyDescent="0.35">
      <c r="A29" s="159" t="s">
        <v>204</v>
      </c>
      <c r="B29" s="159" t="s">
        <v>205</v>
      </c>
      <c r="C29" s="161" t="s">
        <v>206</v>
      </c>
      <c r="D29" s="159" t="s">
        <v>204</v>
      </c>
      <c r="E29" s="159" t="s">
        <v>243</v>
      </c>
      <c r="F29" s="161" t="s">
        <v>211</v>
      </c>
      <c r="G29" s="159" t="s">
        <v>205</v>
      </c>
      <c r="H29" s="161" t="s">
        <v>206</v>
      </c>
      <c r="J29" s="138">
        <v>8</v>
      </c>
      <c r="K29" s="138">
        <v>0.8</v>
      </c>
      <c r="L29" s="138">
        <v>0.09</v>
      </c>
      <c r="M29" s="138">
        <f>K29*3</f>
        <v>2.4000000000000004</v>
      </c>
      <c r="N29" s="139">
        <f t="shared" si="0"/>
        <v>0.21600000000000003</v>
      </c>
    </row>
    <row r="30" spans="1:14" ht="15.5" x14ac:dyDescent="0.35">
      <c r="A30" s="160">
        <v>2</v>
      </c>
      <c r="B30" s="138">
        <v>0.28000000000000003</v>
      </c>
      <c r="C30" s="138">
        <v>0.54</v>
      </c>
      <c r="D30" s="160">
        <v>2</v>
      </c>
      <c r="E30" s="138">
        <v>0.9</v>
      </c>
      <c r="F30" s="138">
        <v>0.18</v>
      </c>
      <c r="G30" s="849" t="s">
        <v>34</v>
      </c>
      <c r="H30" s="849"/>
      <c r="J30" s="230">
        <v>10</v>
      </c>
      <c r="K30" s="138">
        <v>0.7</v>
      </c>
      <c r="L30" s="138">
        <v>0.18</v>
      </c>
      <c r="M30" s="138">
        <f>K30*2</f>
        <v>1.4</v>
      </c>
      <c r="N30" s="139">
        <f t="shared" si="0"/>
        <v>0.252</v>
      </c>
    </row>
    <row r="31" spans="1:14" ht="15.5" x14ac:dyDescent="0.35">
      <c r="A31" s="160">
        <v>4</v>
      </c>
      <c r="B31" s="138">
        <v>0.2</v>
      </c>
      <c r="C31" s="138">
        <v>0.11</v>
      </c>
      <c r="D31" s="160">
        <v>4</v>
      </c>
      <c r="E31" s="138">
        <v>0.9</v>
      </c>
      <c r="F31" s="138">
        <v>0.6</v>
      </c>
      <c r="G31" s="138">
        <v>0.1</v>
      </c>
      <c r="H31" s="139">
        <v>0.57999999999999996</v>
      </c>
      <c r="I31" s="608">
        <v>2.9</v>
      </c>
      <c r="J31" s="138">
        <v>12</v>
      </c>
      <c r="K31" s="140">
        <v>0.75</v>
      </c>
      <c r="L31" s="138">
        <v>0.96</v>
      </c>
      <c r="M31" s="138">
        <f>K31*2</f>
        <v>1.5</v>
      </c>
      <c r="N31" s="139">
        <f t="shared" si="0"/>
        <v>1.44</v>
      </c>
    </row>
    <row r="32" spans="1:14" ht="15.5" x14ac:dyDescent="0.35">
      <c r="A32" s="160">
        <v>6</v>
      </c>
      <c r="B32" s="138">
        <v>0.42</v>
      </c>
      <c r="C32" s="138">
        <v>0.39</v>
      </c>
      <c r="D32" s="160">
        <v>6</v>
      </c>
      <c r="E32" s="138">
        <v>0.9</v>
      </c>
      <c r="F32" s="138">
        <v>1.1200000000000001</v>
      </c>
      <c r="G32" s="850" t="s">
        <v>214</v>
      </c>
      <c r="H32" s="851"/>
      <c r="J32" s="230">
        <v>14</v>
      </c>
      <c r="K32" s="140">
        <v>0.57999999999999996</v>
      </c>
      <c r="L32" s="138">
        <v>0.83</v>
      </c>
      <c r="M32" s="138">
        <f>K32*2</f>
        <v>1.1599999999999999</v>
      </c>
      <c r="N32" s="139">
        <f t="shared" si="0"/>
        <v>0.96279999999999988</v>
      </c>
    </row>
    <row r="33" spans="1:14" ht="15.5" x14ac:dyDescent="0.35">
      <c r="A33" s="160">
        <v>8</v>
      </c>
      <c r="B33" s="138">
        <v>0.3</v>
      </c>
      <c r="C33" s="138">
        <v>0.6</v>
      </c>
      <c r="D33" s="160">
        <v>8</v>
      </c>
      <c r="E33" s="138">
        <v>0.8</v>
      </c>
      <c r="F33" s="138">
        <v>0.09</v>
      </c>
      <c r="G33" s="138"/>
      <c r="H33" s="139"/>
      <c r="J33" s="138">
        <v>16</v>
      </c>
      <c r="K33" s="140">
        <v>0.6</v>
      </c>
      <c r="L33" s="138">
        <v>0.15</v>
      </c>
      <c r="M33" s="138">
        <f>K33*2</f>
        <v>1.2</v>
      </c>
      <c r="N33" s="139">
        <f t="shared" si="0"/>
        <v>0.18</v>
      </c>
    </row>
    <row r="34" spans="1:14" ht="15.5" x14ac:dyDescent="0.35">
      <c r="A34" s="160">
        <v>10</v>
      </c>
      <c r="B34" s="138"/>
      <c r="C34" s="138"/>
      <c r="D34" s="160">
        <v>10</v>
      </c>
      <c r="E34" s="138">
        <v>0.7</v>
      </c>
      <c r="F34" s="138">
        <v>0.18</v>
      </c>
      <c r="G34" s="138" t="s">
        <v>215</v>
      </c>
      <c r="H34" s="139"/>
      <c r="N34" s="6">
        <f>SUM(N26:N33)</f>
        <v>9.0467999999999993</v>
      </c>
    </row>
    <row r="35" spans="1:14" ht="15.5" x14ac:dyDescent="0.35">
      <c r="A35" s="128"/>
      <c r="B35" s="138"/>
      <c r="C35" s="607">
        <v>1.21</v>
      </c>
      <c r="D35" s="160">
        <v>12</v>
      </c>
      <c r="E35" s="140">
        <v>0.75</v>
      </c>
      <c r="F35" s="138">
        <v>0.96</v>
      </c>
      <c r="G35" s="138"/>
      <c r="H35" s="139"/>
    </row>
    <row r="36" spans="1:14" ht="15.5" x14ac:dyDescent="0.35">
      <c r="A36" s="128"/>
      <c r="B36" s="416"/>
      <c r="C36" s="416"/>
      <c r="D36" s="160">
        <v>14</v>
      </c>
      <c r="E36" s="140">
        <v>0.57999999999999996</v>
      </c>
      <c r="F36" s="138">
        <v>0.83</v>
      </c>
      <c r="G36" s="416"/>
      <c r="H36" s="418"/>
    </row>
    <row r="37" spans="1:14" ht="15.5" x14ac:dyDescent="0.35">
      <c r="A37" s="128"/>
      <c r="B37" s="416"/>
      <c r="C37" s="416"/>
      <c r="D37" s="160">
        <v>16</v>
      </c>
      <c r="E37" s="140">
        <v>0.6</v>
      </c>
      <c r="F37" s="138">
        <v>0.15</v>
      </c>
      <c r="G37" s="416"/>
      <c r="H37" s="418"/>
    </row>
    <row r="38" spans="1:14" ht="15.5" x14ac:dyDescent="0.35">
      <c r="A38" s="128"/>
      <c r="B38" s="416"/>
      <c r="C38" s="416"/>
      <c r="D38" s="160">
        <v>18</v>
      </c>
      <c r="E38" s="140"/>
      <c r="F38" s="607">
        <v>6.47</v>
      </c>
      <c r="G38" s="416"/>
      <c r="H38" s="418"/>
    </row>
    <row r="40" spans="1:14" ht="14" x14ac:dyDescent="0.3">
      <c r="A40" s="135" t="s">
        <v>232</v>
      </c>
      <c r="C40" s="11" t="s">
        <v>233</v>
      </c>
      <c r="D40" s="155">
        <v>40428</v>
      </c>
    </row>
    <row r="41" spans="1:14" ht="14" x14ac:dyDescent="0.3">
      <c r="A41" s="209" t="s">
        <v>248</v>
      </c>
      <c r="B41" s="209" t="s">
        <v>184</v>
      </c>
      <c r="C41" s="209" t="s">
        <v>185</v>
      </c>
      <c r="D41" s="209" t="s">
        <v>186</v>
      </c>
      <c r="E41" s="209" t="s">
        <v>187</v>
      </c>
      <c r="F41" s="209" t="s">
        <v>188</v>
      </c>
      <c r="G41" s="209" t="s">
        <v>201</v>
      </c>
      <c r="H41" s="210" t="s">
        <v>213</v>
      </c>
    </row>
    <row r="42" spans="1:14" ht="13" x14ac:dyDescent="0.3">
      <c r="A42" s="126" t="s">
        <v>192</v>
      </c>
      <c r="B42" s="143">
        <v>0.51666666666666672</v>
      </c>
      <c r="C42" s="84">
        <v>0.25700000000000001</v>
      </c>
      <c r="D42" s="84">
        <v>9.4</v>
      </c>
      <c r="E42" s="84">
        <v>20.100000000000001</v>
      </c>
      <c r="F42" s="84">
        <v>9.42</v>
      </c>
      <c r="G42" s="134">
        <v>1.45</v>
      </c>
      <c r="H42" s="84">
        <v>8.6</v>
      </c>
      <c r="I42" s="6">
        <f>AVERAGE(E42:E44)</f>
        <v>19.933333333333334</v>
      </c>
      <c r="J42" s="21" t="s">
        <v>640</v>
      </c>
    </row>
    <row r="43" spans="1:14" ht="13" x14ac:dyDescent="0.3">
      <c r="A43" s="126" t="s">
        <v>193</v>
      </c>
      <c r="B43" s="84"/>
      <c r="C43" s="84">
        <v>0.25700000000000001</v>
      </c>
      <c r="D43" s="84">
        <v>8.6</v>
      </c>
      <c r="E43" s="84">
        <v>19.899999999999999</v>
      </c>
      <c r="F43" s="84">
        <v>9.36</v>
      </c>
      <c r="G43" s="84"/>
    </row>
    <row r="44" spans="1:14" ht="13" x14ac:dyDescent="0.3">
      <c r="A44" s="126" t="s">
        <v>194</v>
      </c>
      <c r="B44" s="84"/>
      <c r="C44" s="84">
        <v>0.25800000000000001</v>
      </c>
      <c r="D44" s="84">
        <v>8</v>
      </c>
      <c r="E44" s="84">
        <v>19.8</v>
      </c>
      <c r="F44" s="84">
        <v>9.32</v>
      </c>
      <c r="G44" s="84"/>
    </row>
    <row r="45" spans="1:14" ht="13" x14ac:dyDescent="0.3">
      <c r="A45" s="126" t="s">
        <v>195</v>
      </c>
      <c r="B45" s="84"/>
      <c r="C45" s="84">
        <v>0.25800000000000001</v>
      </c>
      <c r="D45" s="84">
        <v>8.25</v>
      </c>
      <c r="E45" s="84">
        <v>19.8</v>
      </c>
      <c r="F45" s="84">
        <v>9.3000000000000007</v>
      </c>
      <c r="G45" s="84"/>
    </row>
    <row r="46" spans="1:14" ht="13" x14ac:dyDescent="0.3">
      <c r="A46" s="126" t="s">
        <v>196</v>
      </c>
      <c r="B46" s="84"/>
      <c r="C46" s="84">
        <v>0.25800000000000001</v>
      </c>
      <c r="D46" s="84">
        <v>8.15</v>
      </c>
      <c r="E46" s="84">
        <v>19.7</v>
      </c>
      <c r="F46" s="84">
        <v>9.3000000000000007</v>
      </c>
      <c r="G46" s="84"/>
    </row>
    <row r="47" spans="1:14" ht="13" x14ac:dyDescent="0.3">
      <c r="A47" s="126" t="s">
        <v>197</v>
      </c>
      <c r="B47" s="84"/>
      <c r="C47" s="84">
        <v>0.25800000000000001</v>
      </c>
      <c r="D47" s="84">
        <v>8.1300000000000008</v>
      </c>
      <c r="E47" s="84">
        <v>19.600000000000001</v>
      </c>
      <c r="F47" s="84">
        <v>9.2899999999999991</v>
      </c>
      <c r="G47" s="84"/>
    </row>
    <row r="48" spans="1:14" ht="13" x14ac:dyDescent="0.3">
      <c r="A48" s="126" t="s">
        <v>198</v>
      </c>
      <c r="B48" s="84"/>
      <c r="C48" s="84">
        <v>0.25800000000000001</v>
      </c>
      <c r="D48" s="84">
        <v>7.9</v>
      </c>
      <c r="E48" s="84">
        <v>19.600000000000001</v>
      </c>
      <c r="F48" s="84">
        <v>9.26</v>
      </c>
      <c r="G48" s="84"/>
    </row>
    <row r="49" spans="1:10" ht="13" x14ac:dyDescent="0.3">
      <c r="A49" s="126" t="s">
        <v>199</v>
      </c>
      <c r="B49" s="84"/>
      <c r="C49" s="84">
        <v>0.25800000000000001</v>
      </c>
      <c r="D49" s="84">
        <v>7.7</v>
      </c>
      <c r="E49" s="84">
        <v>19.600000000000001</v>
      </c>
      <c r="F49" s="84">
        <v>9.25</v>
      </c>
      <c r="G49" s="84"/>
    </row>
    <row r="50" spans="1:10" ht="13" x14ac:dyDescent="0.3">
      <c r="A50" s="421" t="s">
        <v>200</v>
      </c>
      <c r="B50" s="84"/>
      <c r="C50" s="84">
        <v>0.25800000000000001</v>
      </c>
      <c r="D50" s="84">
        <v>7</v>
      </c>
      <c r="E50" s="84">
        <v>19.600000000000001</v>
      </c>
      <c r="F50" s="84">
        <v>9.23</v>
      </c>
      <c r="G50" s="84"/>
    </row>
    <row r="51" spans="1:10" ht="14" x14ac:dyDescent="0.3">
      <c r="A51" s="209" t="s">
        <v>249</v>
      </c>
      <c r="B51" s="209" t="s">
        <v>184</v>
      </c>
      <c r="C51" s="209" t="s">
        <v>185</v>
      </c>
      <c r="D51" s="209" t="s">
        <v>186</v>
      </c>
      <c r="E51" s="209" t="s">
        <v>187</v>
      </c>
      <c r="F51" s="209" t="s">
        <v>188</v>
      </c>
      <c r="G51" s="209" t="s">
        <v>201</v>
      </c>
      <c r="H51" s="210" t="s">
        <v>213</v>
      </c>
      <c r="J51" s="611"/>
    </row>
    <row r="52" spans="1:10" ht="13" x14ac:dyDescent="0.3">
      <c r="A52" s="126" t="s">
        <v>192</v>
      </c>
      <c r="B52" s="143">
        <v>0.52569444444444446</v>
      </c>
      <c r="C52" s="84">
        <v>0.25700000000000001</v>
      </c>
      <c r="D52" s="84">
        <v>9.0500000000000007</v>
      </c>
      <c r="E52" s="84">
        <v>20.100000000000001</v>
      </c>
      <c r="F52" s="84">
        <v>9.42</v>
      </c>
      <c r="G52" s="134">
        <v>1.2</v>
      </c>
      <c r="H52" s="84">
        <v>5.2</v>
      </c>
      <c r="I52" s="6">
        <f>AVERAGE(E52:E54)</f>
        <v>19.933333333333334</v>
      </c>
      <c r="J52" s="21" t="s">
        <v>640</v>
      </c>
    </row>
    <row r="53" spans="1:10" ht="13" x14ac:dyDescent="0.3">
      <c r="A53" s="126" t="s">
        <v>193</v>
      </c>
      <c r="B53" s="84"/>
      <c r="C53" s="84">
        <v>0.25800000000000001</v>
      </c>
      <c r="D53" s="84">
        <v>8.64</v>
      </c>
      <c r="E53" s="84">
        <v>19.899999999999999</v>
      </c>
      <c r="F53" s="84">
        <v>9.3699999999999992</v>
      </c>
      <c r="G53" s="84"/>
    </row>
    <row r="54" spans="1:10" ht="13" x14ac:dyDescent="0.3">
      <c r="A54" s="126" t="s">
        <v>194</v>
      </c>
      <c r="B54" s="84"/>
      <c r="C54" s="84">
        <v>0.25800000000000001</v>
      </c>
      <c r="D54" s="84">
        <v>8.08</v>
      </c>
      <c r="E54" s="84">
        <v>19.8</v>
      </c>
      <c r="F54" s="84">
        <v>9.33</v>
      </c>
      <c r="G54" s="84"/>
    </row>
    <row r="55" spans="1:10" ht="13" x14ac:dyDescent="0.3">
      <c r="A55" s="126" t="s">
        <v>195</v>
      </c>
      <c r="B55" s="84"/>
      <c r="C55" s="84">
        <v>0.25800000000000001</v>
      </c>
      <c r="D55" s="84">
        <v>8.1999999999999993</v>
      </c>
      <c r="E55" s="189">
        <v>19.7</v>
      </c>
      <c r="F55" s="84">
        <v>9.3000000000000007</v>
      </c>
      <c r="G55" s="84"/>
    </row>
    <row r="56" spans="1:10" ht="13" x14ac:dyDescent="0.3">
      <c r="A56" s="126" t="s">
        <v>196</v>
      </c>
      <c r="B56" s="84"/>
      <c r="C56" s="84">
        <v>0.25900000000000001</v>
      </c>
      <c r="D56" s="84">
        <v>7.05</v>
      </c>
      <c r="E56" s="84">
        <v>19.600000000000001</v>
      </c>
      <c r="F56" s="84">
        <v>9.23</v>
      </c>
      <c r="G56" s="84"/>
    </row>
    <row r="57" spans="1:10" ht="14" x14ac:dyDescent="0.3">
      <c r="A57" s="209" t="s">
        <v>250</v>
      </c>
      <c r="B57" s="209" t="s">
        <v>184</v>
      </c>
      <c r="C57" s="209" t="s">
        <v>185</v>
      </c>
      <c r="D57" s="209" t="s">
        <v>186</v>
      </c>
      <c r="E57" s="209" t="s">
        <v>187</v>
      </c>
      <c r="F57" s="209" t="s">
        <v>188</v>
      </c>
      <c r="G57" s="209" t="s">
        <v>201</v>
      </c>
      <c r="H57" s="210" t="s">
        <v>213</v>
      </c>
    </row>
    <row r="58" spans="1:10" ht="13" x14ac:dyDescent="0.3">
      <c r="A58" s="126" t="s">
        <v>192</v>
      </c>
      <c r="B58" s="143">
        <v>0.53055555555555556</v>
      </c>
      <c r="C58" s="84">
        <v>0.25700000000000001</v>
      </c>
      <c r="D58" s="84">
        <v>9.6</v>
      </c>
      <c r="E58" s="84">
        <v>20.7</v>
      </c>
      <c r="F58" s="84">
        <v>9.4600000000000009</v>
      </c>
      <c r="G58" s="134">
        <v>1.4</v>
      </c>
      <c r="H58" s="84">
        <v>2.85</v>
      </c>
      <c r="I58" s="6">
        <f>AVERAGE(E58:E60)</f>
        <v>20.366666666666667</v>
      </c>
      <c r="J58" s="21" t="s">
        <v>640</v>
      </c>
    </row>
    <row r="59" spans="1:10" ht="13" x14ac:dyDescent="0.3">
      <c r="A59" s="126" t="s">
        <v>193</v>
      </c>
      <c r="B59" s="84"/>
      <c r="C59" s="84">
        <v>0.25800000000000001</v>
      </c>
      <c r="D59" s="84">
        <v>9.52</v>
      </c>
      <c r="E59" s="84">
        <v>20.3</v>
      </c>
      <c r="F59" s="84">
        <v>9.4700000000000006</v>
      </c>
      <c r="G59" s="84"/>
    </row>
    <row r="60" spans="1:10" ht="13" x14ac:dyDescent="0.3">
      <c r="A60" s="126" t="s">
        <v>194</v>
      </c>
      <c r="B60" s="84"/>
      <c r="C60" s="84">
        <v>0.26</v>
      </c>
      <c r="D60" s="84">
        <v>6.14</v>
      </c>
      <c r="E60" s="84">
        <v>20.100000000000001</v>
      </c>
      <c r="F60" s="84">
        <v>9.42</v>
      </c>
      <c r="G60" s="84"/>
    </row>
    <row r="61" spans="1:10" ht="14" x14ac:dyDescent="0.3">
      <c r="A61" s="209" t="s">
        <v>251</v>
      </c>
      <c r="B61" s="209" t="s">
        <v>184</v>
      </c>
      <c r="C61" s="209" t="s">
        <v>185</v>
      </c>
      <c r="D61" s="209" t="s">
        <v>186</v>
      </c>
      <c r="E61" s="209" t="s">
        <v>187</v>
      </c>
      <c r="F61" s="209" t="s">
        <v>188</v>
      </c>
      <c r="G61" s="209" t="s">
        <v>201</v>
      </c>
      <c r="H61" s="210" t="s">
        <v>213</v>
      </c>
    </row>
    <row r="62" spans="1:10" ht="13" x14ac:dyDescent="0.3">
      <c r="A62" s="126" t="s">
        <v>192</v>
      </c>
      <c r="B62" s="143">
        <v>0.53541666666666665</v>
      </c>
      <c r="C62" s="84">
        <v>0.25700000000000001</v>
      </c>
      <c r="D62" s="84">
        <v>9.35</v>
      </c>
      <c r="E62" s="84">
        <v>20.6</v>
      </c>
      <c r="F62" s="84">
        <v>9.42</v>
      </c>
      <c r="G62" s="134">
        <v>1.5</v>
      </c>
      <c r="H62" s="84">
        <v>6</v>
      </c>
      <c r="I62" s="6">
        <f>AVERAGE(E62:E64)</f>
        <v>20.399999999999999</v>
      </c>
      <c r="J62" s="21" t="s">
        <v>640</v>
      </c>
    </row>
    <row r="63" spans="1:10" ht="13" x14ac:dyDescent="0.3">
      <c r="A63" s="126" t="s">
        <v>193</v>
      </c>
      <c r="B63" s="84"/>
      <c r="C63" s="84">
        <v>0.25700000000000001</v>
      </c>
      <c r="D63" s="84">
        <v>9.07</v>
      </c>
      <c r="E63" s="84">
        <v>20.7</v>
      </c>
      <c r="F63" s="84">
        <v>9.4</v>
      </c>
      <c r="G63" s="84"/>
    </row>
    <row r="64" spans="1:10" ht="13" x14ac:dyDescent="0.3">
      <c r="A64" s="126" t="s">
        <v>194</v>
      </c>
      <c r="B64" s="84"/>
      <c r="C64" s="84">
        <v>0.25700000000000001</v>
      </c>
      <c r="D64" s="84">
        <v>8.86</v>
      </c>
      <c r="E64" s="84">
        <v>19.899999999999999</v>
      </c>
      <c r="F64" s="84">
        <v>9.39</v>
      </c>
      <c r="G64" s="84"/>
    </row>
    <row r="65" spans="1:7" ht="13" x14ac:dyDescent="0.3">
      <c r="A65" s="126" t="s">
        <v>195</v>
      </c>
      <c r="B65" s="84"/>
      <c r="C65" s="84">
        <v>0.25700000000000001</v>
      </c>
      <c r="D65" s="84">
        <v>8.56</v>
      </c>
      <c r="E65" s="84">
        <v>19.8</v>
      </c>
      <c r="F65" s="84">
        <v>9.35</v>
      </c>
      <c r="G65" s="84"/>
    </row>
    <row r="66" spans="1:7" ht="13" x14ac:dyDescent="0.3">
      <c r="A66" s="126" t="s">
        <v>196</v>
      </c>
      <c r="B66" s="84"/>
      <c r="C66" s="84">
        <v>0.25700000000000001</v>
      </c>
      <c r="D66" s="84">
        <v>8.5</v>
      </c>
      <c r="E66" s="84">
        <v>19.7</v>
      </c>
      <c r="F66" s="84">
        <v>9.31</v>
      </c>
      <c r="G66" s="84"/>
    </row>
    <row r="67" spans="1:7" ht="13" x14ac:dyDescent="0.3">
      <c r="A67" s="126" t="s">
        <v>197</v>
      </c>
      <c r="B67" s="84"/>
      <c r="C67" s="84">
        <v>0.255</v>
      </c>
      <c r="D67" s="84">
        <v>7.08</v>
      </c>
      <c r="E67" s="84">
        <v>19.7</v>
      </c>
      <c r="F67" s="84">
        <v>9.1999999999999993</v>
      </c>
      <c r="G67" s="84"/>
    </row>
  </sheetData>
  <mergeCells count="7">
    <mergeCell ref="G30:H30"/>
    <mergeCell ref="G32:H32"/>
    <mergeCell ref="A25:B25"/>
    <mergeCell ref="D25:E25"/>
    <mergeCell ref="G25:H25"/>
    <mergeCell ref="B28:C28"/>
    <mergeCell ref="E28:F2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66"/>
  <sheetViews>
    <sheetView workbookViewId="0">
      <selection activeCell="F4" sqref="F4:F17"/>
    </sheetView>
  </sheetViews>
  <sheetFormatPr defaultRowHeight="12.5" x14ac:dyDescent="0.25"/>
  <cols>
    <col min="1" max="1" width="15.453125" customWidth="1"/>
    <col min="4" max="4" width="11.453125" customWidth="1"/>
    <col min="7" max="7" width="11.08984375" customWidth="1"/>
    <col min="8" max="8" width="10.36328125" bestFit="1" customWidth="1"/>
    <col min="9" max="9" width="10.36328125" customWidth="1"/>
    <col min="12" max="12" width="16.36328125" bestFit="1" customWidth="1"/>
    <col min="13" max="13" width="17.90625" customWidth="1"/>
  </cols>
  <sheetData>
    <row r="1" spans="1:13" ht="14" x14ac:dyDescent="0.3">
      <c r="A1" s="135" t="s">
        <v>722</v>
      </c>
    </row>
    <row r="2" spans="1:13" ht="13" x14ac:dyDescent="0.3">
      <c r="A2" s="1" t="s">
        <v>180</v>
      </c>
      <c r="B2" s="155">
        <v>40448</v>
      </c>
      <c r="L2" s="189" t="s">
        <v>281</v>
      </c>
      <c r="M2" s="189" t="s">
        <v>283</v>
      </c>
    </row>
    <row r="3" spans="1:13" ht="14" x14ac:dyDescent="0.3">
      <c r="A3" s="209" t="s">
        <v>23</v>
      </c>
      <c r="B3" s="209" t="s">
        <v>184</v>
      </c>
      <c r="C3" s="209" t="s">
        <v>185</v>
      </c>
      <c r="D3" s="209" t="s">
        <v>186</v>
      </c>
      <c r="E3" s="209" t="s">
        <v>187</v>
      </c>
      <c r="F3" s="209" t="s">
        <v>188</v>
      </c>
      <c r="G3" s="616"/>
      <c r="L3" s="84" t="s">
        <v>291</v>
      </c>
      <c r="M3" s="464">
        <v>7</v>
      </c>
    </row>
    <row r="4" spans="1:13" ht="13" x14ac:dyDescent="0.3">
      <c r="A4" s="94" t="s">
        <v>238</v>
      </c>
      <c r="B4" s="143">
        <v>0.39930555555555558</v>
      </c>
      <c r="C4" s="84">
        <v>2.42</v>
      </c>
      <c r="D4" s="84">
        <v>8.41</v>
      </c>
      <c r="E4" s="84">
        <v>13</v>
      </c>
      <c r="F4" s="84">
        <v>7.63</v>
      </c>
      <c r="G4" s="92"/>
      <c r="L4" s="189" t="s">
        <v>282</v>
      </c>
      <c r="M4" s="464">
        <v>20</v>
      </c>
    </row>
    <row r="5" spans="1:13" ht="13" x14ac:dyDescent="0.3">
      <c r="A5" s="94" t="s">
        <v>239</v>
      </c>
      <c r="B5" s="143">
        <v>0.42499999999999999</v>
      </c>
      <c r="C5" s="84">
        <v>0.219</v>
      </c>
      <c r="D5" s="84">
        <v>8.82</v>
      </c>
      <c r="E5" s="84">
        <v>12.4</v>
      </c>
      <c r="F5" s="84">
        <v>7.99</v>
      </c>
      <c r="G5" s="92"/>
      <c r="L5" s="189" t="s">
        <v>284</v>
      </c>
      <c r="M5" s="464">
        <v>27</v>
      </c>
    </row>
    <row r="6" spans="1:13" ht="13" x14ac:dyDescent="0.3">
      <c r="A6" s="94" t="s">
        <v>240</v>
      </c>
      <c r="B6" s="143">
        <v>0.44791666666666669</v>
      </c>
      <c r="C6" s="84">
        <v>0.27400000000000002</v>
      </c>
      <c r="D6" s="84">
        <v>7.21</v>
      </c>
      <c r="E6" s="84">
        <v>17.399999999999999</v>
      </c>
      <c r="F6" s="84">
        <v>8.25</v>
      </c>
      <c r="G6" s="92"/>
      <c r="L6" s="189" t="s">
        <v>285</v>
      </c>
      <c r="M6" s="589" t="s">
        <v>642</v>
      </c>
    </row>
    <row r="7" spans="1:13" ht="14" x14ac:dyDescent="0.3">
      <c r="A7" s="94" t="s">
        <v>229</v>
      </c>
      <c r="B7" s="318" t="s">
        <v>241</v>
      </c>
      <c r="C7" s="319"/>
      <c r="D7" s="319"/>
      <c r="E7" s="319"/>
      <c r="F7" s="320"/>
      <c r="G7" s="209" t="s">
        <v>201</v>
      </c>
      <c r="H7" s="210" t="s">
        <v>213</v>
      </c>
      <c r="L7" s="189" t="s">
        <v>286</v>
      </c>
      <c r="M7" s="291">
        <v>35</v>
      </c>
    </row>
    <row r="8" spans="1:13" ht="13" x14ac:dyDescent="0.3">
      <c r="A8" s="126" t="s">
        <v>192</v>
      </c>
      <c r="B8" s="143">
        <v>0.51180555555555551</v>
      </c>
      <c r="C8" s="84">
        <v>0.26800000000000002</v>
      </c>
      <c r="D8" s="84">
        <v>7.16</v>
      </c>
      <c r="E8" s="84">
        <v>18.100000000000001</v>
      </c>
      <c r="F8" s="84">
        <v>8.36</v>
      </c>
      <c r="G8" s="134">
        <v>0.8</v>
      </c>
      <c r="H8" s="188">
        <v>10.5</v>
      </c>
      <c r="J8" s="6">
        <f>AVERAGE(D8:D17)</f>
        <v>6.5090000000000003</v>
      </c>
      <c r="K8" s="6">
        <f>AVERAGE(E8:E10)</f>
        <v>17.900000000000002</v>
      </c>
      <c r="L8" s="422" t="s">
        <v>288</v>
      </c>
      <c r="M8" s="291">
        <v>25</v>
      </c>
    </row>
    <row r="9" spans="1:13" ht="13" x14ac:dyDescent="0.3">
      <c r="A9" s="126" t="s">
        <v>193</v>
      </c>
      <c r="B9" s="84"/>
      <c r="C9" s="84">
        <v>0.26800000000000002</v>
      </c>
      <c r="D9" s="84">
        <v>6.46</v>
      </c>
      <c r="E9" s="84">
        <v>17.8</v>
      </c>
      <c r="F9" s="84">
        <v>8.35</v>
      </c>
      <c r="G9" s="92"/>
      <c r="H9" s="92"/>
      <c r="J9" s="6">
        <f>AVERAGE(D8:D13)</f>
        <v>6.6683333333333339</v>
      </c>
      <c r="L9" s="422"/>
      <c r="M9" s="291"/>
    </row>
    <row r="10" spans="1:13" ht="13" x14ac:dyDescent="0.3">
      <c r="A10" s="126" t="s">
        <v>194</v>
      </c>
      <c r="B10" s="84"/>
      <c r="C10" s="84">
        <v>0.26800000000000002</v>
      </c>
      <c r="D10" s="84">
        <v>6.65</v>
      </c>
      <c r="E10" s="84">
        <v>17.8</v>
      </c>
      <c r="F10" s="84">
        <v>8.32</v>
      </c>
      <c r="G10" s="92"/>
      <c r="H10" s="92"/>
      <c r="J10" s="6">
        <f>AVERAGE(D8:D10)</f>
        <v>6.7566666666666677</v>
      </c>
      <c r="L10" s="422" t="s">
        <v>643</v>
      </c>
      <c r="M10" s="291" t="s">
        <v>644</v>
      </c>
    </row>
    <row r="11" spans="1:13" ht="13" x14ac:dyDescent="0.3">
      <c r="A11" s="126" t="s">
        <v>195</v>
      </c>
      <c r="B11" s="84"/>
      <c r="C11" s="84">
        <v>0.26700000000000002</v>
      </c>
      <c r="D11" s="84">
        <v>6.75</v>
      </c>
      <c r="E11" s="84">
        <v>17.7</v>
      </c>
      <c r="F11" s="84">
        <v>8.3000000000000007</v>
      </c>
      <c r="G11" s="92"/>
      <c r="H11" s="92"/>
    </row>
    <row r="12" spans="1:13" ht="13" x14ac:dyDescent="0.3">
      <c r="A12" s="126" t="s">
        <v>196</v>
      </c>
      <c r="B12" s="84"/>
      <c r="C12" s="84">
        <v>0.26700000000000002</v>
      </c>
      <c r="D12" s="84">
        <v>6.54</v>
      </c>
      <c r="E12" s="89">
        <v>17.7</v>
      </c>
      <c r="F12" s="84">
        <v>8.2899999999999991</v>
      </c>
      <c r="G12" s="92"/>
      <c r="H12" s="92"/>
    </row>
    <row r="13" spans="1:13" ht="13" x14ac:dyDescent="0.3">
      <c r="A13" s="126" t="s">
        <v>197</v>
      </c>
      <c r="B13" s="84"/>
      <c r="C13" s="84">
        <v>0.26700000000000002</v>
      </c>
      <c r="D13" s="84">
        <v>6.45</v>
      </c>
      <c r="E13" s="84">
        <v>17.7</v>
      </c>
      <c r="F13" s="84">
        <v>8.3000000000000007</v>
      </c>
      <c r="G13" s="92"/>
      <c r="H13" s="92"/>
    </row>
    <row r="14" spans="1:13" ht="13" x14ac:dyDescent="0.3">
      <c r="A14" s="126" t="s">
        <v>198</v>
      </c>
      <c r="B14" s="84"/>
      <c r="C14" s="84">
        <v>0.26700000000000002</v>
      </c>
      <c r="D14" s="84">
        <v>6.59</v>
      </c>
      <c r="E14" s="84">
        <v>17.600000000000001</v>
      </c>
      <c r="F14" s="84">
        <v>8.2899999999999991</v>
      </c>
      <c r="G14" s="92"/>
      <c r="H14" s="92"/>
    </row>
    <row r="15" spans="1:13" ht="13" x14ac:dyDescent="0.3">
      <c r="A15" s="126" t="s">
        <v>199</v>
      </c>
      <c r="B15" s="84"/>
      <c r="C15" s="84">
        <v>0.26700000000000002</v>
      </c>
      <c r="D15" s="84">
        <v>6.55</v>
      </c>
      <c r="E15" s="84">
        <v>17.600000000000001</v>
      </c>
      <c r="F15" s="84">
        <v>8.2899999999999991</v>
      </c>
      <c r="G15" s="92"/>
      <c r="H15" s="92"/>
    </row>
    <row r="16" spans="1:13" ht="13" x14ac:dyDescent="0.3">
      <c r="A16" s="126" t="s">
        <v>200</v>
      </c>
      <c r="B16" s="84"/>
      <c r="C16" s="84">
        <v>0.26700000000000002</v>
      </c>
      <c r="D16" s="84">
        <v>6.08</v>
      </c>
      <c r="E16" s="84">
        <v>17.600000000000001</v>
      </c>
      <c r="F16" s="84">
        <v>8.25</v>
      </c>
      <c r="G16" s="92"/>
      <c r="H16" s="92"/>
    </row>
    <row r="17" spans="1:14" ht="13" x14ac:dyDescent="0.3">
      <c r="A17" s="126" t="s">
        <v>227</v>
      </c>
      <c r="B17" s="84"/>
      <c r="C17" s="84">
        <v>0.26500000000000001</v>
      </c>
      <c r="D17" s="84">
        <v>5.86</v>
      </c>
      <c r="E17" s="84">
        <v>17.7</v>
      </c>
      <c r="F17" s="470">
        <v>8.17</v>
      </c>
      <c r="G17" s="92"/>
      <c r="H17" s="92"/>
    </row>
    <row r="18" spans="1:14" ht="13" x14ac:dyDescent="0.3">
      <c r="A18" s="208"/>
      <c r="B18" s="92"/>
      <c r="C18" s="92"/>
      <c r="D18" s="92"/>
      <c r="E18" s="92"/>
      <c r="F18" s="92"/>
      <c r="G18" s="92"/>
    </row>
    <row r="19" spans="1:14" ht="13" x14ac:dyDescent="0.3">
      <c r="A19" s="126" t="s">
        <v>230</v>
      </c>
      <c r="B19" s="143">
        <v>0.4597222222222222</v>
      </c>
      <c r="C19" s="84">
        <v>1.29</v>
      </c>
      <c r="D19" s="84">
        <v>7.29</v>
      </c>
      <c r="E19" s="84">
        <v>11.6</v>
      </c>
      <c r="F19" s="84">
        <v>7.97</v>
      </c>
      <c r="G19" s="189" t="s">
        <v>757</v>
      </c>
      <c r="H19" s="21"/>
    </row>
    <row r="20" spans="1:14" ht="13" x14ac:dyDescent="0.3">
      <c r="A20" s="279" t="s">
        <v>231</v>
      </c>
      <c r="B20" s="143">
        <v>0.46666666666666662</v>
      </c>
      <c r="C20" s="84">
        <v>1.25</v>
      </c>
      <c r="D20" s="84">
        <v>10.11</v>
      </c>
      <c r="E20" s="84">
        <v>13.1</v>
      </c>
      <c r="F20" s="84">
        <v>8.1999999999999993</v>
      </c>
      <c r="G20" s="189" t="s">
        <v>758</v>
      </c>
      <c r="H20" s="21"/>
    </row>
    <row r="21" spans="1:14" x14ac:dyDescent="0.25">
      <c r="A21" s="131" t="s">
        <v>11</v>
      </c>
      <c r="B21" s="228" t="s">
        <v>641</v>
      </c>
      <c r="C21" s="132"/>
      <c r="D21" s="132"/>
      <c r="E21" s="132"/>
      <c r="F21" s="132"/>
      <c r="G21" s="132"/>
    </row>
    <row r="22" spans="1:14" x14ac:dyDescent="0.25">
      <c r="A22" s="144"/>
      <c r="B22" s="229"/>
      <c r="C22" s="133"/>
      <c r="D22" s="133"/>
      <c r="E22" s="133"/>
      <c r="F22" s="133"/>
      <c r="G22" s="133"/>
    </row>
    <row r="23" spans="1:14" x14ac:dyDescent="0.25">
      <c r="A23" s="144"/>
      <c r="B23" s="133"/>
      <c r="C23" s="133"/>
      <c r="D23" s="133"/>
      <c r="E23" s="133"/>
      <c r="F23" s="133"/>
      <c r="G23" s="133"/>
    </row>
    <row r="25" spans="1:14" ht="24" x14ac:dyDescent="0.35">
      <c r="A25" s="853" t="s">
        <v>130</v>
      </c>
      <c r="B25" s="853"/>
      <c r="C25" s="276"/>
      <c r="D25" s="853" t="s">
        <v>133</v>
      </c>
      <c r="E25" s="853"/>
      <c r="F25" s="137"/>
      <c r="G25" s="849" t="s">
        <v>34</v>
      </c>
      <c r="H25" s="849"/>
      <c r="J25" s="141" t="s">
        <v>204</v>
      </c>
      <c r="K25" s="141" t="s">
        <v>205</v>
      </c>
      <c r="L25" s="142" t="s">
        <v>206</v>
      </c>
      <c r="M25" s="141" t="s">
        <v>207</v>
      </c>
      <c r="N25" s="142" t="s">
        <v>208</v>
      </c>
    </row>
    <row r="26" spans="1:14" ht="15.5" x14ac:dyDescent="0.35">
      <c r="A26" s="162" t="s">
        <v>184</v>
      </c>
      <c r="B26" s="273">
        <v>0.39930555555555558</v>
      </c>
      <c r="C26" s="274"/>
      <c r="D26" s="162" t="s">
        <v>184</v>
      </c>
      <c r="E26" s="278">
        <v>0.42499999999999999</v>
      </c>
      <c r="F26" s="278"/>
      <c r="G26" s="162" t="s">
        <v>184</v>
      </c>
      <c r="H26" s="278">
        <v>0.44791666666666669</v>
      </c>
      <c r="J26" s="138">
        <v>2</v>
      </c>
      <c r="K26" s="138">
        <v>0.28000000000000003</v>
      </c>
      <c r="L26" s="138">
        <v>0.89</v>
      </c>
      <c r="M26" s="138">
        <f>K26*2.3</f>
        <v>0.64400000000000002</v>
      </c>
      <c r="N26" s="139">
        <f>L26*M26</f>
        <v>0.57316</v>
      </c>
    </row>
    <row r="27" spans="1:14" ht="16" thickBot="1" x14ac:dyDescent="0.4">
      <c r="A27" s="162" t="s">
        <v>202</v>
      </c>
      <c r="B27" s="275">
        <v>5</v>
      </c>
      <c r="C27" s="275"/>
      <c r="D27" s="162" t="s">
        <v>202</v>
      </c>
      <c r="E27" s="277">
        <v>18</v>
      </c>
      <c r="F27" s="277"/>
      <c r="G27" s="162" t="s">
        <v>202</v>
      </c>
      <c r="H27" s="277">
        <v>50</v>
      </c>
      <c r="J27" s="138">
        <v>4</v>
      </c>
      <c r="K27" s="138">
        <v>0.92</v>
      </c>
      <c r="L27" s="138">
        <v>0.95</v>
      </c>
      <c r="M27" s="138">
        <f t="shared" ref="M27:M33" si="0">K27*2</f>
        <v>1.84</v>
      </c>
      <c r="N27" s="139">
        <f t="shared" ref="N27:N33" si="1">L27*M27</f>
        <v>1.748</v>
      </c>
    </row>
    <row r="28" spans="1:14" ht="16" thickBot="1" x14ac:dyDescent="0.4">
      <c r="A28" s="165" t="s">
        <v>203</v>
      </c>
      <c r="B28" s="852" t="s">
        <v>645</v>
      </c>
      <c r="C28" s="852"/>
      <c r="D28" s="163" t="s">
        <v>203</v>
      </c>
      <c r="E28" s="854" t="s">
        <v>646</v>
      </c>
      <c r="F28" s="854"/>
      <c r="G28" s="163" t="s">
        <v>203</v>
      </c>
      <c r="H28" s="166" t="s">
        <v>647</v>
      </c>
      <c r="J28" s="138">
        <v>6</v>
      </c>
      <c r="K28" s="138">
        <v>0.78</v>
      </c>
      <c r="L28" s="138">
        <v>0.28000000000000003</v>
      </c>
      <c r="M28" s="138">
        <f t="shared" si="0"/>
        <v>1.56</v>
      </c>
      <c r="N28" s="139">
        <f t="shared" si="1"/>
        <v>0.43680000000000008</v>
      </c>
    </row>
    <row r="29" spans="1:14" ht="24" x14ac:dyDescent="0.35">
      <c r="A29" s="159" t="s">
        <v>204</v>
      </c>
      <c r="B29" s="159" t="s">
        <v>205</v>
      </c>
      <c r="C29" s="161" t="s">
        <v>206</v>
      </c>
      <c r="D29" s="159" t="s">
        <v>204</v>
      </c>
      <c r="E29" s="159" t="s">
        <v>243</v>
      </c>
      <c r="F29" s="161" t="s">
        <v>211</v>
      </c>
      <c r="G29" s="159" t="s">
        <v>205</v>
      </c>
      <c r="H29" s="161" t="s">
        <v>206</v>
      </c>
      <c r="J29" s="138">
        <v>8</v>
      </c>
      <c r="K29" s="138">
        <v>0.65</v>
      </c>
      <c r="L29" s="138">
        <v>0.5</v>
      </c>
      <c r="M29" s="138">
        <f t="shared" si="0"/>
        <v>1.3</v>
      </c>
      <c r="N29" s="139">
        <f t="shared" si="1"/>
        <v>0.65</v>
      </c>
    </row>
    <row r="30" spans="1:14" ht="15.5" x14ac:dyDescent="0.35">
      <c r="A30" s="160">
        <v>2</v>
      </c>
      <c r="B30" s="138">
        <v>0.38</v>
      </c>
      <c r="C30" s="138">
        <v>0.39</v>
      </c>
      <c r="D30" s="160" t="s">
        <v>234</v>
      </c>
      <c r="E30" s="138">
        <v>3.69</v>
      </c>
      <c r="F30" s="138"/>
      <c r="G30" s="849" t="s">
        <v>34</v>
      </c>
      <c r="H30" s="849"/>
      <c r="J30" s="230">
        <v>10</v>
      </c>
      <c r="K30" s="140">
        <v>0.72</v>
      </c>
      <c r="L30" s="138">
        <v>0.45</v>
      </c>
      <c r="M30" s="138">
        <f t="shared" si="0"/>
        <v>1.44</v>
      </c>
      <c r="N30" s="139">
        <f t="shared" si="1"/>
        <v>0.64800000000000002</v>
      </c>
    </row>
    <row r="31" spans="1:14" ht="15.5" x14ac:dyDescent="0.35">
      <c r="A31" s="160">
        <v>4</v>
      </c>
      <c r="B31" s="138">
        <v>0.25</v>
      </c>
      <c r="C31" s="138">
        <v>0.44</v>
      </c>
      <c r="D31" s="160">
        <v>2</v>
      </c>
      <c r="E31" s="138">
        <v>0.5</v>
      </c>
      <c r="F31" s="138">
        <v>0.3</v>
      </c>
      <c r="G31" s="138">
        <v>0.06</v>
      </c>
      <c r="H31" s="139">
        <v>1.06</v>
      </c>
      <c r="I31" s="612">
        <v>3.18</v>
      </c>
      <c r="J31" s="138">
        <v>12</v>
      </c>
      <c r="K31" s="140">
        <v>0.55000000000000004</v>
      </c>
      <c r="L31" s="140">
        <v>0.6</v>
      </c>
      <c r="M31" s="138">
        <f t="shared" si="0"/>
        <v>1.1000000000000001</v>
      </c>
      <c r="N31" s="615">
        <f t="shared" si="1"/>
        <v>0.66</v>
      </c>
    </row>
    <row r="32" spans="1:14" ht="15.5" x14ac:dyDescent="0.35">
      <c r="A32" s="160">
        <v>6</v>
      </c>
      <c r="B32" s="138"/>
      <c r="C32" s="138"/>
      <c r="D32" s="160">
        <v>4</v>
      </c>
      <c r="E32" s="138">
        <v>0.92</v>
      </c>
      <c r="F32" s="138">
        <v>0.95</v>
      </c>
      <c r="G32" s="850" t="s">
        <v>214</v>
      </c>
      <c r="H32" s="851"/>
      <c r="J32" s="140">
        <v>14</v>
      </c>
      <c r="K32" s="140">
        <v>0.45</v>
      </c>
      <c r="L32" s="140">
        <v>0.56999999999999995</v>
      </c>
      <c r="M32" s="138">
        <f t="shared" si="0"/>
        <v>0.9</v>
      </c>
      <c r="N32" s="615">
        <f t="shared" si="1"/>
        <v>0.51300000000000001</v>
      </c>
    </row>
    <row r="33" spans="1:14" ht="15.5" x14ac:dyDescent="0.35">
      <c r="A33" s="160">
        <v>8</v>
      </c>
      <c r="B33" s="138"/>
      <c r="C33" s="138"/>
      <c r="D33" s="160">
        <v>6</v>
      </c>
      <c r="E33" s="138">
        <v>0.78</v>
      </c>
      <c r="F33" s="138">
        <v>0.28000000000000003</v>
      </c>
      <c r="G33" s="138" t="s">
        <v>648</v>
      </c>
      <c r="H33" s="139">
        <v>0.74</v>
      </c>
      <c r="I33" s="614">
        <v>0.67</v>
      </c>
      <c r="J33" s="138">
        <v>16</v>
      </c>
      <c r="K33" s="140">
        <v>0.48</v>
      </c>
      <c r="L33" s="140">
        <v>0.33</v>
      </c>
      <c r="M33" s="138">
        <f t="shared" si="0"/>
        <v>0.96</v>
      </c>
      <c r="N33" s="615">
        <f t="shared" si="1"/>
        <v>0.31680000000000003</v>
      </c>
    </row>
    <row r="34" spans="1:14" ht="15.5" x14ac:dyDescent="0.35">
      <c r="A34" s="160">
        <v>10</v>
      </c>
      <c r="B34" s="138"/>
      <c r="C34" s="138"/>
      <c r="D34" s="160">
        <v>8</v>
      </c>
      <c r="E34" s="138">
        <v>0.65</v>
      </c>
      <c r="F34" s="138">
        <v>0.5</v>
      </c>
      <c r="G34" s="138" t="s">
        <v>215</v>
      </c>
      <c r="H34" s="139"/>
      <c r="J34" s="140">
        <v>18</v>
      </c>
      <c r="K34" s="84"/>
      <c r="L34" s="84"/>
      <c r="M34" s="84"/>
      <c r="N34" s="6">
        <f>SUM(N26:N33)</f>
        <v>5.5457599999999996</v>
      </c>
    </row>
    <row r="35" spans="1:14" ht="15.5" x14ac:dyDescent="0.35">
      <c r="A35" s="128"/>
      <c r="B35" s="138"/>
      <c r="C35" s="138"/>
      <c r="D35" s="468">
        <v>10</v>
      </c>
      <c r="E35" s="140">
        <v>0.72</v>
      </c>
      <c r="F35" s="138">
        <v>0.45</v>
      </c>
      <c r="G35" s="138" t="s">
        <v>649</v>
      </c>
      <c r="H35" s="139">
        <v>0.89</v>
      </c>
      <c r="I35" s="614">
        <v>0.56999999999999995</v>
      </c>
    </row>
    <row r="36" spans="1:14" ht="15.5" x14ac:dyDescent="0.35">
      <c r="C36" s="612">
        <v>0.63</v>
      </c>
      <c r="D36" s="468">
        <v>12</v>
      </c>
      <c r="E36" s="230">
        <v>0.55000000000000004</v>
      </c>
      <c r="F36" s="230">
        <v>0.6</v>
      </c>
    </row>
    <row r="37" spans="1:14" ht="15.5" x14ac:dyDescent="0.35">
      <c r="D37" s="468">
        <v>14</v>
      </c>
      <c r="E37" s="467">
        <v>0.45</v>
      </c>
      <c r="F37" s="467">
        <v>0.56999999999999995</v>
      </c>
    </row>
    <row r="38" spans="1:14" ht="15.5" x14ac:dyDescent="0.35">
      <c r="D38" s="417">
        <v>16</v>
      </c>
      <c r="E38" s="467">
        <v>0.48</v>
      </c>
      <c r="F38" s="467">
        <v>0.33</v>
      </c>
    </row>
    <row r="39" spans="1:14" ht="15.5" x14ac:dyDescent="0.35">
      <c r="E39" s="467"/>
      <c r="F39" s="613">
        <v>5.27</v>
      </c>
    </row>
    <row r="40" spans="1:14" ht="14" x14ac:dyDescent="0.3">
      <c r="A40" s="135" t="s">
        <v>232</v>
      </c>
      <c r="C40" s="11" t="s">
        <v>233</v>
      </c>
      <c r="D40" s="155">
        <v>40448</v>
      </c>
    </row>
    <row r="41" spans="1:14" ht="14" x14ac:dyDescent="0.3">
      <c r="A41" s="209" t="s">
        <v>248</v>
      </c>
      <c r="B41" s="209" t="s">
        <v>184</v>
      </c>
      <c r="C41" s="209" t="s">
        <v>185</v>
      </c>
      <c r="D41" s="209" t="s">
        <v>186</v>
      </c>
      <c r="E41" s="209" t="s">
        <v>187</v>
      </c>
      <c r="F41" s="469" t="s">
        <v>188</v>
      </c>
      <c r="G41" s="465" t="s">
        <v>201</v>
      </c>
      <c r="H41" s="210" t="s">
        <v>213</v>
      </c>
      <c r="J41" s="471" t="s">
        <v>186</v>
      </c>
      <c r="K41" s="471" t="s">
        <v>187</v>
      </c>
      <c r="L41" s="522" t="s">
        <v>766</v>
      </c>
      <c r="M41" s="6">
        <f>AVERAGE(D42:D44,D51:D53,D57:D59,D61:D63,D8:D10)</f>
        <v>6.992</v>
      </c>
    </row>
    <row r="42" spans="1:14" ht="13" x14ac:dyDescent="0.3">
      <c r="A42" s="126" t="s">
        <v>192</v>
      </c>
      <c r="B42" s="143">
        <v>0.52222222222222225</v>
      </c>
      <c r="C42" s="84">
        <v>0.26800000000000002</v>
      </c>
      <c r="D42" s="84">
        <v>6.81</v>
      </c>
      <c r="E42" s="84">
        <v>18</v>
      </c>
      <c r="F42" s="470">
        <v>8.36</v>
      </c>
      <c r="G42" s="134">
        <v>0.95</v>
      </c>
      <c r="H42" s="84">
        <v>7.95</v>
      </c>
      <c r="J42" s="6">
        <f>AVERAGE(D42:D49)</f>
        <v>6.2112500000000015</v>
      </c>
      <c r="K42" s="6">
        <f>AVERAGE(E42:E44)</f>
        <v>17.866666666666664</v>
      </c>
    </row>
    <row r="43" spans="1:14" ht="13" x14ac:dyDescent="0.3">
      <c r="A43" s="126" t="s">
        <v>193</v>
      </c>
      <c r="B43" s="84"/>
      <c r="C43" s="84">
        <v>0.26800000000000002</v>
      </c>
      <c r="D43" s="84">
        <v>6.61</v>
      </c>
      <c r="E43" s="84">
        <v>17.8</v>
      </c>
      <c r="F43" s="470">
        <v>8.35</v>
      </c>
      <c r="G43" s="84"/>
      <c r="H43" s="92"/>
      <c r="J43" s="6">
        <f>AVERAGE(D42:D44)</f>
        <v>6.623333333333334</v>
      </c>
    </row>
    <row r="44" spans="1:14" ht="13" x14ac:dyDescent="0.3">
      <c r="A44" s="126" t="s">
        <v>194</v>
      </c>
      <c r="B44" s="84"/>
      <c r="C44" s="84">
        <v>0.26800000000000002</v>
      </c>
      <c r="D44" s="84">
        <v>6.45</v>
      </c>
      <c r="E44" s="84">
        <v>17.8</v>
      </c>
      <c r="F44" s="470">
        <v>8.35</v>
      </c>
      <c r="G44" s="84"/>
      <c r="H44" s="92"/>
    </row>
    <row r="45" spans="1:14" ht="13" x14ac:dyDescent="0.3">
      <c r="A45" s="126" t="s">
        <v>195</v>
      </c>
      <c r="B45" s="84"/>
      <c r="C45" s="84">
        <v>0.26800000000000002</v>
      </c>
      <c r="D45" s="84">
        <v>6.43</v>
      </c>
      <c r="E45" s="84">
        <v>17.7</v>
      </c>
      <c r="F45" s="470">
        <v>8.34</v>
      </c>
      <c r="G45" s="84"/>
      <c r="H45" s="92"/>
    </row>
    <row r="46" spans="1:14" ht="13" x14ac:dyDescent="0.3">
      <c r="A46" s="126" t="s">
        <v>196</v>
      </c>
      <c r="B46" s="84"/>
      <c r="C46" s="84">
        <v>0.26800000000000002</v>
      </c>
      <c r="D46" s="84">
        <v>6.36</v>
      </c>
      <c r="E46" s="84">
        <v>17.7</v>
      </c>
      <c r="F46" s="470">
        <v>8.31</v>
      </c>
      <c r="G46" s="84"/>
      <c r="H46" s="92"/>
    </row>
    <row r="47" spans="1:14" ht="13" x14ac:dyDescent="0.3">
      <c r="A47" s="126" t="s">
        <v>197</v>
      </c>
      <c r="B47" s="84"/>
      <c r="C47" s="84">
        <v>0.26800000000000002</v>
      </c>
      <c r="D47" s="84">
        <v>6.17</v>
      </c>
      <c r="E47" s="84">
        <v>17.7</v>
      </c>
      <c r="F47" s="470">
        <v>8.2899999999999991</v>
      </c>
      <c r="G47" s="84"/>
      <c r="H47" s="92"/>
    </row>
    <row r="48" spans="1:14" ht="13" x14ac:dyDescent="0.3">
      <c r="A48" s="126" t="s">
        <v>198</v>
      </c>
      <c r="B48" s="84"/>
      <c r="C48" s="84">
        <v>0.26900000000000002</v>
      </c>
      <c r="D48" s="84">
        <v>5.91</v>
      </c>
      <c r="E48" s="84">
        <v>17.7</v>
      </c>
      <c r="F48" s="470">
        <v>8.2200000000000006</v>
      </c>
      <c r="G48" s="84"/>
      <c r="H48" s="92"/>
    </row>
    <row r="49" spans="1:11" ht="13" x14ac:dyDescent="0.3">
      <c r="A49" s="126" t="s">
        <v>199</v>
      </c>
      <c r="B49" s="84"/>
      <c r="C49" s="84">
        <v>0.27</v>
      </c>
      <c r="D49" s="84">
        <v>4.95</v>
      </c>
      <c r="E49" s="84">
        <v>17.600000000000001</v>
      </c>
      <c r="F49" s="470">
        <v>8.1199999999999992</v>
      </c>
      <c r="G49" s="84"/>
      <c r="H49" s="92"/>
    </row>
    <row r="50" spans="1:11" ht="14" x14ac:dyDescent="0.3">
      <c r="A50" s="209" t="s">
        <v>249</v>
      </c>
      <c r="B50" s="209" t="s">
        <v>184</v>
      </c>
      <c r="C50" s="209" t="s">
        <v>185</v>
      </c>
      <c r="D50" s="209" t="s">
        <v>186</v>
      </c>
      <c r="E50" s="209" t="s">
        <v>187</v>
      </c>
      <c r="F50" s="469" t="s">
        <v>188</v>
      </c>
      <c r="G50" s="465" t="s">
        <v>201</v>
      </c>
      <c r="H50" s="210" t="s">
        <v>213</v>
      </c>
    </row>
    <row r="51" spans="1:11" ht="13" x14ac:dyDescent="0.3">
      <c r="A51" s="126" t="s">
        <v>192</v>
      </c>
      <c r="B51" s="143">
        <v>0.52916666666666667</v>
      </c>
      <c r="C51" s="84">
        <v>0.26800000000000002</v>
      </c>
      <c r="D51" s="84">
        <v>7.17</v>
      </c>
      <c r="E51" s="84">
        <v>18.2</v>
      </c>
      <c r="F51" s="470">
        <v>8.43</v>
      </c>
      <c r="G51" s="134">
        <v>1</v>
      </c>
      <c r="H51" s="84">
        <v>5</v>
      </c>
      <c r="J51" s="6">
        <f>AVERAGE(D51:D55)</f>
        <v>6.6440000000000001</v>
      </c>
      <c r="K51" s="6">
        <f>AVERAGE(E51:E53)</f>
        <v>17.966666666666665</v>
      </c>
    </row>
    <row r="52" spans="1:11" ht="13" x14ac:dyDescent="0.3">
      <c r="A52" s="126" t="s">
        <v>193</v>
      </c>
      <c r="B52" s="84"/>
      <c r="C52" s="84">
        <v>0.26800000000000002</v>
      </c>
      <c r="D52" s="84">
        <v>6.49</v>
      </c>
      <c r="E52" s="84">
        <v>17.899999999999999</v>
      </c>
      <c r="F52" s="470">
        <v>8.4499999999999993</v>
      </c>
      <c r="G52" s="84"/>
      <c r="H52" s="92"/>
      <c r="J52" s="6">
        <f>AVERAGE(D51:D53)</f>
        <v>6.8033333333333337</v>
      </c>
    </row>
    <row r="53" spans="1:11" ht="13" x14ac:dyDescent="0.3">
      <c r="A53" s="126" t="s">
        <v>194</v>
      </c>
      <c r="B53" s="84"/>
      <c r="C53" s="84">
        <v>0.26800000000000002</v>
      </c>
      <c r="D53" s="84">
        <v>6.75</v>
      </c>
      <c r="E53" s="84">
        <v>17.8</v>
      </c>
      <c r="F53" s="470">
        <v>8.4</v>
      </c>
      <c r="G53" s="84"/>
      <c r="H53" s="92"/>
    </row>
    <row r="54" spans="1:11" ht="13" x14ac:dyDescent="0.3">
      <c r="A54" s="126" t="s">
        <v>195</v>
      </c>
      <c r="B54" s="84"/>
      <c r="C54" s="84">
        <v>0.26800000000000002</v>
      </c>
      <c r="D54" s="84">
        <v>6.64</v>
      </c>
      <c r="E54" s="84">
        <v>17.8</v>
      </c>
      <c r="F54" s="470">
        <v>8.4</v>
      </c>
      <c r="G54" s="84"/>
      <c r="H54" s="92"/>
    </row>
    <row r="55" spans="1:11" ht="13" x14ac:dyDescent="0.3">
      <c r="A55" s="126" t="s">
        <v>196</v>
      </c>
      <c r="B55" s="84"/>
      <c r="C55" s="84">
        <v>0.26800000000000002</v>
      </c>
      <c r="D55" s="84">
        <v>6.17</v>
      </c>
      <c r="E55" s="280">
        <v>17.7</v>
      </c>
      <c r="F55" s="470">
        <v>8.33</v>
      </c>
      <c r="G55" s="84"/>
      <c r="H55" s="92"/>
    </row>
    <row r="56" spans="1:11" ht="14" x14ac:dyDescent="0.3">
      <c r="A56" s="209" t="s">
        <v>250</v>
      </c>
      <c r="B56" s="209" t="s">
        <v>184</v>
      </c>
      <c r="C56" s="209" t="s">
        <v>185</v>
      </c>
      <c r="D56" s="209" t="s">
        <v>186</v>
      </c>
      <c r="E56" s="209" t="s">
        <v>187</v>
      </c>
      <c r="F56" s="469" t="s">
        <v>188</v>
      </c>
      <c r="G56" s="465" t="s">
        <v>201</v>
      </c>
      <c r="H56" s="210" t="s">
        <v>213</v>
      </c>
    </row>
    <row r="57" spans="1:11" ht="13" x14ac:dyDescent="0.3">
      <c r="A57" s="126" t="s">
        <v>192</v>
      </c>
      <c r="B57" s="143">
        <v>0.53611111111111109</v>
      </c>
      <c r="C57" s="84">
        <v>0.26800000000000002</v>
      </c>
      <c r="D57" s="84">
        <v>7.88</v>
      </c>
      <c r="E57" s="84">
        <v>18.399999999999999</v>
      </c>
      <c r="F57" s="470">
        <v>8.6199999999999992</v>
      </c>
      <c r="G57" s="134">
        <v>0.85</v>
      </c>
      <c r="H57" s="84">
        <v>3.2</v>
      </c>
      <c r="J57" s="6">
        <f>AVERAGE(D57:D63)</f>
        <v>7.3883333333333328</v>
      </c>
      <c r="K57" s="6">
        <f>AVERAGE(E57:E59)</f>
        <v>18.333333333333332</v>
      </c>
    </row>
    <row r="58" spans="1:11" ht="13" x14ac:dyDescent="0.3">
      <c r="A58" s="126" t="s">
        <v>193</v>
      </c>
      <c r="B58" s="84"/>
      <c r="C58" s="84">
        <v>0.26800000000000002</v>
      </c>
      <c r="D58" s="84">
        <v>7.49</v>
      </c>
      <c r="E58" s="84">
        <v>18.3</v>
      </c>
      <c r="F58" s="470">
        <v>8.59</v>
      </c>
      <c r="G58" s="84"/>
      <c r="H58" s="92"/>
      <c r="J58" s="6">
        <f>AVERAGE(D57:D59)</f>
        <v>7.6066666666666665</v>
      </c>
    </row>
    <row r="59" spans="1:11" ht="13" x14ac:dyDescent="0.3">
      <c r="A59" s="126" t="s">
        <v>194</v>
      </c>
      <c r="B59" s="84"/>
      <c r="C59" s="84">
        <v>0.26900000000000002</v>
      </c>
      <c r="D59" s="84">
        <v>7.45</v>
      </c>
      <c r="E59" s="84">
        <v>18.3</v>
      </c>
      <c r="F59" s="470">
        <v>8.59</v>
      </c>
      <c r="G59" s="84"/>
      <c r="H59" s="92"/>
    </row>
    <row r="60" spans="1:11" ht="14" x14ac:dyDescent="0.3">
      <c r="A60" s="209" t="s">
        <v>251</v>
      </c>
      <c r="B60" s="209" t="s">
        <v>184</v>
      </c>
      <c r="C60" s="209" t="s">
        <v>185</v>
      </c>
      <c r="D60" s="209" t="s">
        <v>186</v>
      </c>
      <c r="E60" s="209" t="s">
        <v>187</v>
      </c>
      <c r="F60" s="469" t="s">
        <v>188</v>
      </c>
      <c r="G60" s="465" t="s">
        <v>201</v>
      </c>
      <c r="H60" s="210" t="s">
        <v>213</v>
      </c>
    </row>
    <row r="61" spans="1:11" ht="13" x14ac:dyDescent="0.3">
      <c r="A61" s="126" t="s">
        <v>192</v>
      </c>
      <c r="B61" s="143">
        <v>4.1666666666666664E-2</v>
      </c>
      <c r="C61" s="84">
        <v>0.26700000000000002</v>
      </c>
      <c r="D61" s="84">
        <v>7.18</v>
      </c>
      <c r="E61" s="84">
        <v>18.2</v>
      </c>
      <c r="F61" s="470">
        <v>8.5299999999999994</v>
      </c>
      <c r="G61" s="134">
        <v>0.9</v>
      </c>
      <c r="H61" s="84">
        <v>6.3</v>
      </c>
      <c r="J61" s="6">
        <f>AVERAGE(D61:D69)</f>
        <v>7.0883333333333338</v>
      </c>
      <c r="K61" s="6">
        <f>AVERAGE(E61:E63)</f>
        <v>18.2</v>
      </c>
    </row>
    <row r="62" spans="1:11" ht="13" x14ac:dyDescent="0.3">
      <c r="A62" s="126" t="s">
        <v>193</v>
      </c>
      <c r="B62" s="84"/>
      <c r="C62" s="84">
        <v>0.26700000000000002</v>
      </c>
      <c r="D62" s="84">
        <v>7.25</v>
      </c>
      <c r="E62" s="84">
        <v>18.2</v>
      </c>
      <c r="F62" s="470">
        <v>8.56</v>
      </c>
      <c r="G62" s="84"/>
      <c r="H62" s="92"/>
      <c r="J62" s="6">
        <f>AVERAGE(D61:D63)</f>
        <v>7.169999999999999</v>
      </c>
    </row>
    <row r="63" spans="1:11" ht="13" x14ac:dyDescent="0.3">
      <c r="A63" s="126" t="s">
        <v>194</v>
      </c>
      <c r="B63" s="84"/>
      <c r="C63" s="84">
        <v>0.26700000000000002</v>
      </c>
      <c r="D63" s="84">
        <v>7.08</v>
      </c>
      <c r="E63" s="84">
        <v>18.2</v>
      </c>
      <c r="F63" s="470">
        <v>8.58</v>
      </c>
      <c r="G63" s="84"/>
      <c r="H63" s="92"/>
    </row>
    <row r="64" spans="1:11" ht="13" x14ac:dyDescent="0.3">
      <c r="A64" s="126" t="s">
        <v>195</v>
      </c>
      <c r="B64" s="84"/>
      <c r="C64" s="84">
        <v>0.26700000000000002</v>
      </c>
      <c r="D64" s="84">
        <v>7.26</v>
      </c>
      <c r="E64" s="84">
        <v>18.100000000000001</v>
      </c>
      <c r="F64" s="470">
        <v>8.57</v>
      </c>
      <c r="G64" s="84"/>
      <c r="H64" s="92"/>
    </row>
    <row r="65" spans="1:8" ht="13" x14ac:dyDescent="0.3">
      <c r="A65" s="126" t="s">
        <v>196</v>
      </c>
      <c r="B65" s="84"/>
      <c r="C65" s="84">
        <v>0.26700000000000002</v>
      </c>
      <c r="D65" s="84">
        <v>7.28</v>
      </c>
      <c r="E65" s="84">
        <v>18</v>
      </c>
      <c r="F65" s="470">
        <v>8.56</v>
      </c>
      <c r="G65" s="84"/>
      <c r="H65" s="92"/>
    </row>
    <row r="66" spans="1:8" ht="13" x14ac:dyDescent="0.3">
      <c r="A66" s="126" t="s">
        <v>197</v>
      </c>
      <c r="B66" s="84"/>
      <c r="C66" s="84">
        <v>0.26500000000000001</v>
      </c>
      <c r="D66" s="84">
        <v>6.48</v>
      </c>
      <c r="E66" s="84">
        <v>17.5</v>
      </c>
      <c r="F66" s="470">
        <v>8.51</v>
      </c>
      <c r="G66" s="84"/>
      <c r="H66" s="92"/>
    </row>
  </sheetData>
  <mergeCells count="7">
    <mergeCell ref="G30:H30"/>
    <mergeCell ref="G32:H32"/>
    <mergeCell ref="A25:B25"/>
    <mergeCell ref="D25:E25"/>
    <mergeCell ref="G25:H25"/>
    <mergeCell ref="B28:C28"/>
    <mergeCell ref="E28:F28"/>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78"/>
  <sheetViews>
    <sheetView topLeftCell="A4" workbookViewId="0">
      <selection activeCell="C28" sqref="C28"/>
    </sheetView>
  </sheetViews>
  <sheetFormatPr defaultRowHeight="12.5" x14ac:dyDescent="0.25"/>
  <cols>
    <col min="1" max="1" width="18.90625" customWidth="1"/>
    <col min="2" max="2" width="10.08984375" bestFit="1" customWidth="1"/>
    <col min="4" max="4" width="10.08984375" bestFit="1" customWidth="1"/>
    <col min="7" max="7" width="9.90625" customWidth="1"/>
    <col min="8" max="8" width="14.54296875" customWidth="1"/>
    <col min="12" max="12" width="16.36328125" bestFit="1" customWidth="1"/>
    <col min="13" max="13" width="15.90625" bestFit="1" customWidth="1"/>
  </cols>
  <sheetData>
    <row r="1" spans="1:13" ht="14" x14ac:dyDescent="0.3">
      <c r="A1" s="135" t="s">
        <v>503</v>
      </c>
    </row>
    <row r="2" spans="1:13" ht="13" x14ac:dyDescent="0.3">
      <c r="A2" s="1" t="s">
        <v>180</v>
      </c>
      <c r="B2" s="155">
        <v>40476</v>
      </c>
      <c r="D2" t="s">
        <v>710</v>
      </c>
    </row>
    <row r="3" spans="1:13" ht="14" x14ac:dyDescent="0.3">
      <c r="A3" s="209" t="s">
        <v>23</v>
      </c>
      <c r="B3" s="209" t="s">
        <v>184</v>
      </c>
      <c r="C3" s="209" t="s">
        <v>185</v>
      </c>
      <c r="D3" s="209" t="s">
        <v>186</v>
      </c>
      <c r="E3" s="209" t="s">
        <v>187</v>
      </c>
      <c r="F3" s="209" t="s">
        <v>188</v>
      </c>
      <c r="G3" s="472"/>
      <c r="L3" s="189" t="s">
        <v>281</v>
      </c>
      <c r="M3" s="189" t="s">
        <v>283</v>
      </c>
    </row>
    <row r="4" spans="1:13" ht="13" x14ac:dyDescent="0.3">
      <c r="A4" s="94" t="s">
        <v>238</v>
      </c>
      <c r="B4" s="143">
        <v>0.45833333333333331</v>
      </c>
      <c r="C4" s="84">
        <v>1.3</v>
      </c>
      <c r="D4" s="84">
        <v>9.64</v>
      </c>
      <c r="E4" s="84">
        <v>5.5</v>
      </c>
      <c r="F4" s="84">
        <v>8.3699999999999992</v>
      </c>
      <c r="G4" s="84"/>
      <c r="L4" s="84" t="s">
        <v>291</v>
      </c>
      <c r="M4" s="474">
        <v>1</v>
      </c>
    </row>
    <row r="5" spans="1:13" ht="13" x14ac:dyDescent="0.3">
      <c r="A5" s="94" t="s">
        <v>239</v>
      </c>
      <c r="B5" s="143">
        <v>0.4694444444444445</v>
      </c>
      <c r="C5" s="84">
        <v>0.17599999999999999</v>
      </c>
      <c r="D5" s="84">
        <v>10.28</v>
      </c>
      <c r="E5" s="84">
        <v>3.3</v>
      </c>
      <c r="F5" s="84">
        <v>8.5399999999999991</v>
      </c>
      <c r="G5" s="84"/>
      <c r="L5" s="189" t="s">
        <v>282</v>
      </c>
      <c r="M5" s="630" t="s">
        <v>718</v>
      </c>
    </row>
    <row r="6" spans="1:13" ht="13" x14ac:dyDescent="0.3">
      <c r="A6" s="94" t="s">
        <v>240</v>
      </c>
      <c r="B6" s="143">
        <v>0.50347222222222221</v>
      </c>
      <c r="C6" s="84">
        <v>0.309</v>
      </c>
      <c r="D6" s="84">
        <v>9.1199999999999992</v>
      </c>
      <c r="E6" s="84">
        <v>11.3</v>
      </c>
      <c r="F6" s="84">
        <v>8.77</v>
      </c>
      <c r="G6" s="84"/>
      <c r="L6" s="189" t="s">
        <v>284</v>
      </c>
      <c r="M6" s="474">
        <v>28</v>
      </c>
    </row>
    <row r="7" spans="1:13" ht="14" x14ac:dyDescent="0.3">
      <c r="A7" s="94" t="s">
        <v>229</v>
      </c>
      <c r="B7" s="318" t="s">
        <v>241</v>
      </c>
      <c r="C7" s="319"/>
      <c r="D7" s="319"/>
      <c r="E7" s="319"/>
      <c r="F7" s="320"/>
      <c r="G7" s="84"/>
      <c r="H7" s="465" t="s">
        <v>201</v>
      </c>
      <c r="I7" s="210" t="s">
        <v>213</v>
      </c>
      <c r="L7" s="189" t="s">
        <v>285</v>
      </c>
      <c r="M7" s="474">
        <v>0</v>
      </c>
    </row>
    <row r="8" spans="1:13" ht="13" x14ac:dyDescent="0.3">
      <c r="A8" s="126" t="s">
        <v>192</v>
      </c>
      <c r="B8" s="143">
        <v>0.40625</v>
      </c>
      <c r="C8" s="84">
        <v>0.311</v>
      </c>
      <c r="D8" s="84">
        <v>8.6199999999999992</v>
      </c>
      <c r="E8" s="84">
        <v>10</v>
      </c>
      <c r="F8" s="84">
        <v>8.44</v>
      </c>
      <c r="G8" s="84"/>
      <c r="H8" s="466">
        <v>1</v>
      </c>
      <c r="I8" s="188">
        <v>10.4</v>
      </c>
      <c r="J8" s="6">
        <f>AVERAGE(D8:D18)</f>
        <v>8.3339999999999996</v>
      </c>
      <c r="K8" s="6">
        <f>AVERAGE(E8:E10)</f>
        <v>9.9333333333333318</v>
      </c>
      <c r="L8" s="189" t="s">
        <v>286</v>
      </c>
      <c r="M8" s="291">
        <v>5</v>
      </c>
    </row>
    <row r="9" spans="1:13" ht="13" x14ac:dyDescent="0.3">
      <c r="A9" s="126" t="s">
        <v>193</v>
      </c>
      <c r="B9" s="84"/>
      <c r="C9" s="84">
        <v>0.317</v>
      </c>
      <c r="D9" s="84">
        <v>8.52</v>
      </c>
      <c r="E9" s="84">
        <v>9.9</v>
      </c>
      <c r="F9" s="84">
        <v>8.36</v>
      </c>
      <c r="G9" s="84"/>
      <c r="H9" s="475"/>
      <c r="J9" s="6">
        <f>AVERAGE(D8:D10)</f>
        <v>8.5200000000000014</v>
      </c>
      <c r="L9" s="422" t="s">
        <v>288</v>
      </c>
      <c r="M9" s="291">
        <v>7</v>
      </c>
    </row>
    <row r="10" spans="1:13" ht="13" x14ac:dyDescent="0.3">
      <c r="A10" s="126" t="s">
        <v>194</v>
      </c>
      <c r="B10" s="84"/>
      <c r="C10" s="84">
        <v>0.311</v>
      </c>
      <c r="D10" s="84">
        <v>8.42</v>
      </c>
      <c r="E10" s="84">
        <v>9.9</v>
      </c>
      <c r="F10" s="84">
        <v>8.24</v>
      </c>
      <c r="G10" s="84"/>
      <c r="H10" s="475"/>
      <c r="J10">
        <f>AVERAGE(D8:D11)</f>
        <v>8.4750000000000014</v>
      </c>
      <c r="L10" s="422" t="s">
        <v>292</v>
      </c>
      <c r="M10" s="291">
        <v>0</v>
      </c>
    </row>
    <row r="11" spans="1:13" ht="13" x14ac:dyDescent="0.3">
      <c r="A11" s="126" t="s">
        <v>195</v>
      </c>
      <c r="B11" s="84"/>
      <c r="C11" s="84">
        <v>0.311</v>
      </c>
      <c r="D11" s="84">
        <v>8.34</v>
      </c>
      <c r="E11" s="84">
        <v>9.9</v>
      </c>
      <c r="F11" s="84">
        <v>8.24</v>
      </c>
      <c r="G11" s="84"/>
      <c r="H11" s="475"/>
      <c r="L11" s="422" t="s">
        <v>316</v>
      </c>
      <c r="M11" s="291">
        <v>0</v>
      </c>
    </row>
    <row r="12" spans="1:13" ht="13" x14ac:dyDescent="0.3">
      <c r="A12" s="126" t="s">
        <v>196</v>
      </c>
      <c r="B12" s="84"/>
      <c r="C12" s="84">
        <v>0.312</v>
      </c>
      <c r="D12" s="84">
        <v>8.3000000000000007</v>
      </c>
      <c r="E12" s="84">
        <v>9.9</v>
      </c>
      <c r="F12" s="84">
        <v>8.18</v>
      </c>
      <c r="G12" s="84"/>
      <c r="H12" s="475"/>
      <c r="L12" s="426"/>
    </row>
    <row r="13" spans="1:13" ht="13" x14ac:dyDescent="0.3">
      <c r="A13" s="126" t="s">
        <v>197</v>
      </c>
      <c r="B13" s="84"/>
      <c r="C13" s="84">
        <v>0.312</v>
      </c>
      <c r="D13" s="84">
        <v>8.2799999999999994</v>
      </c>
      <c r="E13" s="84">
        <v>9.9</v>
      </c>
      <c r="F13" s="84">
        <v>8.17</v>
      </c>
      <c r="G13" s="84"/>
      <c r="H13" s="475"/>
    </row>
    <row r="14" spans="1:13" ht="13" x14ac:dyDescent="0.3">
      <c r="A14" s="126" t="s">
        <v>198</v>
      </c>
      <c r="B14" s="84"/>
      <c r="C14" s="84">
        <v>0.312</v>
      </c>
      <c r="D14" s="84">
        <v>8.19</v>
      </c>
      <c r="E14" s="84">
        <v>9.9</v>
      </c>
      <c r="F14" s="84">
        <v>8.15</v>
      </c>
      <c r="G14" s="84"/>
      <c r="H14" s="475"/>
    </row>
    <row r="15" spans="1:13" ht="13" x14ac:dyDescent="0.3">
      <c r="A15" s="126" t="s">
        <v>199</v>
      </c>
      <c r="B15" s="84"/>
      <c r="C15" s="84">
        <v>0.311</v>
      </c>
      <c r="D15" s="84">
        <v>8.24</v>
      </c>
      <c r="E15" s="84">
        <v>9.9</v>
      </c>
      <c r="F15" s="84">
        <v>8.1300000000000008</v>
      </c>
      <c r="G15" s="84"/>
      <c r="H15" s="475"/>
    </row>
    <row r="16" spans="1:13" ht="13" x14ac:dyDescent="0.3">
      <c r="A16" s="126" t="s">
        <v>200</v>
      </c>
      <c r="B16" s="143"/>
      <c r="C16" s="84">
        <v>0.311</v>
      </c>
      <c r="D16" s="84">
        <v>8.32</v>
      </c>
      <c r="E16" s="84">
        <v>9.9</v>
      </c>
      <c r="F16" s="84">
        <v>8.1199999999999992</v>
      </c>
      <c r="G16" s="84"/>
      <c r="H16" s="475"/>
    </row>
    <row r="17" spans="1:15" ht="13" x14ac:dyDescent="0.3">
      <c r="A17" s="126" t="s">
        <v>227</v>
      </c>
      <c r="B17" s="143"/>
      <c r="C17" s="84">
        <v>0.311</v>
      </c>
      <c r="D17" s="84">
        <v>8.11</v>
      </c>
      <c r="E17" s="84">
        <v>9.9</v>
      </c>
      <c r="F17" s="84">
        <v>8.11</v>
      </c>
      <c r="G17" s="84"/>
      <c r="H17" s="475"/>
    </row>
    <row r="18" spans="1:15" ht="13" x14ac:dyDescent="0.3">
      <c r="A18" s="126" t="s">
        <v>228</v>
      </c>
      <c r="B18" s="84"/>
      <c r="C18" s="84"/>
      <c r="D18" s="84"/>
      <c r="E18" s="84"/>
      <c r="F18" s="84"/>
      <c r="G18" s="84"/>
      <c r="H18" s="475"/>
    </row>
    <row r="19" spans="1:15" ht="13" x14ac:dyDescent="0.3">
      <c r="A19" s="208"/>
      <c r="B19" s="92"/>
      <c r="C19" s="92"/>
      <c r="D19" s="92"/>
      <c r="E19" s="92"/>
      <c r="F19" s="92"/>
      <c r="G19" s="92"/>
    </row>
    <row r="20" spans="1:15" ht="13" x14ac:dyDescent="0.3">
      <c r="A20" s="126" t="s">
        <v>230</v>
      </c>
      <c r="B20" s="143">
        <v>0.51388888888888895</v>
      </c>
      <c r="C20" s="84">
        <v>1.1399999999999999</v>
      </c>
      <c r="D20" s="84">
        <v>9.34</v>
      </c>
      <c r="E20" s="84">
        <v>4.9000000000000004</v>
      </c>
      <c r="F20" s="84">
        <v>8.65</v>
      </c>
      <c r="G20" s="189" t="s">
        <v>338</v>
      </c>
      <c r="H20" s="21"/>
    </row>
    <row r="21" spans="1:15" ht="13" x14ac:dyDescent="0.3">
      <c r="A21" s="414" t="s">
        <v>231</v>
      </c>
      <c r="B21" s="143">
        <v>0.51874999999999993</v>
      </c>
      <c r="C21" s="84">
        <v>1.1000000000000001</v>
      </c>
      <c r="D21" s="84">
        <v>10.15</v>
      </c>
      <c r="E21" s="84">
        <v>6.1</v>
      </c>
      <c r="F21" s="84">
        <v>8.85</v>
      </c>
      <c r="G21" s="189" t="s">
        <v>717</v>
      </c>
      <c r="H21" s="21"/>
    </row>
    <row r="22" spans="1:15" x14ac:dyDescent="0.25">
      <c r="A22" s="131" t="s">
        <v>11</v>
      </c>
      <c r="B22" s="132" t="s">
        <v>711</v>
      </c>
      <c r="C22" s="132"/>
      <c r="D22" s="132"/>
      <c r="E22" s="132"/>
      <c r="F22" s="132"/>
      <c r="G22" s="132"/>
    </row>
    <row r="23" spans="1:15" x14ac:dyDescent="0.25">
      <c r="A23" s="144"/>
      <c r="B23" s="476"/>
      <c r="C23" s="133"/>
      <c r="D23" s="133"/>
      <c r="E23" s="133"/>
      <c r="F23" s="133"/>
      <c r="G23" s="133"/>
    </row>
    <row r="24" spans="1:15" x14ac:dyDescent="0.25">
      <c r="A24" s="144"/>
      <c r="B24" s="133"/>
      <c r="C24" s="133"/>
      <c r="D24" s="133"/>
      <c r="E24" s="133"/>
      <c r="F24" s="133"/>
      <c r="G24" s="133"/>
    </row>
    <row r="25" spans="1:15" x14ac:dyDescent="0.25">
      <c r="B25" s="89"/>
    </row>
    <row r="26" spans="1:15" ht="15.5" x14ac:dyDescent="0.35">
      <c r="A26" s="853" t="s">
        <v>130</v>
      </c>
      <c r="B26" s="853"/>
      <c r="C26" s="283"/>
      <c r="D26" s="853" t="s">
        <v>133</v>
      </c>
      <c r="E26" s="853"/>
      <c r="F26" s="137"/>
      <c r="G26" s="849" t="s">
        <v>34</v>
      </c>
      <c r="H26" s="849"/>
    </row>
    <row r="27" spans="1:15" ht="15.5" x14ac:dyDescent="0.35">
      <c r="A27" s="162" t="s">
        <v>184</v>
      </c>
      <c r="B27" s="281">
        <v>0.45833333333333331</v>
      </c>
      <c r="C27" s="643">
        <v>1</v>
      </c>
      <c r="D27" s="162" t="s">
        <v>184</v>
      </c>
      <c r="E27" s="285">
        <v>0.4694444444444445</v>
      </c>
      <c r="F27" s="485">
        <v>4.0999999999999996</v>
      </c>
      <c r="G27" s="162" t="s">
        <v>184</v>
      </c>
      <c r="H27" s="285">
        <v>0.50416666666666665</v>
      </c>
    </row>
    <row r="28" spans="1:15" ht="16" thickBot="1" x14ac:dyDescent="0.4">
      <c r="A28" s="162" t="s">
        <v>202</v>
      </c>
      <c r="B28" s="282">
        <v>9</v>
      </c>
      <c r="C28" s="282"/>
      <c r="D28" s="162" t="s">
        <v>202</v>
      </c>
      <c r="E28" s="284">
        <v>19</v>
      </c>
      <c r="F28" s="284"/>
      <c r="G28" s="162" t="s">
        <v>202</v>
      </c>
      <c r="H28" s="284">
        <v>50</v>
      </c>
    </row>
    <row r="29" spans="1:15" ht="16.5" customHeight="1" thickBot="1" x14ac:dyDescent="0.3">
      <c r="A29" s="165" t="s">
        <v>203</v>
      </c>
      <c r="B29" s="876" t="s">
        <v>713</v>
      </c>
      <c r="C29" s="876"/>
      <c r="D29" s="644" t="s">
        <v>203</v>
      </c>
      <c r="E29" s="877" t="s">
        <v>714</v>
      </c>
      <c r="F29" s="877"/>
      <c r="G29" s="163" t="s">
        <v>203</v>
      </c>
      <c r="H29" s="412" t="s">
        <v>253</v>
      </c>
    </row>
    <row r="30" spans="1:15" ht="23" x14ac:dyDescent="0.25">
      <c r="A30" s="159" t="s">
        <v>204</v>
      </c>
      <c r="B30" s="159" t="s">
        <v>205</v>
      </c>
      <c r="C30" s="161" t="s">
        <v>206</v>
      </c>
      <c r="D30" s="159" t="s">
        <v>204</v>
      </c>
      <c r="E30" s="159" t="s">
        <v>243</v>
      </c>
      <c r="F30" s="161" t="s">
        <v>211</v>
      </c>
      <c r="G30" s="159" t="s">
        <v>205</v>
      </c>
      <c r="H30" s="161" t="s">
        <v>206</v>
      </c>
      <c r="K30" s="141" t="s">
        <v>204</v>
      </c>
      <c r="L30" s="141" t="s">
        <v>205</v>
      </c>
      <c r="M30" s="142" t="s">
        <v>206</v>
      </c>
      <c r="N30" s="141" t="s">
        <v>207</v>
      </c>
      <c r="O30" s="142" t="s">
        <v>208</v>
      </c>
    </row>
    <row r="31" spans="1:15" ht="15.5" x14ac:dyDescent="0.35">
      <c r="A31" s="160">
        <v>2</v>
      </c>
      <c r="B31" s="138">
        <v>0.35</v>
      </c>
      <c r="C31" s="138">
        <v>0.2</v>
      </c>
      <c r="D31" s="160">
        <v>2</v>
      </c>
      <c r="E31" s="138">
        <v>1.1000000000000001</v>
      </c>
      <c r="F31" s="138">
        <v>0.28000000000000003</v>
      </c>
      <c r="G31" s="849" t="s">
        <v>34</v>
      </c>
      <c r="H31" s="849"/>
      <c r="K31" s="138">
        <v>2</v>
      </c>
      <c r="L31" s="138">
        <v>0.34</v>
      </c>
      <c r="M31" s="138">
        <v>1.06</v>
      </c>
      <c r="N31" s="138">
        <f>L31*2</f>
        <v>0.68</v>
      </c>
      <c r="O31" s="139">
        <f t="shared" ref="O31:O39" si="0">M31*N31</f>
        <v>0.72080000000000011</v>
      </c>
    </row>
    <row r="32" spans="1:15" ht="15.5" x14ac:dyDescent="0.35">
      <c r="A32" s="160">
        <v>4</v>
      </c>
      <c r="B32" s="138">
        <v>0.32</v>
      </c>
      <c r="C32" s="138">
        <v>0.21</v>
      </c>
      <c r="D32" s="160">
        <v>4</v>
      </c>
      <c r="E32" s="138">
        <v>1.28</v>
      </c>
      <c r="F32" s="138">
        <v>1.03</v>
      </c>
      <c r="G32" s="138">
        <v>0.12</v>
      </c>
      <c r="H32" s="139">
        <v>1.67</v>
      </c>
      <c r="I32" s="647">
        <v>10.02</v>
      </c>
      <c r="K32" s="138">
        <v>4</v>
      </c>
      <c r="L32" s="138">
        <v>1.28</v>
      </c>
      <c r="M32" s="138">
        <v>1.03</v>
      </c>
      <c r="N32" s="138">
        <f t="shared" ref="N32:N39" si="1">L32*2</f>
        <v>2.56</v>
      </c>
      <c r="O32" s="139">
        <f t="shared" si="0"/>
        <v>2.6368</v>
      </c>
    </row>
    <row r="33" spans="1:15" ht="15.5" x14ac:dyDescent="0.35">
      <c r="A33" s="160">
        <v>6</v>
      </c>
      <c r="B33" s="138">
        <v>0.46</v>
      </c>
      <c r="C33" s="138">
        <v>1.17</v>
      </c>
      <c r="D33" s="160">
        <v>6</v>
      </c>
      <c r="E33" s="138">
        <v>1.2</v>
      </c>
      <c r="F33" s="138">
        <v>1.04</v>
      </c>
      <c r="G33" s="850" t="s">
        <v>214</v>
      </c>
      <c r="H33" s="851"/>
      <c r="K33" s="138">
        <v>6</v>
      </c>
      <c r="L33" s="138">
        <v>1.2</v>
      </c>
      <c r="M33" s="138">
        <v>1.04</v>
      </c>
      <c r="N33" s="138">
        <f t="shared" si="1"/>
        <v>2.4</v>
      </c>
      <c r="O33" s="139">
        <f t="shared" si="0"/>
        <v>2.496</v>
      </c>
    </row>
    <row r="34" spans="1:15" ht="15.5" x14ac:dyDescent="0.35">
      <c r="A34" s="160">
        <v>8</v>
      </c>
      <c r="B34" s="138">
        <v>1.32</v>
      </c>
      <c r="C34" s="138">
        <v>0.97</v>
      </c>
      <c r="D34" s="160">
        <v>8</v>
      </c>
      <c r="E34" s="138">
        <v>1.1000000000000001</v>
      </c>
      <c r="F34" s="138">
        <v>1.59</v>
      </c>
      <c r="G34" s="138" t="s">
        <v>715</v>
      </c>
      <c r="H34" s="139">
        <v>0.54</v>
      </c>
      <c r="I34">
        <v>0.43</v>
      </c>
      <c r="K34" s="138">
        <v>8</v>
      </c>
      <c r="L34" s="138">
        <v>1.1000000000000001</v>
      </c>
      <c r="M34" s="138">
        <v>1.59</v>
      </c>
      <c r="N34" s="138">
        <f>L34*2</f>
        <v>2.2000000000000002</v>
      </c>
      <c r="O34" s="139">
        <f t="shared" si="0"/>
        <v>3.4980000000000007</v>
      </c>
    </row>
    <row r="35" spans="1:15" ht="15.5" x14ac:dyDescent="0.35">
      <c r="A35" s="160">
        <v>10</v>
      </c>
      <c r="B35" s="138" t="s">
        <v>712</v>
      </c>
      <c r="C35" s="138"/>
      <c r="D35" s="160">
        <v>10</v>
      </c>
      <c r="E35" s="138">
        <v>1.03</v>
      </c>
      <c r="F35" s="138">
        <v>0.87</v>
      </c>
      <c r="G35" s="138" t="s">
        <v>215</v>
      </c>
      <c r="H35" s="139"/>
      <c r="K35" s="230">
        <v>10</v>
      </c>
      <c r="L35" s="138">
        <v>1.03</v>
      </c>
      <c r="M35" s="138">
        <v>0.87</v>
      </c>
      <c r="N35" s="138">
        <f t="shared" si="1"/>
        <v>2.06</v>
      </c>
      <c r="O35" s="139">
        <f t="shared" si="0"/>
        <v>1.7922</v>
      </c>
    </row>
    <row r="36" spans="1:15" ht="15.5" x14ac:dyDescent="0.35">
      <c r="A36" s="128"/>
      <c r="B36" s="138"/>
      <c r="C36" s="646">
        <v>5.19</v>
      </c>
      <c r="D36" s="160">
        <v>12</v>
      </c>
      <c r="E36" s="140">
        <v>0.88</v>
      </c>
      <c r="F36" s="138">
        <v>1.57</v>
      </c>
      <c r="G36" s="138" t="s">
        <v>716</v>
      </c>
      <c r="H36" s="139">
        <v>1.06</v>
      </c>
      <c r="I36">
        <v>0.72</v>
      </c>
      <c r="K36" s="138">
        <v>12</v>
      </c>
      <c r="L36" s="140">
        <v>0.88</v>
      </c>
      <c r="M36" s="138">
        <v>1.57</v>
      </c>
      <c r="N36" s="138">
        <f t="shared" si="1"/>
        <v>1.76</v>
      </c>
      <c r="O36" s="139">
        <f t="shared" si="0"/>
        <v>2.7632000000000003</v>
      </c>
    </row>
    <row r="37" spans="1:15" ht="15.5" x14ac:dyDescent="0.35">
      <c r="A37" s="128"/>
      <c r="B37" s="416"/>
      <c r="C37" s="416"/>
      <c r="D37" s="160">
        <v>14</v>
      </c>
      <c r="E37" s="467">
        <v>1.02</v>
      </c>
      <c r="F37" s="416">
        <v>1.1100000000000001</v>
      </c>
      <c r="G37" s="416"/>
      <c r="H37" s="418"/>
      <c r="K37" s="230">
        <v>14</v>
      </c>
      <c r="L37" s="140">
        <v>1.02</v>
      </c>
      <c r="M37" s="138">
        <v>1.1100000000000001</v>
      </c>
      <c r="N37" s="138">
        <f t="shared" si="1"/>
        <v>2.04</v>
      </c>
      <c r="O37" s="139">
        <f t="shared" si="0"/>
        <v>2.2644000000000002</v>
      </c>
    </row>
    <row r="38" spans="1:15" ht="15.5" x14ac:dyDescent="0.35">
      <c r="A38" s="128"/>
      <c r="B38" s="416"/>
      <c r="C38" s="416"/>
      <c r="D38" s="160">
        <v>16</v>
      </c>
      <c r="E38" s="467">
        <v>0.78</v>
      </c>
      <c r="F38" s="416">
        <v>0.82</v>
      </c>
      <c r="G38" s="416"/>
      <c r="H38" s="418"/>
      <c r="K38" s="138">
        <v>16</v>
      </c>
      <c r="L38" s="140">
        <v>0.78</v>
      </c>
      <c r="M38" s="138">
        <v>0.82</v>
      </c>
      <c r="N38" s="138">
        <f t="shared" si="1"/>
        <v>1.56</v>
      </c>
      <c r="O38" s="139">
        <f t="shared" si="0"/>
        <v>1.2791999999999999</v>
      </c>
    </row>
    <row r="39" spans="1:15" ht="15.5" x14ac:dyDescent="0.35">
      <c r="A39" s="128"/>
      <c r="B39" s="416"/>
      <c r="C39" s="416"/>
      <c r="D39" s="160">
        <v>18</v>
      </c>
      <c r="E39" s="467">
        <v>0.65</v>
      </c>
      <c r="F39" s="416">
        <v>0.34</v>
      </c>
      <c r="G39" s="416"/>
      <c r="H39" s="418"/>
      <c r="K39" s="140">
        <v>18</v>
      </c>
      <c r="L39" s="140">
        <v>0.65</v>
      </c>
      <c r="M39" s="138">
        <v>0.34</v>
      </c>
      <c r="N39" s="138">
        <f t="shared" si="1"/>
        <v>1.3</v>
      </c>
      <c r="O39" s="139">
        <f t="shared" si="0"/>
        <v>0.44200000000000006</v>
      </c>
    </row>
    <row r="40" spans="1:15" ht="15.5" x14ac:dyDescent="0.35">
      <c r="F40" s="645">
        <v>17.350000000000001</v>
      </c>
      <c r="O40" s="6">
        <f>SUM(O31:O38)</f>
        <v>17.450599999999998</v>
      </c>
    </row>
    <row r="41" spans="1:15" ht="14" x14ac:dyDescent="0.3">
      <c r="A41" s="135" t="s">
        <v>232</v>
      </c>
      <c r="C41" s="11" t="s">
        <v>233</v>
      </c>
      <c r="D41" s="155">
        <v>40477</v>
      </c>
    </row>
    <row r="42" spans="1:15" ht="14" x14ac:dyDescent="0.3">
      <c r="A42" s="209" t="s">
        <v>248</v>
      </c>
      <c r="B42" s="209" t="s">
        <v>184</v>
      </c>
      <c r="C42" s="209" t="s">
        <v>185</v>
      </c>
      <c r="D42" s="209" t="s">
        <v>186</v>
      </c>
      <c r="E42" s="209" t="s">
        <v>187</v>
      </c>
      <c r="F42" s="469" t="s">
        <v>188</v>
      </c>
      <c r="G42" s="473"/>
      <c r="H42" s="465" t="s">
        <v>201</v>
      </c>
      <c r="I42" s="210" t="s">
        <v>213</v>
      </c>
      <c r="J42" s="471" t="s">
        <v>186</v>
      </c>
      <c r="K42" s="471" t="s">
        <v>187</v>
      </c>
    </row>
    <row r="43" spans="1:15" ht="13" x14ac:dyDescent="0.3">
      <c r="A43" s="126" t="s">
        <v>192</v>
      </c>
      <c r="B43" s="143">
        <v>0.40972222222222227</v>
      </c>
      <c r="C43" s="84">
        <v>0.311</v>
      </c>
      <c r="D43" s="84">
        <v>8.31</v>
      </c>
      <c r="E43" s="84">
        <v>10</v>
      </c>
      <c r="F43" s="470">
        <v>8.23</v>
      </c>
      <c r="G43" s="84"/>
      <c r="H43" s="134">
        <v>1.1000000000000001</v>
      </c>
      <c r="I43" s="84">
        <v>5.4</v>
      </c>
      <c r="J43" s="6">
        <f>AVERAGE(D43:D47)</f>
        <v>8.2560000000000002</v>
      </c>
      <c r="K43" s="6">
        <f>AVERAGE(E43:E45)</f>
        <v>10</v>
      </c>
    </row>
    <row r="44" spans="1:15" ht="13" x14ac:dyDescent="0.3">
      <c r="A44" s="126" t="s">
        <v>193</v>
      </c>
      <c r="B44" s="84"/>
      <c r="C44" s="84">
        <v>0.311</v>
      </c>
      <c r="D44" s="84">
        <v>8.3800000000000008</v>
      </c>
      <c r="E44" s="84">
        <v>10</v>
      </c>
      <c r="F44" s="470">
        <v>8.1300000000000008</v>
      </c>
      <c r="G44" s="84"/>
      <c r="H44" s="92"/>
      <c r="J44" s="6">
        <f>AVERAGE(D43:D45)</f>
        <v>8.31</v>
      </c>
    </row>
    <row r="45" spans="1:15" ht="13" x14ac:dyDescent="0.3">
      <c r="A45" s="126" t="s">
        <v>194</v>
      </c>
      <c r="B45" s="84"/>
      <c r="C45" s="84">
        <v>0.311</v>
      </c>
      <c r="D45" s="84">
        <v>8.24</v>
      </c>
      <c r="E45" s="84">
        <v>10</v>
      </c>
      <c r="F45" s="470">
        <v>8.16</v>
      </c>
      <c r="G45" s="84"/>
      <c r="H45" s="92"/>
    </row>
    <row r="46" spans="1:15" ht="13" x14ac:dyDescent="0.3">
      <c r="A46" s="126" t="s">
        <v>195</v>
      </c>
      <c r="B46" s="84"/>
      <c r="C46" s="84">
        <v>0.311</v>
      </c>
      <c r="D46" s="84">
        <v>8.2799999999999994</v>
      </c>
      <c r="E46" s="84">
        <v>9.9</v>
      </c>
      <c r="F46" s="470">
        <v>8.14</v>
      </c>
      <c r="G46" s="84"/>
      <c r="H46" s="92"/>
    </row>
    <row r="47" spans="1:15" ht="13" x14ac:dyDescent="0.3">
      <c r="A47" s="126" t="s">
        <v>196</v>
      </c>
      <c r="B47" s="84"/>
      <c r="C47" s="84">
        <v>0.311</v>
      </c>
      <c r="D47" s="84">
        <v>8.07</v>
      </c>
      <c r="E47" s="84">
        <v>9.8000000000000007</v>
      </c>
      <c r="F47" s="470">
        <v>8.1199999999999992</v>
      </c>
      <c r="G47" s="84"/>
      <c r="H47" s="92"/>
    </row>
    <row r="48" spans="1:15" ht="14" x14ac:dyDescent="0.3">
      <c r="A48" s="209" t="s">
        <v>249</v>
      </c>
      <c r="B48" s="209" t="s">
        <v>184</v>
      </c>
      <c r="C48" s="209" t="s">
        <v>185</v>
      </c>
      <c r="D48" s="209" t="s">
        <v>186</v>
      </c>
      <c r="E48" s="209" t="s">
        <v>187</v>
      </c>
      <c r="F48" s="469" t="s">
        <v>188</v>
      </c>
      <c r="G48" s="473"/>
      <c r="H48" s="465" t="s">
        <v>201</v>
      </c>
      <c r="I48" s="210" t="s">
        <v>213</v>
      </c>
    </row>
    <row r="49" spans="1:11" ht="13" x14ac:dyDescent="0.3">
      <c r="A49" s="126" t="s">
        <v>192</v>
      </c>
      <c r="B49" s="143">
        <v>0.51874999999999993</v>
      </c>
      <c r="C49" s="84">
        <v>0.312</v>
      </c>
      <c r="D49" s="84">
        <v>8.27</v>
      </c>
      <c r="E49" s="84">
        <v>9.9</v>
      </c>
      <c r="F49" s="470">
        <v>8.2899999999999991</v>
      </c>
      <c r="G49" s="84"/>
      <c r="H49" s="134">
        <v>1</v>
      </c>
      <c r="I49" s="84">
        <v>4.5</v>
      </c>
      <c r="J49" s="6">
        <f>AVERAGE(D49:D53)</f>
        <v>8.088000000000001</v>
      </c>
      <c r="K49" s="6">
        <f>AVERAGE(E49:E51)</f>
        <v>9.9</v>
      </c>
    </row>
    <row r="50" spans="1:11" ht="13" x14ac:dyDescent="0.3">
      <c r="A50" s="126" t="s">
        <v>193</v>
      </c>
      <c r="B50" s="84"/>
      <c r="C50" s="84">
        <v>0.312</v>
      </c>
      <c r="D50" s="84">
        <v>8.26</v>
      </c>
      <c r="E50" s="84">
        <v>9.9</v>
      </c>
      <c r="F50" s="470">
        <v>8.18</v>
      </c>
      <c r="G50" s="84"/>
      <c r="H50" s="92"/>
      <c r="J50" s="6">
        <f>AVERAGE(D49:D51)</f>
        <v>8.19</v>
      </c>
    </row>
    <row r="51" spans="1:11" ht="13" x14ac:dyDescent="0.3">
      <c r="A51" s="126" t="s">
        <v>194</v>
      </c>
      <c r="B51" s="84"/>
      <c r="C51" s="84">
        <v>0.312</v>
      </c>
      <c r="D51" s="84">
        <v>8.0399999999999991</v>
      </c>
      <c r="E51" s="84">
        <v>9.9</v>
      </c>
      <c r="F51" s="470">
        <v>8.18</v>
      </c>
      <c r="G51" s="84"/>
      <c r="H51" s="92"/>
    </row>
    <row r="52" spans="1:11" ht="13" x14ac:dyDescent="0.3">
      <c r="A52" s="126" t="s">
        <v>195</v>
      </c>
      <c r="B52" s="84"/>
      <c r="C52" s="84">
        <v>0.312</v>
      </c>
      <c r="D52" s="84">
        <v>8.0500000000000007</v>
      </c>
      <c r="E52" s="84">
        <v>9.9</v>
      </c>
      <c r="F52" s="470">
        <v>8.18</v>
      </c>
      <c r="G52" s="84"/>
      <c r="H52" s="92"/>
    </row>
    <row r="53" spans="1:11" ht="13" x14ac:dyDescent="0.3">
      <c r="A53" s="126" t="s">
        <v>196</v>
      </c>
      <c r="B53" s="84"/>
      <c r="C53" s="84">
        <v>0.312</v>
      </c>
      <c r="D53" s="84">
        <v>7.82</v>
      </c>
      <c r="E53" s="84">
        <v>9.9</v>
      </c>
      <c r="F53" s="470">
        <v>8.15</v>
      </c>
      <c r="G53" s="84"/>
      <c r="H53" s="92"/>
    </row>
    <row r="54" spans="1:11" ht="14" x14ac:dyDescent="0.3">
      <c r="A54" s="209" t="s">
        <v>250</v>
      </c>
      <c r="B54" s="209" t="s">
        <v>184</v>
      </c>
      <c r="C54" s="209" t="s">
        <v>185</v>
      </c>
      <c r="D54" s="209" t="s">
        <v>186</v>
      </c>
      <c r="E54" s="209" t="s">
        <v>187</v>
      </c>
      <c r="F54" s="469" t="s">
        <v>188</v>
      </c>
      <c r="G54" s="473"/>
      <c r="H54" s="465" t="s">
        <v>201</v>
      </c>
      <c r="I54" s="210" t="s">
        <v>213</v>
      </c>
    </row>
    <row r="55" spans="1:11" ht="13" x14ac:dyDescent="0.3">
      <c r="A55" s="126" t="s">
        <v>192</v>
      </c>
      <c r="B55" s="143">
        <v>0.52500000000000002</v>
      </c>
      <c r="C55" s="84">
        <v>0.311</v>
      </c>
      <c r="D55" s="84">
        <v>8.2799999999999994</v>
      </c>
      <c r="E55" s="84">
        <v>9.9</v>
      </c>
      <c r="F55" s="479">
        <v>8.2899999999999991</v>
      </c>
      <c r="G55" s="84"/>
      <c r="H55" s="134">
        <v>1.2</v>
      </c>
      <c r="I55" s="84">
        <v>3.8</v>
      </c>
      <c r="J55" s="6">
        <f>AVERAGE(D55:D62)</f>
        <v>8.2228571428571424</v>
      </c>
      <c r="K55" s="6">
        <f>AVERAGE(E55:E58)</f>
        <v>9.7250000000000014</v>
      </c>
    </row>
    <row r="56" spans="1:11" ht="13" x14ac:dyDescent="0.3">
      <c r="A56" s="126" t="s">
        <v>193</v>
      </c>
      <c r="B56" s="84"/>
      <c r="C56" s="84">
        <v>0.312</v>
      </c>
      <c r="D56" s="84">
        <v>8.27</v>
      </c>
      <c r="E56" s="84">
        <v>9.8000000000000007</v>
      </c>
      <c r="F56" s="470">
        <v>8.23</v>
      </c>
      <c r="G56" s="84"/>
      <c r="H56" s="92"/>
      <c r="J56" s="6">
        <f>AVERAGE(D55:D58)</f>
        <v>8.17</v>
      </c>
    </row>
    <row r="57" spans="1:11" ht="13" x14ac:dyDescent="0.3">
      <c r="A57" s="126" t="s">
        <v>194</v>
      </c>
      <c r="B57" s="84"/>
      <c r="C57" s="84">
        <v>0.314</v>
      </c>
      <c r="D57" s="84">
        <v>8.07</v>
      </c>
      <c r="E57" s="84">
        <v>9.6999999999999993</v>
      </c>
      <c r="F57" s="470">
        <v>8.2200000000000006</v>
      </c>
      <c r="G57" s="84"/>
      <c r="H57" s="92"/>
      <c r="J57" s="6"/>
    </row>
    <row r="58" spans="1:11" ht="13" x14ac:dyDescent="0.3">
      <c r="A58" s="126" t="s">
        <v>195</v>
      </c>
      <c r="B58" s="84"/>
      <c r="C58" s="84">
        <v>0.314</v>
      </c>
      <c r="D58" s="84">
        <v>8.06</v>
      </c>
      <c r="E58" s="84">
        <v>9.5</v>
      </c>
      <c r="F58" s="470">
        <v>8.19</v>
      </c>
      <c r="G58" s="84"/>
      <c r="H58" s="92"/>
    </row>
    <row r="59" spans="1:11" ht="14" x14ac:dyDescent="0.3">
      <c r="A59" s="209" t="s">
        <v>251</v>
      </c>
      <c r="B59" s="209" t="s">
        <v>184</v>
      </c>
      <c r="C59" s="209" t="s">
        <v>185</v>
      </c>
      <c r="D59" s="209" t="s">
        <v>186</v>
      </c>
      <c r="E59" s="209" t="s">
        <v>187</v>
      </c>
      <c r="F59" s="469" t="s">
        <v>188</v>
      </c>
      <c r="G59" s="473"/>
      <c r="H59" s="465" t="s">
        <v>201</v>
      </c>
      <c r="I59" s="210" t="s">
        <v>213</v>
      </c>
    </row>
    <row r="60" spans="1:11" ht="13" x14ac:dyDescent="0.3">
      <c r="A60" s="126" t="s">
        <v>192</v>
      </c>
      <c r="B60" s="143">
        <v>0.53263888888888888</v>
      </c>
      <c r="C60" s="84">
        <v>0.311</v>
      </c>
      <c r="D60" s="84">
        <v>8.31</v>
      </c>
      <c r="E60" s="84">
        <v>10</v>
      </c>
      <c r="F60" s="84">
        <v>8.31</v>
      </c>
      <c r="G60" s="84"/>
      <c r="H60" s="134">
        <v>1</v>
      </c>
      <c r="I60" s="84">
        <v>6.2</v>
      </c>
      <c r="J60" s="6">
        <f>AVERAGE(D60:D67)</f>
        <v>8.2066666666666688</v>
      </c>
      <c r="K60" s="6">
        <f>AVERAGE(E60:E62)</f>
        <v>10</v>
      </c>
    </row>
    <row r="61" spans="1:11" ht="13" x14ac:dyDescent="0.3">
      <c r="A61" s="126" t="s">
        <v>193</v>
      </c>
      <c r="B61" s="84"/>
      <c r="C61" s="84">
        <v>0.31</v>
      </c>
      <c r="D61" s="84">
        <v>8.33</v>
      </c>
      <c r="E61" s="84">
        <v>10</v>
      </c>
      <c r="F61" s="84">
        <v>8.26</v>
      </c>
      <c r="G61" s="84"/>
      <c r="H61" s="92"/>
      <c r="J61" s="6">
        <f>AVERAGE(D60:D62)</f>
        <v>8.2933333333333348</v>
      </c>
    </row>
    <row r="62" spans="1:11" ht="13" x14ac:dyDescent="0.3">
      <c r="A62" s="126" t="s">
        <v>194</v>
      </c>
      <c r="B62" s="84"/>
      <c r="C62" s="84">
        <v>0.31</v>
      </c>
      <c r="D62" s="84">
        <v>8.24</v>
      </c>
      <c r="E62" s="84">
        <v>10</v>
      </c>
      <c r="F62" s="84">
        <v>8.23</v>
      </c>
      <c r="G62" s="84"/>
      <c r="H62" s="92"/>
    </row>
    <row r="63" spans="1:11" ht="13" x14ac:dyDescent="0.3">
      <c r="A63" s="126" t="s">
        <v>195</v>
      </c>
      <c r="B63" s="84"/>
      <c r="C63" s="84">
        <v>0.31</v>
      </c>
      <c r="D63" s="84">
        <v>8.24</v>
      </c>
      <c r="E63" s="84">
        <v>10</v>
      </c>
      <c r="F63" s="84">
        <v>8.24</v>
      </c>
      <c r="G63" s="84"/>
      <c r="H63" s="92"/>
    </row>
    <row r="64" spans="1:11" ht="13" x14ac:dyDescent="0.3">
      <c r="A64" s="126" t="s">
        <v>196</v>
      </c>
      <c r="B64" s="84"/>
      <c r="C64" s="84">
        <v>0.309</v>
      </c>
      <c r="D64" s="84">
        <v>8.09</v>
      </c>
      <c r="E64" s="84">
        <v>9.9</v>
      </c>
      <c r="F64" s="84">
        <v>8.25</v>
      </c>
      <c r="G64" s="84"/>
      <c r="H64" s="92"/>
    </row>
    <row r="65" spans="1:9" ht="13" x14ac:dyDescent="0.3">
      <c r="A65" s="126" t="s">
        <v>197</v>
      </c>
      <c r="B65" s="84"/>
      <c r="C65" s="84">
        <v>0.30499999999999999</v>
      </c>
      <c r="D65" s="84">
        <v>8.0299999999999994</v>
      </c>
      <c r="E65" s="84">
        <v>9.9</v>
      </c>
      <c r="F65" s="84">
        <v>8.2200000000000006</v>
      </c>
      <c r="G65" s="84"/>
      <c r="H65" s="92"/>
    </row>
    <row r="66" spans="1:9" ht="13" x14ac:dyDescent="0.3">
      <c r="A66" s="666">
        <v>40477</v>
      </c>
      <c r="B66" s="84"/>
      <c r="C66" s="84"/>
      <c r="D66" s="84"/>
      <c r="E66" s="84"/>
      <c r="F66" s="470"/>
      <c r="G66" s="84"/>
      <c r="H66" s="92"/>
    </row>
    <row r="67" spans="1:9" ht="14" x14ac:dyDescent="0.3">
      <c r="A67" s="663" t="s">
        <v>721</v>
      </c>
      <c r="B67" s="209" t="s">
        <v>184</v>
      </c>
      <c r="C67" s="209" t="s">
        <v>185</v>
      </c>
      <c r="D67" s="209" t="s">
        <v>186</v>
      </c>
      <c r="E67" s="209" t="s">
        <v>187</v>
      </c>
      <c r="F67" s="469" t="s">
        <v>188</v>
      </c>
      <c r="G67" s="473"/>
      <c r="H67" s="465" t="s">
        <v>201</v>
      </c>
      <c r="I67" s="210" t="s">
        <v>213</v>
      </c>
    </row>
    <row r="68" spans="1:9" ht="13" x14ac:dyDescent="0.3">
      <c r="A68" s="414" t="s">
        <v>464</v>
      </c>
      <c r="B68" s="143">
        <v>0.3659722222222222</v>
      </c>
      <c r="C68" s="84"/>
      <c r="D68" s="84"/>
      <c r="E68" s="84"/>
      <c r="F68" s="84"/>
      <c r="G68" s="84"/>
      <c r="H68" s="84">
        <v>2.2999999999999998</v>
      </c>
      <c r="I68" s="189" t="s">
        <v>720</v>
      </c>
    </row>
    <row r="69" spans="1:9" ht="13" x14ac:dyDescent="0.3">
      <c r="A69" s="414" t="s">
        <v>192</v>
      </c>
      <c r="B69" s="84"/>
      <c r="C69" s="189" t="s">
        <v>719</v>
      </c>
      <c r="D69" s="84">
        <v>6.68</v>
      </c>
      <c r="E69" s="84">
        <v>11.2</v>
      </c>
      <c r="F69" s="84">
        <v>7.77</v>
      </c>
      <c r="G69" s="84"/>
      <c r="H69" s="84"/>
      <c r="I69" s="84"/>
    </row>
    <row r="70" spans="1:9" ht="13" x14ac:dyDescent="0.3">
      <c r="A70" s="414" t="s">
        <v>194</v>
      </c>
      <c r="B70" s="84"/>
      <c r="C70" s="84">
        <v>0.17399999999999999</v>
      </c>
      <c r="D70" s="84">
        <v>6.39</v>
      </c>
      <c r="E70" s="84">
        <v>11.2</v>
      </c>
      <c r="F70" s="84">
        <v>7.73</v>
      </c>
      <c r="G70" s="84"/>
      <c r="H70" s="84"/>
      <c r="I70" s="84"/>
    </row>
    <row r="71" spans="1:9" ht="13" x14ac:dyDescent="0.3">
      <c r="A71" s="414" t="s">
        <v>227</v>
      </c>
      <c r="B71" s="84"/>
      <c r="C71" s="84">
        <v>0.17399999999999999</v>
      </c>
      <c r="D71" s="84">
        <v>6.85</v>
      </c>
      <c r="E71" s="84">
        <v>11.2</v>
      </c>
      <c r="F71" s="84">
        <v>7.78</v>
      </c>
      <c r="G71" s="84"/>
      <c r="H71" s="84"/>
      <c r="I71" s="84"/>
    </row>
    <row r="72" spans="1:9" x14ac:dyDescent="0.25">
      <c r="A72" s="189" t="s">
        <v>721</v>
      </c>
      <c r="B72" s="664"/>
      <c r="C72" s="665"/>
    </row>
    <row r="73" spans="1:9" x14ac:dyDescent="0.25">
      <c r="A73" s="84" t="s">
        <v>747</v>
      </c>
      <c r="B73" s="878" t="s">
        <v>423</v>
      </c>
      <c r="C73" s="878"/>
      <c r="D73" s="878"/>
      <c r="E73" s="658">
        <v>146</v>
      </c>
    </row>
    <row r="74" spans="1:9" x14ac:dyDescent="0.25">
      <c r="A74" s="84" t="s">
        <v>747</v>
      </c>
      <c r="B74" s="879" t="s">
        <v>217</v>
      </c>
      <c r="C74" s="879"/>
      <c r="D74" s="879"/>
      <c r="E74" s="659">
        <v>5</v>
      </c>
    </row>
    <row r="75" spans="1:9" x14ac:dyDescent="0.25">
      <c r="A75" s="84" t="s">
        <v>747</v>
      </c>
      <c r="B75" s="878" t="s">
        <v>216</v>
      </c>
      <c r="C75" s="878"/>
      <c r="D75" s="878"/>
      <c r="E75" s="658">
        <v>9</v>
      </c>
    </row>
    <row r="76" spans="1:9" x14ac:dyDescent="0.25">
      <c r="A76" s="84" t="s">
        <v>748</v>
      </c>
      <c r="B76" s="878" t="s">
        <v>423</v>
      </c>
      <c r="C76" s="878"/>
      <c r="D76" s="878"/>
      <c r="E76" s="658">
        <v>143</v>
      </c>
    </row>
    <row r="77" spans="1:9" x14ac:dyDescent="0.25">
      <c r="A77" s="84" t="s">
        <v>748</v>
      </c>
      <c r="B77" s="879" t="s">
        <v>217</v>
      </c>
      <c r="C77" s="879"/>
      <c r="D77" s="879"/>
      <c r="E77" s="659">
        <v>5</v>
      </c>
    </row>
    <row r="78" spans="1:9" x14ac:dyDescent="0.25">
      <c r="A78" s="84" t="s">
        <v>748</v>
      </c>
      <c r="B78" s="878" t="s">
        <v>216</v>
      </c>
      <c r="C78" s="878"/>
      <c r="D78" s="878"/>
      <c r="E78" s="658">
        <v>14</v>
      </c>
    </row>
  </sheetData>
  <mergeCells count="13">
    <mergeCell ref="B78:D78"/>
    <mergeCell ref="B73:D73"/>
    <mergeCell ref="B74:D74"/>
    <mergeCell ref="B75:D75"/>
    <mergeCell ref="B76:D76"/>
    <mergeCell ref="B77:D77"/>
    <mergeCell ref="G31:H31"/>
    <mergeCell ref="G33:H33"/>
    <mergeCell ref="A26:B26"/>
    <mergeCell ref="D26:E26"/>
    <mergeCell ref="G26:H26"/>
    <mergeCell ref="B29:C29"/>
    <mergeCell ref="E29:F29"/>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70"/>
  <sheetViews>
    <sheetView workbookViewId="0">
      <selection activeCell="F4" sqref="F4:F18"/>
    </sheetView>
  </sheetViews>
  <sheetFormatPr defaultRowHeight="12.5" x14ac:dyDescent="0.25"/>
  <cols>
    <col min="1" max="1" width="13.54296875" customWidth="1"/>
    <col min="2" max="2" width="12.54296875" customWidth="1"/>
    <col min="4" max="4" width="10.08984375" bestFit="1" customWidth="1"/>
    <col min="8" max="8" width="17.36328125" customWidth="1"/>
    <col min="9" max="9" width="12.453125" customWidth="1"/>
    <col min="14" max="14" width="16.36328125" bestFit="1" customWidth="1"/>
    <col min="21" max="21" width="10.08984375" bestFit="1" customWidth="1"/>
    <col min="22" max="22" width="10.36328125" bestFit="1" customWidth="1"/>
  </cols>
  <sheetData>
    <row r="1" spans="1:22" ht="14" x14ac:dyDescent="0.3">
      <c r="A1" s="135" t="s">
        <v>503</v>
      </c>
    </row>
    <row r="2" spans="1:22" ht="13" x14ac:dyDescent="0.3">
      <c r="A2" s="1" t="s">
        <v>180</v>
      </c>
      <c r="B2" s="155">
        <v>40497</v>
      </c>
      <c r="N2" s="1"/>
      <c r="O2" s="155"/>
    </row>
    <row r="3" spans="1:22" ht="14" x14ac:dyDescent="0.3">
      <c r="A3" s="209" t="s">
        <v>23</v>
      </c>
      <c r="B3" s="209" t="s">
        <v>184</v>
      </c>
      <c r="C3" s="209" t="s">
        <v>185</v>
      </c>
      <c r="D3" s="209" t="s">
        <v>186</v>
      </c>
      <c r="E3" s="209" t="s">
        <v>187</v>
      </c>
      <c r="F3" s="209" t="s">
        <v>188</v>
      </c>
      <c r="G3" s="209"/>
      <c r="N3" s="209"/>
      <c r="O3" s="209"/>
      <c r="P3" s="209"/>
      <c r="Q3" s="209"/>
      <c r="R3" s="209"/>
      <c r="S3" s="209"/>
      <c r="T3" s="209"/>
      <c r="U3" s="209"/>
      <c r="V3" s="210"/>
    </row>
    <row r="4" spans="1:22" ht="13" x14ac:dyDescent="0.3">
      <c r="A4" s="94" t="s">
        <v>238</v>
      </c>
      <c r="B4" s="143">
        <v>5.9027777777777783E-2</v>
      </c>
      <c r="C4" s="84">
        <v>1.67</v>
      </c>
      <c r="D4" s="84">
        <v>9.6</v>
      </c>
      <c r="E4" s="84">
        <v>5.5</v>
      </c>
      <c r="F4" s="84">
        <v>7.95</v>
      </c>
      <c r="G4" s="84"/>
      <c r="H4" s="92"/>
      <c r="N4" s="94"/>
      <c r="O4" s="255"/>
      <c r="P4" s="84"/>
      <c r="Q4" s="84"/>
      <c r="R4" s="84"/>
      <c r="S4" s="84"/>
      <c r="T4" s="84"/>
      <c r="U4" s="84"/>
      <c r="V4" s="84"/>
    </row>
    <row r="5" spans="1:22" ht="13" x14ac:dyDescent="0.3">
      <c r="A5" s="94" t="s">
        <v>239</v>
      </c>
      <c r="B5" s="143">
        <v>6.7361111111111108E-2</v>
      </c>
      <c r="C5" s="84">
        <v>0.28899999999999998</v>
      </c>
      <c r="D5" s="84">
        <v>10.29</v>
      </c>
      <c r="E5" s="84">
        <v>2.5</v>
      </c>
      <c r="F5" s="84">
        <v>8.31</v>
      </c>
      <c r="G5" s="84"/>
      <c r="H5" s="92"/>
      <c r="N5" s="94"/>
      <c r="O5" s="255"/>
      <c r="P5" s="84"/>
      <c r="Q5" s="84"/>
      <c r="R5" s="84"/>
      <c r="S5" s="84"/>
      <c r="T5" s="84"/>
      <c r="U5" s="84"/>
      <c r="V5" s="84"/>
    </row>
    <row r="6" spans="1:22" ht="13" x14ac:dyDescent="0.3">
      <c r="A6" s="94" t="s">
        <v>240</v>
      </c>
      <c r="B6" s="143">
        <v>7.6388888888888895E-2</v>
      </c>
      <c r="C6" s="84">
        <v>0.34499999999999997</v>
      </c>
      <c r="D6" s="84">
        <v>9.09</v>
      </c>
      <c r="E6" s="84">
        <v>7.5</v>
      </c>
      <c r="F6" s="84">
        <v>8.5</v>
      </c>
      <c r="G6" s="84"/>
      <c r="H6" s="92"/>
      <c r="N6" s="94"/>
      <c r="O6" s="255"/>
      <c r="P6" s="84"/>
      <c r="Q6" s="84"/>
      <c r="R6" s="84"/>
      <c r="S6" s="84"/>
      <c r="T6" s="84"/>
      <c r="U6" s="84"/>
      <c r="V6" s="84"/>
    </row>
    <row r="7" spans="1:22" ht="14" x14ac:dyDescent="0.3">
      <c r="A7" s="94" t="s">
        <v>229</v>
      </c>
      <c r="B7" s="318" t="s">
        <v>241</v>
      </c>
      <c r="C7" s="319"/>
      <c r="D7" s="319"/>
      <c r="E7" s="319"/>
      <c r="F7" s="320"/>
      <c r="G7" s="320"/>
      <c r="H7" s="209" t="s">
        <v>201</v>
      </c>
      <c r="I7" s="210" t="s">
        <v>213</v>
      </c>
      <c r="N7" s="94"/>
      <c r="O7" s="318"/>
      <c r="P7" s="319"/>
      <c r="Q7" s="319"/>
      <c r="R7" s="319"/>
      <c r="S7" s="320"/>
      <c r="T7" s="320"/>
      <c r="U7" s="209"/>
      <c r="V7" s="210"/>
    </row>
    <row r="8" spans="1:22" ht="13" x14ac:dyDescent="0.3">
      <c r="A8" s="126" t="s">
        <v>192</v>
      </c>
      <c r="B8" s="143">
        <v>0.11944444444444445</v>
      </c>
      <c r="C8" s="84">
        <v>0.34699999999999998</v>
      </c>
      <c r="D8" s="431">
        <v>7.92</v>
      </c>
      <c r="E8" s="431">
        <v>7.3</v>
      </c>
      <c r="F8" s="84">
        <v>8.4700000000000006</v>
      </c>
      <c r="G8" s="84"/>
      <c r="H8" s="134">
        <v>1.85</v>
      </c>
      <c r="I8" s="188">
        <v>10.5</v>
      </c>
      <c r="N8" s="126"/>
      <c r="O8" s="143"/>
      <c r="P8" s="84"/>
      <c r="Q8" s="84"/>
      <c r="R8" s="84"/>
      <c r="S8" s="84"/>
      <c r="T8" s="84"/>
      <c r="U8" s="134"/>
      <c r="V8" s="188"/>
    </row>
    <row r="9" spans="1:22" ht="13" x14ac:dyDescent="0.3">
      <c r="A9" s="126" t="s">
        <v>193</v>
      </c>
      <c r="B9" s="84"/>
      <c r="C9" s="84">
        <v>0.34899999999999998</v>
      </c>
      <c r="D9" s="431">
        <v>7.44</v>
      </c>
      <c r="E9" s="431">
        <v>7.1</v>
      </c>
      <c r="F9" s="84">
        <v>8.4</v>
      </c>
      <c r="G9" s="84"/>
      <c r="H9" s="84"/>
      <c r="J9">
        <f>AVERAGE(D8:D10)</f>
        <v>7.6000000000000005</v>
      </c>
      <c r="N9" s="126"/>
      <c r="O9" s="84"/>
      <c r="P9" s="84"/>
      <c r="Q9" s="84"/>
      <c r="R9" s="84"/>
      <c r="S9" s="84"/>
      <c r="T9" s="84"/>
      <c r="U9" s="84"/>
    </row>
    <row r="10" spans="1:22" ht="13" x14ac:dyDescent="0.3">
      <c r="A10" s="126" t="s">
        <v>194</v>
      </c>
      <c r="B10" s="84"/>
      <c r="C10" s="84">
        <v>0.35099999999999998</v>
      </c>
      <c r="D10" s="431">
        <v>7.44</v>
      </c>
      <c r="E10" s="431">
        <v>7.1</v>
      </c>
      <c r="F10" s="84">
        <v>8.35</v>
      </c>
      <c r="G10" s="84"/>
      <c r="H10" s="84"/>
      <c r="J10" s="6">
        <f>AVERAGE(D8:D14)</f>
        <v>7.4300000000000006</v>
      </c>
      <c r="N10" s="126"/>
      <c r="O10" s="84"/>
      <c r="P10" s="84"/>
      <c r="Q10" s="84"/>
      <c r="R10" s="84"/>
      <c r="S10" s="84"/>
      <c r="T10" s="84"/>
      <c r="U10" s="84"/>
    </row>
    <row r="11" spans="1:22" ht="13" x14ac:dyDescent="0.3">
      <c r="A11" s="126" t="s">
        <v>195</v>
      </c>
      <c r="B11" s="84"/>
      <c r="C11" s="84">
        <v>0.35</v>
      </c>
      <c r="D11" s="431">
        <v>7.2</v>
      </c>
      <c r="E11" s="431">
        <v>7.1</v>
      </c>
      <c r="F11" s="84">
        <v>8.2200000000000006</v>
      </c>
      <c r="G11" s="84"/>
      <c r="H11" s="84"/>
      <c r="N11" s="126"/>
      <c r="O11" s="84"/>
      <c r="P11" s="84"/>
      <c r="Q11" s="84"/>
      <c r="R11" s="84"/>
      <c r="S11" s="84"/>
      <c r="T11" s="84"/>
      <c r="U11" s="84"/>
    </row>
    <row r="12" spans="1:22" ht="13" x14ac:dyDescent="0.3">
      <c r="A12" s="126" t="s">
        <v>196</v>
      </c>
      <c r="B12" s="84"/>
      <c r="C12" s="84">
        <v>0.34799999999999998</v>
      </c>
      <c r="D12" s="431">
        <v>7.36</v>
      </c>
      <c r="E12" s="431">
        <v>7.1</v>
      </c>
      <c r="F12" s="84">
        <v>8.2799999999999994</v>
      </c>
      <c r="G12" s="84"/>
      <c r="H12" s="84"/>
      <c r="N12" s="126"/>
      <c r="O12" s="84"/>
      <c r="P12" s="84"/>
      <c r="Q12" s="84"/>
      <c r="R12" s="84"/>
      <c r="S12" s="84"/>
      <c r="T12" s="84"/>
      <c r="U12" s="84"/>
    </row>
    <row r="13" spans="1:22" ht="13" x14ac:dyDescent="0.3">
      <c r="A13" s="126" t="s">
        <v>197</v>
      </c>
      <c r="B13" s="84"/>
      <c r="C13" s="84">
        <v>0.34899999999999998</v>
      </c>
      <c r="D13" s="431">
        <v>7.31</v>
      </c>
      <c r="E13" s="431">
        <v>7</v>
      </c>
      <c r="F13" s="84">
        <v>8.24</v>
      </c>
      <c r="G13" s="84"/>
      <c r="H13" s="84"/>
      <c r="N13" s="126"/>
      <c r="O13" s="84"/>
      <c r="P13" s="84"/>
      <c r="Q13" s="84"/>
      <c r="R13" s="84"/>
      <c r="S13" s="84"/>
      <c r="T13" s="84"/>
      <c r="U13" s="84"/>
    </row>
    <row r="14" spans="1:22" ht="13" x14ac:dyDescent="0.3">
      <c r="A14" s="126" t="s">
        <v>198</v>
      </c>
      <c r="B14" s="84"/>
      <c r="C14" s="84">
        <v>0.34899999999999998</v>
      </c>
      <c r="D14" s="431">
        <v>7.34</v>
      </c>
      <c r="E14" s="431">
        <v>7</v>
      </c>
      <c r="F14" s="84">
        <v>8.2200000000000006</v>
      </c>
      <c r="G14" s="84"/>
      <c r="H14" s="84"/>
      <c r="N14" s="126"/>
      <c r="O14" s="84"/>
      <c r="P14" s="84"/>
      <c r="Q14" s="84"/>
      <c r="R14" s="84"/>
      <c r="S14" s="84"/>
      <c r="T14" s="84"/>
      <c r="U14" s="84"/>
    </row>
    <row r="15" spans="1:22" ht="13" x14ac:dyDescent="0.3">
      <c r="A15" s="126" t="s">
        <v>199</v>
      </c>
      <c r="B15" s="84"/>
      <c r="C15" s="84">
        <v>0.34899999999999998</v>
      </c>
      <c r="D15" s="431">
        <v>7.07</v>
      </c>
      <c r="E15" s="431">
        <v>6.9</v>
      </c>
      <c r="F15" s="84">
        <v>8.19</v>
      </c>
      <c r="G15" s="84"/>
      <c r="H15" s="84"/>
      <c r="N15" s="126"/>
      <c r="O15" s="84"/>
      <c r="P15" s="84"/>
      <c r="Q15" s="84"/>
      <c r="R15" s="84"/>
      <c r="S15" s="84"/>
      <c r="T15" s="84"/>
      <c r="U15" s="84"/>
    </row>
    <row r="16" spans="1:22" ht="13" x14ac:dyDescent="0.3">
      <c r="A16" s="126" t="s">
        <v>200</v>
      </c>
      <c r="B16" s="143"/>
      <c r="C16" s="84">
        <v>0.34899999999999998</v>
      </c>
      <c r="D16" s="431">
        <v>7.07</v>
      </c>
      <c r="E16" s="431">
        <v>6.6</v>
      </c>
      <c r="F16" s="84">
        <v>8.1999999999999993</v>
      </c>
      <c r="G16" s="84"/>
      <c r="H16" s="84"/>
      <c r="N16" s="126"/>
      <c r="O16" s="143"/>
      <c r="P16" s="84"/>
      <c r="Q16" s="84"/>
      <c r="R16" s="84"/>
      <c r="S16" s="84"/>
      <c r="T16" s="84"/>
      <c r="U16" s="84"/>
    </row>
    <row r="17" spans="1:21" ht="13" x14ac:dyDescent="0.3">
      <c r="A17" s="126" t="s">
        <v>227</v>
      </c>
      <c r="B17" s="143"/>
      <c r="C17" s="84">
        <v>0.34899999999999998</v>
      </c>
      <c r="D17" s="431">
        <v>7.22</v>
      </c>
      <c r="E17" s="431">
        <v>6.6</v>
      </c>
      <c r="F17" s="84">
        <v>8.16</v>
      </c>
      <c r="G17" s="84"/>
      <c r="H17" s="84"/>
      <c r="N17" s="126"/>
      <c r="O17" s="143"/>
      <c r="P17" s="84"/>
      <c r="Q17" s="84"/>
      <c r="R17" s="84"/>
      <c r="S17" s="84"/>
      <c r="T17" s="84"/>
      <c r="U17" s="84"/>
    </row>
    <row r="18" spans="1:21" ht="13" x14ac:dyDescent="0.3">
      <c r="A18" s="126" t="s">
        <v>228</v>
      </c>
      <c r="B18" s="84"/>
      <c r="C18" s="84">
        <v>0.35</v>
      </c>
      <c r="D18" s="431">
        <v>7.14</v>
      </c>
      <c r="E18" s="431">
        <v>6.6</v>
      </c>
      <c r="F18" s="84">
        <v>8.15</v>
      </c>
      <c r="G18" s="84"/>
      <c r="H18" s="84"/>
      <c r="N18" s="126"/>
      <c r="O18" s="84"/>
      <c r="P18" s="84"/>
      <c r="Q18" s="84"/>
      <c r="R18" s="84"/>
      <c r="S18" s="84"/>
      <c r="T18" s="84"/>
      <c r="U18" s="84"/>
    </row>
    <row r="19" spans="1:21" ht="13" x14ac:dyDescent="0.3">
      <c r="A19" s="208"/>
      <c r="B19" s="92"/>
      <c r="C19" s="92"/>
      <c r="D19" s="443">
        <f>AVERAGE(D8:D18)</f>
        <v>7.3190909090909093</v>
      </c>
      <c r="E19" s="443">
        <f>AVERAGE(E8:E10)</f>
        <v>7.166666666666667</v>
      </c>
      <c r="F19" s="92"/>
      <c r="G19" s="92"/>
      <c r="H19" s="92"/>
    </row>
    <row r="20" spans="1:21" ht="13" x14ac:dyDescent="0.3">
      <c r="A20" s="126" t="s">
        <v>230</v>
      </c>
      <c r="B20" s="143">
        <v>9.7222222222222224E-2</v>
      </c>
      <c r="C20" s="84">
        <v>1.35</v>
      </c>
      <c r="D20" s="84">
        <v>11</v>
      </c>
      <c r="E20" s="84">
        <v>2.2000000000000002</v>
      </c>
      <c r="F20" s="84">
        <v>8.61</v>
      </c>
      <c r="G20" s="189" t="s">
        <v>338</v>
      </c>
      <c r="H20" s="189"/>
      <c r="N20" s="189" t="s">
        <v>281</v>
      </c>
      <c r="O20" s="189" t="s">
        <v>283</v>
      </c>
    </row>
    <row r="21" spans="1:21" ht="13" x14ac:dyDescent="0.3">
      <c r="A21" s="300" t="s">
        <v>231</v>
      </c>
      <c r="B21" s="143">
        <v>0.10208333333333335</v>
      </c>
      <c r="C21" s="84">
        <v>1.31</v>
      </c>
      <c r="D21" s="84">
        <v>10.9</v>
      </c>
      <c r="E21" s="84">
        <v>2.9</v>
      </c>
      <c r="F21" s="84">
        <v>8.5</v>
      </c>
      <c r="G21" s="189" t="s">
        <v>730</v>
      </c>
      <c r="H21" s="189"/>
      <c r="N21" s="84" t="s">
        <v>291</v>
      </c>
      <c r="O21" s="484">
        <v>0</v>
      </c>
    </row>
    <row r="22" spans="1:21" ht="13" x14ac:dyDescent="0.3">
      <c r="A22" s="489"/>
      <c r="B22" s="488"/>
      <c r="C22" s="132"/>
      <c r="D22" s="132"/>
      <c r="E22" s="132"/>
      <c r="F22" s="132"/>
      <c r="G22" s="132"/>
      <c r="H22" s="132"/>
      <c r="N22" s="189" t="s">
        <v>282</v>
      </c>
      <c r="O22" s="484">
        <v>4</v>
      </c>
    </row>
    <row r="23" spans="1:21" ht="13" x14ac:dyDescent="0.3">
      <c r="A23" s="126"/>
      <c r="B23" s="143"/>
      <c r="C23" s="84"/>
      <c r="D23" s="84"/>
      <c r="E23" s="84"/>
      <c r="F23" s="84"/>
      <c r="G23" s="84"/>
      <c r="H23" s="189"/>
      <c r="I23" s="156"/>
      <c r="N23" s="189" t="s">
        <v>284</v>
      </c>
      <c r="O23" s="484">
        <v>6</v>
      </c>
    </row>
    <row r="24" spans="1:21" ht="13" x14ac:dyDescent="0.3">
      <c r="A24" s="414"/>
      <c r="B24" s="143"/>
      <c r="C24" s="84"/>
      <c r="D24" s="84"/>
      <c r="E24" s="84"/>
      <c r="F24" s="84"/>
      <c r="G24" s="84"/>
      <c r="H24" s="189"/>
      <c r="N24" s="189" t="s">
        <v>285</v>
      </c>
      <c r="O24" s="484">
        <v>0</v>
      </c>
    </row>
    <row r="25" spans="1:21" x14ac:dyDescent="0.25">
      <c r="A25" s="131" t="s">
        <v>11</v>
      </c>
      <c r="B25" s="228" t="s">
        <v>322</v>
      </c>
      <c r="C25" s="132"/>
      <c r="D25" s="132"/>
      <c r="E25" s="132"/>
      <c r="F25" s="132"/>
      <c r="G25" s="132"/>
      <c r="H25" s="132"/>
      <c r="N25" s="189" t="s">
        <v>286</v>
      </c>
      <c r="O25" s="291">
        <v>13</v>
      </c>
    </row>
    <row r="26" spans="1:21" x14ac:dyDescent="0.25">
      <c r="A26" s="144"/>
      <c r="B26" s="133"/>
      <c r="C26" s="133"/>
      <c r="D26" s="133"/>
      <c r="E26" s="133"/>
      <c r="F26" s="133"/>
      <c r="G26" s="483"/>
      <c r="H26" s="133"/>
      <c r="N26" s="422" t="s">
        <v>288</v>
      </c>
      <c r="O26" s="291">
        <v>0</v>
      </c>
    </row>
    <row r="27" spans="1:21" x14ac:dyDescent="0.25">
      <c r="A27" s="144"/>
      <c r="B27" s="133"/>
      <c r="C27" s="133"/>
      <c r="D27" s="133"/>
      <c r="E27" s="133"/>
      <c r="F27" s="133"/>
      <c r="G27" s="483"/>
      <c r="H27" s="133"/>
      <c r="N27" s="422" t="s">
        <v>292</v>
      </c>
      <c r="O27" s="291">
        <v>0</v>
      </c>
    </row>
    <row r="28" spans="1:21" x14ac:dyDescent="0.25">
      <c r="B28" s="89"/>
      <c r="N28" s="422" t="s">
        <v>316</v>
      </c>
      <c r="O28" s="291"/>
    </row>
    <row r="29" spans="1:21" ht="15.5" x14ac:dyDescent="0.35">
      <c r="A29" s="853" t="s">
        <v>130</v>
      </c>
      <c r="B29" s="853"/>
      <c r="C29" s="294"/>
      <c r="D29" s="853" t="s">
        <v>133</v>
      </c>
      <c r="E29" s="853"/>
      <c r="F29" s="137"/>
      <c r="G29" s="137"/>
      <c r="H29" s="849" t="s">
        <v>34</v>
      </c>
      <c r="I29" s="849"/>
      <c r="N29" s="426" t="s">
        <v>728</v>
      </c>
    </row>
    <row r="30" spans="1:21" ht="15.5" x14ac:dyDescent="0.35">
      <c r="A30" s="162" t="s">
        <v>184</v>
      </c>
      <c r="B30" s="295">
        <v>5.5555555555555552E-2</v>
      </c>
      <c r="C30" s="296">
        <v>0.72</v>
      </c>
      <c r="D30" s="162" t="s">
        <v>184</v>
      </c>
      <c r="E30" s="297">
        <v>6.3888888888888884E-2</v>
      </c>
      <c r="F30" s="297"/>
      <c r="G30" s="643">
        <v>3.72</v>
      </c>
      <c r="H30" s="162" t="s">
        <v>184</v>
      </c>
      <c r="I30" s="297">
        <v>8.1250000000000003E-2</v>
      </c>
      <c r="O30" s="21" t="s">
        <v>729</v>
      </c>
    </row>
    <row r="31" spans="1:21" ht="16" thickBot="1" x14ac:dyDescent="0.4">
      <c r="A31" s="162" t="s">
        <v>202</v>
      </c>
      <c r="B31" s="298">
        <v>9</v>
      </c>
      <c r="C31" s="298"/>
      <c r="D31" s="162" t="s">
        <v>202</v>
      </c>
      <c r="E31" s="299">
        <v>17</v>
      </c>
      <c r="F31" s="299"/>
      <c r="G31" s="399"/>
      <c r="H31" s="162" t="s">
        <v>202</v>
      </c>
      <c r="I31" s="299">
        <v>50</v>
      </c>
    </row>
    <row r="32" spans="1:21" ht="16" thickBot="1" x14ac:dyDescent="0.3">
      <c r="A32" s="165" t="s">
        <v>203</v>
      </c>
      <c r="B32" s="852" t="s">
        <v>723</v>
      </c>
      <c r="C32" s="852"/>
      <c r="D32" s="163" t="s">
        <v>203</v>
      </c>
      <c r="E32" s="854" t="s">
        <v>724</v>
      </c>
      <c r="F32" s="854"/>
      <c r="G32" s="486"/>
      <c r="H32" s="163" t="s">
        <v>203</v>
      </c>
      <c r="I32" s="166" t="s">
        <v>725</v>
      </c>
    </row>
    <row r="33" spans="1:16" ht="23" x14ac:dyDescent="0.25">
      <c r="A33" s="159" t="s">
        <v>204</v>
      </c>
      <c r="B33" s="159" t="s">
        <v>205</v>
      </c>
      <c r="C33" s="161" t="s">
        <v>206</v>
      </c>
      <c r="D33" s="159" t="s">
        <v>204</v>
      </c>
      <c r="E33" s="159" t="s">
        <v>243</v>
      </c>
      <c r="F33" s="161" t="s">
        <v>211</v>
      </c>
      <c r="G33" s="161"/>
      <c r="H33" s="159" t="s">
        <v>205</v>
      </c>
      <c r="I33" s="161" t="s">
        <v>206</v>
      </c>
      <c r="L33" s="141" t="s">
        <v>204</v>
      </c>
      <c r="M33" s="141" t="s">
        <v>205</v>
      </c>
      <c r="N33" s="142" t="s">
        <v>206</v>
      </c>
      <c r="O33" s="141" t="s">
        <v>207</v>
      </c>
      <c r="P33" s="142" t="s">
        <v>208</v>
      </c>
    </row>
    <row r="34" spans="1:16" ht="15.5" x14ac:dyDescent="0.35">
      <c r="A34" s="160">
        <v>2</v>
      </c>
      <c r="B34" s="138">
        <v>0.15</v>
      </c>
      <c r="C34" s="138">
        <v>0.26</v>
      </c>
      <c r="D34" s="648"/>
      <c r="E34" s="138">
        <v>0.6</v>
      </c>
      <c r="F34" s="138">
        <v>0.47</v>
      </c>
      <c r="G34" s="487"/>
      <c r="H34" s="849" t="s">
        <v>34</v>
      </c>
      <c r="I34" s="849"/>
      <c r="L34" s="138">
        <v>2</v>
      </c>
      <c r="M34" s="138">
        <v>0.3</v>
      </c>
      <c r="N34" s="138">
        <v>0.85</v>
      </c>
      <c r="O34" s="138">
        <f>M34*2</f>
        <v>0.6</v>
      </c>
      <c r="P34" s="139">
        <f t="shared" ref="P34:P42" si="0">N34*O34</f>
        <v>0.51</v>
      </c>
    </row>
    <row r="35" spans="1:16" ht="15.5" x14ac:dyDescent="0.35">
      <c r="A35" s="160">
        <v>4</v>
      </c>
      <c r="B35" s="138">
        <v>0.2</v>
      </c>
      <c r="C35" s="138">
        <v>0.22</v>
      </c>
      <c r="D35" s="648"/>
      <c r="E35" s="84">
        <v>0.75</v>
      </c>
      <c r="F35" s="138">
        <v>1.38</v>
      </c>
      <c r="G35" s="138"/>
      <c r="H35" s="138">
        <v>0.08</v>
      </c>
      <c r="I35" s="139">
        <v>0.97</v>
      </c>
      <c r="J35" s="647">
        <v>3.9</v>
      </c>
      <c r="L35" s="138">
        <v>4</v>
      </c>
      <c r="M35" s="84">
        <v>0.75</v>
      </c>
      <c r="N35" s="138">
        <v>1.38</v>
      </c>
      <c r="O35" s="138">
        <f>M35*2</f>
        <v>1.5</v>
      </c>
      <c r="P35" s="139">
        <f t="shared" si="0"/>
        <v>2.0699999999999998</v>
      </c>
    </row>
    <row r="36" spans="1:16" ht="15.5" x14ac:dyDescent="0.35">
      <c r="A36" s="160">
        <v>6</v>
      </c>
      <c r="B36" s="138">
        <v>0.25</v>
      </c>
      <c r="C36" s="138">
        <v>0.88</v>
      </c>
      <c r="D36" s="648"/>
      <c r="E36" s="84">
        <v>0.6</v>
      </c>
      <c r="F36" s="138">
        <v>0.21</v>
      </c>
      <c r="G36" s="477"/>
      <c r="H36" s="850" t="s">
        <v>214</v>
      </c>
      <c r="I36" s="851"/>
      <c r="L36" s="138">
        <v>6</v>
      </c>
      <c r="M36" s="84">
        <v>0.6</v>
      </c>
      <c r="N36" s="138">
        <v>0.21</v>
      </c>
      <c r="O36" s="138">
        <f>M36*2</f>
        <v>1.2</v>
      </c>
      <c r="P36" s="139">
        <f t="shared" si="0"/>
        <v>0.252</v>
      </c>
    </row>
    <row r="37" spans="1:16" ht="15.5" x14ac:dyDescent="0.35">
      <c r="A37" s="160">
        <v>8</v>
      </c>
      <c r="B37" s="138">
        <v>0.25</v>
      </c>
      <c r="C37" s="138">
        <v>1.0900000000000001</v>
      </c>
      <c r="D37" s="648"/>
      <c r="E37" s="84">
        <v>0.68</v>
      </c>
      <c r="F37" s="138">
        <v>0.44</v>
      </c>
      <c r="G37" s="138"/>
      <c r="H37" s="138" t="s">
        <v>726</v>
      </c>
      <c r="I37" s="139">
        <v>0.41</v>
      </c>
      <c r="J37" s="647">
        <v>0.43</v>
      </c>
      <c r="L37" s="138">
        <v>8</v>
      </c>
      <c r="M37" s="84">
        <v>0.68</v>
      </c>
      <c r="N37" s="138">
        <v>0.44</v>
      </c>
      <c r="O37" s="138">
        <f>M37*3</f>
        <v>2.04</v>
      </c>
      <c r="P37" s="139">
        <f t="shared" si="0"/>
        <v>0.89760000000000006</v>
      </c>
    </row>
    <row r="38" spans="1:16" ht="15.5" x14ac:dyDescent="0.35">
      <c r="A38" s="160">
        <v>10</v>
      </c>
      <c r="B38" s="138"/>
      <c r="C38" s="138"/>
      <c r="D38" s="648"/>
      <c r="E38" s="84">
        <v>0.62</v>
      </c>
      <c r="F38" s="138">
        <v>1.63</v>
      </c>
      <c r="G38" s="138"/>
      <c r="H38" s="138" t="s">
        <v>215</v>
      </c>
      <c r="I38" s="139"/>
      <c r="L38" s="140">
        <v>10</v>
      </c>
      <c r="M38" s="84">
        <v>0.62</v>
      </c>
      <c r="N38" s="138">
        <v>1.63</v>
      </c>
      <c r="O38" s="138">
        <f>M38*2</f>
        <v>1.24</v>
      </c>
      <c r="P38" s="139">
        <f t="shared" si="0"/>
        <v>2.0211999999999999</v>
      </c>
    </row>
    <row r="39" spans="1:16" ht="15.5" x14ac:dyDescent="0.35">
      <c r="A39" s="128"/>
      <c r="B39" s="138"/>
      <c r="C39" s="646">
        <v>1.42</v>
      </c>
      <c r="D39" s="648"/>
      <c r="E39" s="84">
        <v>0.54</v>
      </c>
      <c r="F39" s="138">
        <v>1.7</v>
      </c>
      <c r="G39" s="138"/>
      <c r="H39" s="138" t="s">
        <v>727</v>
      </c>
      <c r="I39" s="139">
        <v>0.85</v>
      </c>
      <c r="J39" s="647">
        <v>0.51</v>
      </c>
      <c r="L39" s="138">
        <v>12</v>
      </c>
      <c r="M39" s="84">
        <v>0.54</v>
      </c>
      <c r="N39" s="138">
        <v>1.7</v>
      </c>
      <c r="O39" s="138">
        <f>M39*2</f>
        <v>1.08</v>
      </c>
      <c r="P39" s="139">
        <f t="shared" si="0"/>
        <v>1.8360000000000001</v>
      </c>
    </row>
    <row r="40" spans="1:16" ht="15.5" x14ac:dyDescent="0.35">
      <c r="A40" s="128"/>
      <c r="B40" s="416"/>
      <c r="C40" s="416"/>
      <c r="D40" s="417"/>
      <c r="E40" s="84">
        <v>0.48</v>
      </c>
      <c r="F40" s="138">
        <v>0.53</v>
      </c>
      <c r="G40" s="416"/>
      <c r="H40" s="416"/>
      <c r="I40" s="418"/>
      <c r="L40" s="140">
        <v>14</v>
      </c>
      <c r="M40" s="84">
        <v>0.48</v>
      </c>
      <c r="N40" s="138">
        <v>0.53</v>
      </c>
      <c r="O40" s="138">
        <f>M40*2</f>
        <v>0.96</v>
      </c>
      <c r="P40" s="139">
        <f t="shared" si="0"/>
        <v>0.50880000000000003</v>
      </c>
    </row>
    <row r="41" spans="1:16" ht="15.5" x14ac:dyDescent="0.35">
      <c r="A41" s="128"/>
      <c r="B41" s="416"/>
      <c r="C41" s="416"/>
      <c r="D41" s="417"/>
      <c r="E41" s="84">
        <v>0.47</v>
      </c>
      <c r="F41" s="138">
        <v>7.0000000000000007E-2</v>
      </c>
      <c r="G41" s="416"/>
      <c r="H41" s="416"/>
      <c r="I41" s="418"/>
      <c r="L41" s="138">
        <v>16</v>
      </c>
      <c r="M41" s="84">
        <v>0.47</v>
      </c>
      <c r="N41" s="138">
        <v>7.0000000000000007E-2</v>
      </c>
      <c r="O41" s="138">
        <f>M41*3</f>
        <v>1.41</v>
      </c>
      <c r="P41" s="139">
        <f t="shared" si="0"/>
        <v>9.870000000000001E-2</v>
      </c>
    </row>
    <row r="42" spans="1:16" ht="15.5" x14ac:dyDescent="0.35">
      <c r="E42" s="140"/>
      <c r="F42" s="646">
        <v>8.25</v>
      </c>
      <c r="L42" s="140">
        <v>18</v>
      </c>
      <c r="M42" s="140"/>
      <c r="N42" s="140"/>
      <c r="O42" s="138">
        <f>M42*3</f>
        <v>0</v>
      </c>
      <c r="P42" s="139">
        <f t="shared" si="0"/>
        <v>0</v>
      </c>
    </row>
    <row r="43" spans="1:16" ht="14" x14ac:dyDescent="0.3">
      <c r="A43" s="135" t="s">
        <v>232</v>
      </c>
      <c r="C43" s="11" t="s">
        <v>233</v>
      </c>
      <c r="D43" s="155">
        <v>40497</v>
      </c>
      <c r="P43" s="6">
        <f>SUM(P34:P42)</f>
        <v>8.1943000000000019</v>
      </c>
    </row>
    <row r="44" spans="1:16" ht="14" x14ac:dyDescent="0.3">
      <c r="A44" s="209" t="s">
        <v>248</v>
      </c>
      <c r="B44" s="209" t="s">
        <v>184</v>
      </c>
      <c r="C44" s="209" t="s">
        <v>185</v>
      </c>
      <c r="D44" s="209" t="s">
        <v>186</v>
      </c>
      <c r="E44" s="209" t="s">
        <v>187</v>
      </c>
      <c r="F44" s="209" t="s">
        <v>188</v>
      </c>
      <c r="G44" s="209"/>
      <c r="H44" s="209" t="s">
        <v>201</v>
      </c>
      <c r="I44" s="210" t="s">
        <v>213</v>
      </c>
    </row>
    <row r="45" spans="1:16" ht="13" x14ac:dyDescent="0.3">
      <c r="A45" s="126" t="s">
        <v>192</v>
      </c>
      <c r="B45" s="143">
        <v>0.125</v>
      </c>
      <c r="C45" s="84">
        <v>0.34699999999999998</v>
      </c>
      <c r="D45" s="84">
        <v>7.87</v>
      </c>
      <c r="E45" s="84">
        <v>7.5</v>
      </c>
      <c r="F45" s="84">
        <v>8.18</v>
      </c>
      <c r="G45" s="84"/>
      <c r="H45" s="134">
        <v>2</v>
      </c>
      <c r="I45" s="84">
        <v>5.3</v>
      </c>
      <c r="J45" s="3">
        <f>AVERAGE(E45:E49)</f>
        <v>7.2799999999999994</v>
      </c>
    </row>
    <row r="46" spans="1:16" ht="13" x14ac:dyDescent="0.3">
      <c r="A46" s="126" t="s">
        <v>193</v>
      </c>
      <c r="B46" s="84"/>
      <c r="C46" s="84">
        <v>0.34699999999999998</v>
      </c>
      <c r="D46" s="84">
        <v>7.87</v>
      </c>
      <c r="E46" s="84">
        <v>7.4</v>
      </c>
      <c r="F46" s="84">
        <v>8.19</v>
      </c>
      <c r="G46" s="84"/>
      <c r="H46" s="84"/>
      <c r="J46" s="3">
        <f>AVERAGE(E45:E47)</f>
        <v>7.3999999999999995</v>
      </c>
    </row>
    <row r="47" spans="1:16" ht="13" x14ac:dyDescent="0.3">
      <c r="A47" s="126" t="s">
        <v>194</v>
      </c>
      <c r="B47" s="84"/>
      <c r="C47" s="84">
        <v>0.34699999999999998</v>
      </c>
      <c r="D47" s="84">
        <v>7.81</v>
      </c>
      <c r="E47" s="84">
        <v>7.3</v>
      </c>
      <c r="F47" s="84">
        <v>8.25</v>
      </c>
      <c r="G47" s="84"/>
      <c r="H47" s="84"/>
    </row>
    <row r="48" spans="1:16" ht="13" x14ac:dyDescent="0.3">
      <c r="A48" s="126" t="s">
        <v>195</v>
      </c>
      <c r="B48" s="84"/>
      <c r="C48" s="84">
        <v>0.34699999999999998</v>
      </c>
      <c r="D48" s="84">
        <v>7.41</v>
      </c>
      <c r="E48" s="84">
        <v>7.1</v>
      </c>
      <c r="F48" s="84">
        <v>8.2200000000000006</v>
      </c>
      <c r="G48" s="84"/>
      <c r="H48" s="84"/>
    </row>
    <row r="49" spans="1:10" ht="13" x14ac:dyDescent="0.3">
      <c r="A49" s="126" t="s">
        <v>196</v>
      </c>
      <c r="B49" s="84"/>
      <c r="C49" s="84">
        <v>0.34899999999999998</v>
      </c>
      <c r="D49" s="84">
        <v>7.35</v>
      </c>
      <c r="E49" s="206">
        <v>7.1</v>
      </c>
      <c r="F49" s="84">
        <v>8.2200000000000006</v>
      </c>
      <c r="G49" s="84"/>
      <c r="H49" s="84"/>
    </row>
    <row r="51" spans="1:10" ht="14" x14ac:dyDescent="0.3">
      <c r="A51" s="209" t="s">
        <v>249</v>
      </c>
      <c r="B51" s="209" t="s">
        <v>184</v>
      </c>
      <c r="C51" s="209" t="s">
        <v>185</v>
      </c>
      <c r="D51" s="209" t="s">
        <v>186</v>
      </c>
      <c r="E51" s="209" t="s">
        <v>187</v>
      </c>
      <c r="F51" s="209" t="s">
        <v>188</v>
      </c>
      <c r="G51" s="209"/>
      <c r="H51" s="209" t="s">
        <v>201</v>
      </c>
      <c r="I51" s="210" t="s">
        <v>213</v>
      </c>
    </row>
    <row r="52" spans="1:10" ht="13" x14ac:dyDescent="0.3">
      <c r="A52" s="126" t="s">
        <v>192</v>
      </c>
      <c r="B52" s="143">
        <v>0.13472222222222222</v>
      </c>
      <c r="C52" s="84">
        <v>0.34699999999999998</v>
      </c>
      <c r="D52" s="84">
        <v>7.88</v>
      </c>
      <c r="E52" s="84">
        <v>7.4</v>
      </c>
      <c r="F52" s="84">
        <v>8.2100000000000009</v>
      </c>
      <c r="G52" s="84"/>
      <c r="H52" s="134">
        <v>1.4</v>
      </c>
      <c r="I52" s="84">
        <v>4.7</v>
      </c>
    </row>
    <row r="53" spans="1:10" ht="13" x14ac:dyDescent="0.3">
      <c r="A53" s="126" t="s">
        <v>193</v>
      </c>
      <c r="B53" s="84"/>
      <c r="C53" s="84">
        <v>0.34699999999999998</v>
      </c>
      <c r="D53" s="84">
        <v>7.7</v>
      </c>
      <c r="E53" s="84">
        <v>7.1</v>
      </c>
      <c r="F53" s="84">
        <v>8.2200000000000006</v>
      </c>
      <c r="G53" s="84"/>
      <c r="H53" s="84"/>
      <c r="J53" s="3">
        <f>AVERAGE(E52:E56)</f>
        <v>7.08</v>
      </c>
    </row>
    <row r="54" spans="1:10" ht="13" x14ac:dyDescent="0.3">
      <c r="A54" s="126" t="s">
        <v>194</v>
      </c>
      <c r="B54" s="84"/>
      <c r="C54" s="84">
        <v>0.34799999999999998</v>
      </c>
      <c r="D54" s="84">
        <v>7.3</v>
      </c>
      <c r="E54" s="84">
        <v>7</v>
      </c>
      <c r="F54" s="84">
        <v>8.2200000000000006</v>
      </c>
      <c r="G54" s="84"/>
      <c r="H54" s="84"/>
      <c r="J54" s="3">
        <f>AVERAGE(E52:E54)</f>
        <v>7.166666666666667</v>
      </c>
    </row>
    <row r="55" spans="1:10" ht="13" x14ac:dyDescent="0.3">
      <c r="A55" s="126" t="s">
        <v>195</v>
      </c>
      <c r="B55" s="84"/>
      <c r="C55" s="84">
        <v>0.34899999999999998</v>
      </c>
      <c r="D55" s="84">
        <v>7.23</v>
      </c>
      <c r="E55" s="84">
        <v>7</v>
      </c>
      <c r="F55" s="84">
        <v>8.2100000000000009</v>
      </c>
      <c r="G55" s="84"/>
      <c r="H55" s="84"/>
    </row>
    <row r="56" spans="1:10" ht="13" x14ac:dyDescent="0.3">
      <c r="A56" s="126" t="s">
        <v>196</v>
      </c>
      <c r="B56" s="84"/>
      <c r="C56" s="84">
        <v>0.35099999999999998</v>
      </c>
      <c r="D56" s="84">
        <v>6.85</v>
      </c>
      <c r="E56" s="280">
        <v>6.9</v>
      </c>
      <c r="F56" s="84">
        <v>8.17</v>
      </c>
      <c r="G56" s="84"/>
      <c r="H56" s="84"/>
    </row>
    <row r="58" spans="1:10" ht="14" x14ac:dyDescent="0.3">
      <c r="A58" s="209" t="s">
        <v>250</v>
      </c>
      <c r="B58" s="209" t="s">
        <v>184</v>
      </c>
      <c r="C58" s="209" t="s">
        <v>185</v>
      </c>
      <c r="D58" s="209" t="s">
        <v>186</v>
      </c>
      <c r="E58" s="209" t="s">
        <v>187</v>
      </c>
      <c r="F58" s="209" t="s">
        <v>188</v>
      </c>
      <c r="G58" s="209"/>
      <c r="H58" s="209" t="s">
        <v>201</v>
      </c>
      <c r="I58" s="210" t="s">
        <v>213</v>
      </c>
    </row>
    <row r="59" spans="1:10" ht="13" x14ac:dyDescent="0.3">
      <c r="A59" s="126" t="s">
        <v>192</v>
      </c>
      <c r="B59" s="143">
        <v>0.14027777777777778</v>
      </c>
      <c r="C59" s="84">
        <v>0.35</v>
      </c>
      <c r="D59" s="84">
        <v>7.8</v>
      </c>
      <c r="E59" s="84">
        <v>7.3</v>
      </c>
      <c r="F59" s="84">
        <v>8.23</v>
      </c>
      <c r="G59" s="84"/>
      <c r="H59" s="134">
        <v>1.7</v>
      </c>
      <c r="I59" s="84">
        <v>3.2</v>
      </c>
      <c r="J59" s="3">
        <f>AVERAGE(E59:E61)</f>
        <v>7.3</v>
      </c>
    </row>
    <row r="60" spans="1:10" ht="13" x14ac:dyDescent="0.3">
      <c r="A60" s="126" t="s">
        <v>193</v>
      </c>
      <c r="B60" s="84"/>
      <c r="C60" s="84">
        <v>0.35099999999999998</v>
      </c>
      <c r="D60" s="84">
        <v>7.65</v>
      </c>
      <c r="E60" s="84">
        <v>7.3</v>
      </c>
      <c r="F60" s="84">
        <v>8.23</v>
      </c>
      <c r="G60" s="84"/>
      <c r="H60" s="84"/>
      <c r="J60" s="3">
        <f>AVERAGE(E59:E61)</f>
        <v>7.3</v>
      </c>
    </row>
    <row r="61" spans="1:10" ht="13" x14ac:dyDescent="0.3">
      <c r="A61" s="126" t="s">
        <v>194</v>
      </c>
      <c r="B61" s="84"/>
      <c r="C61" s="84">
        <v>0.35099999999999998</v>
      </c>
      <c r="D61" s="84">
        <v>7.8</v>
      </c>
      <c r="E61" s="84">
        <v>7.3</v>
      </c>
      <c r="F61" s="84">
        <v>8.1999999999999993</v>
      </c>
      <c r="G61" s="84"/>
      <c r="H61" s="84"/>
    </row>
    <row r="63" spans="1:10" ht="14" x14ac:dyDescent="0.3">
      <c r="A63" s="209" t="s">
        <v>251</v>
      </c>
      <c r="B63" s="209" t="s">
        <v>184</v>
      </c>
      <c r="C63" s="209" t="s">
        <v>185</v>
      </c>
      <c r="D63" s="209" t="s">
        <v>186</v>
      </c>
      <c r="E63" s="209" t="s">
        <v>187</v>
      </c>
      <c r="F63" s="209" t="s">
        <v>188</v>
      </c>
      <c r="G63" s="209"/>
      <c r="H63" s="209" t="s">
        <v>201</v>
      </c>
      <c r="I63" s="210" t="s">
        <v>213</v>
      </c>
    </row>
    <row r="64" spans="1:10" ht="13" x14ac:dyDescent="0.3">
      <c r="A64" s="126" t="s">
        <v>192</v>
      </c>
      <c r="B64" s="143">
        <v>0.14722222222222223</v>
      </c>
      <c r="C64" s="84">
        <v>0.34699999999999998</v>
      </c>
      <c r="D64" s="84">
        <v>7.96</v>
      </c>
      <c r="E64" s="84">
        <v>7.4</v>
      </c>
      <c r="F64" s="84">
        <v>8.3000000000000007</v>
      </c>
      <c r="G64" s="84"/>
      <c r="H64" s="134">
        <v>2.2000000000000002</v>
      </c>
      <c r="I64" s="84">
        <v>5.7</v>
      </c>
      <c r="J64" s="3">
        <f>AVERAGE(E64:E70)</f>
        <v>7.1833333333333327</v>
      </c>
    </row>
    <row r="65" spans="1:10" ht="13" x14ac:dyDescent="0.3">
      <c r="A65" s="126" t="s">
        <v>193</v>
      </c>
      <c r="B65" s="84"/>
      <c r="C65" s="84">
        <v>0.34699999999999998</v>
      </c>
      <c r="D65" s="84">
        <v>7.6</v>
      </c>
      <c r="E65" s="84">
        <v>7.3</v>
      </c>
      <c r="F65" s="84">
        <v>8.32</v>
      </c>
      <c r="G65" s="84"/>
      <c r="H65" s="84"/>
      <c r="J65" s="3">
        <f>AVERAGE(E64:E66)</f>
        <v>7.3</v>
      </c>
    </row>
    <row r="66" spans="1:10" ht="13" x14ac:dyDescent="0.3">
      <c r="A66" s="126" t="s">
        <v>194</v>
      </c>
      <c r="B66" s="84"/>
      <c r="C66" s="84">
        <v>0.34699999999999998</v>
      </c>
      <c r="D66" s="84">
        <v>7.62</v>
      </c>
      <c r="E66" s="84">
        <v>7.2</v>
      </c>
      <c r="F66" s="84">
        <v>8.32</v>
      </c>
      <c r="G66" s="84"/>
      <c r="H66" s="84"/>
    </row>
    <row r="67" spans="1:10" ht="13" x14ac:dyDescent="0.3">
      <c r="A67" s="126" t="s">
        <v>195</v>
      </c>
      <c r="B67" s="84"/>
      <c r="C67" s="84">
        <v>0.34699999999999998</v>
      </c>
      <c r="D67" s="84">
        <v>7.65</v>
      </c>
      <c r="E67" s="84">
        <v>7.2</v>
      </c>
      <c r="F67" s="84">
        <v>8.27</v>
      </c>
      <c r="G67" s="84"/>
      <c r="H67" s="84"/>
    </row>
    <row r="68" spans="1:10" ht="13" x14ac:dyDescent="0.3">
      <c r="A68" s="126" t="s">
        <v>196</v>
      </c>
      <c r="B68" s="84"/>
      <c r="C68" s="84">
        <v>0.34699999999999998</v>
      </c>
      <c r="D68" s="84">
        <v>7.6</v>
      </c>
      <c r="E68" s="84">
        <v>7.1</v>
      </c>
      <c r="F68" s="84">
        <v>8.26</v>
      </c>
      <c r="G68" s="84"/>
      <c r="H68" s="84"/>
    </row>
    <row r="69" spans="1:10" ht="13" x14ac:dyDescent="0.3">
      <c r="A69" s="126" t="s">
        <v>197</v>
      </c>
      <c r="B69" s="84"/>
      <c r="C69" s="84">
        <v>0.34699999999999998</v>
      </c>
      <c r="D69" s="84">
        <v>7.37</v>
      </c>
      <c r="E69" s="84">
        <v>6.9</v>
      </c>
      <c r="F69" s="84">
        <v>8.25</v>
      </c>
      <c r="G69" s="84"/>
      <c r="H69" s="84"/>
    </row>
    <row r="70" spans="1:10" ht="13" x14ac:dyDescent="0.3">
      <c r="A70" s="414" t="s">
        <v>198</v>
      </c>
      <c r="B70" s="84"/>
      <c r="C70" s="84"/>
      <c r="D70" s="206"/>
      <c r="E70" s="84"/>
      <c r="F70" s="84"/>
      <c r="G70" s="84"/>
    </row>
  </sheetData>
  <mergeCells count="7">
    <mergeCell ref="H34:I34"/>
    <mergeCell ref="H36:I36"/>
    <mergeCell ref="A29:B29"/>
    <mergeCell ref="D29:E29"/>
    <mergeCell ref="H29:I29"/>
    <mergeCell ref="B32:C32"/>
    <mergeCell ref="E32:F3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65"/>
  <sheetViews>
    <sheetView workbookViewId="0">
      <selection activeCell="F4" sqref="F4:F17"/>
    </sheetView>
  </sheetViews>
  <sheetFormatPr defaultRowHeight="12.5" x14ac:dyDescent="0.25"/>
  <cols>
    <col min="1" max="1" width="13.54296875" customWidth="1"/>
    <col min="2" max="2" width="12.54296875" customWidth="1"/>
    <col min="4" max="4" width="10.08984375" bestFit="1" customWidth="1"/>
    <col min="7" max="7" width="12.36328125" customWidth="1"/>
    <col min="8" max="8" width="12.453125" customWidth="1"/>
    <col min="11" max="11" width="16" customWidth="1"/>
    <col min="12" max="12" width="9.08984375" customWidth="1"/>
  </cols>
  <sheetData>
    <row r="1" spans="1:12" ht="14" x14ac:dyDescent="0.3">
      <c r="A1" s="135" t="s">
        <v>722</v>
      </c>
    </row>
    <row r="2" spans="1:12" ht="13" x14ac:dyDescent="0.3">
      <c r="A2" s="1" t="s">
        <v>180</v>
      </c>
      <c r="B2" s="155">
        <v>40514</v>
      </c>
    </row>
    <row r="3" spans="1:12" ht="14" x14ac:dyDescent="0.3">
      <c r="A3" s="209" t="s">
        <v>23</v>
      </c>
      <c r="B3" s="209" t="s">
        <v>184</v>
      </c>
      <c r="C3" s="209" t="s">
        <v>185</v>
      </c>
      <c r="D3" s="209" t="s">
        <v>186</v>
      </c>
      <c r="E3" s="209" t="s">
        <v>187</v>
      </c>
      <c r="F3" s="209" t="s">
        <v>188</v>
      </c>
    </row>
    <row r="4" spans="1:12" ht="13" x14ac:dyDescent="0.3">
      <c r="A4" s="94" t="s">
        <v>238</v>
      </c>
      <c r="B4" s="143">
        <v>0.39583333333333331</v>
      </c>
      <c r="C4" s="84">
        <v>1.85</v>
      </c>
      <c r="D4" s="84">
        <v>10.41</v>
      </c>
      <c r="E4" s="84">
        <v>3.2</v>
      </c>
      <c r="F4" s="84">
        <v>7.15</v>
      </c>
      <c r="G4" s="92"/>
    </row>
    <row r="5" spans="1:12" ht="13" x14ac:dyDescent="0.3">
      <c r="A5" s="94" t="s">
        <v>239</v>
      </c>
      <c r="B5" s="143">
        <v>0.40625</v>
      </c>
      <c r="C5" s="84">
        <v>0.59799999999999998</v>
      </c>
      <c r="D5" s="84">
        <v>10.38</v>
      </c>
      <c r="E5" s="84">
        <v>3.4</v>
      </c>
      <c r="F5" s="84">
        <v>7.5</v>
      </c>
      <c r="G5" s="92"/>
      <c r="K5" s="189" t="s">
        <v>281</v>
      </c>
      <c r="L5" s="189" t="s">
        <v>283</v>
      </c>
    </row>
    <row r="6" spans="1:12" ht="13" x14ac:dyDescent="0.3">
      <c r="A6" s="94" t="s">
        <v>240</v>
      </c>
      <c r="B6" s="143">
        <v>0.4236111111111111</v>
      </c>
      <c r="C6" s="84">
        <v>0.36</v>
      </c>
      <c r="D6" s="84">
        <v>11.6</v>
      </c>
      <c r="E6" s="84">
        <v>4.2</v>
      </c>
      <c r="F6" s="84">
        <v>8.1999999999999993</v>
      </c>
      <c r="G6" s="92"/>
      <c r="K6" s="84"/>
      <c r="L6" s="484"/>
    </row>
    <row r="7" spans="1:12" ht="14" x14ac:dyDescent="0.3">
      <c r="A7" s="94" t="s">
        <v>229</v>
      </c>
      <c r="B7" s="318" t="s">
        <v>241</v>
      </c>
      <c r="C7" s="319"/>
      <c r="D7" s="319"/>
      <c r="E7" s="319"/>
      <c r="F7" s="320"/>
      <c r="G7" s="209" t="s">
        <v>201</v>
      </c>
      <c r="H7" s="210" t="s">
        <v>213</v>
      </c>
      <c r="K7" s="189" t="s">
        <v>282</v>
      </c>
      <c r="L7" s="484">
        <v>18</v>
      </c>
    </row>
    <row r="8" spans="1:12" ht="13" x14ac:dyDescent="0.3">
      <c r="A8" s="126" t="s">
        <v>192</v>
      </c>
      <c r="B8" s="143">
        <v>0.47916666666666669</v>
      </c>
      <c r="C8" s="84">
        <v>0.38100000000000001</v>
      </c>
      <c r="D8" s="84">
        <v>10.62</v>
      </c>
      <c r="E8" s="84">
        <v>3.1</v>
      </c>
      <c r="F8" s="84">
        <v>8.35</v>
      </c>
      <c r="G8" s="134">
        <v>1.65</v>
      </c>
      <c r="H8" s="188">
        <v>10.199999999999999</v>
      </c>
      <c r="I8" s="21" t="s">
        <v>740</v>
      </c>
      <c r="J8" s="21" t="s">
        <v>627</v>
      </c>
      <c r="K8" s="189" t="s">
        <v>284</v>
      </c>
      <c r="L8" s="484">
        <v>28</v>
      </c>
    </row>
    <row r="9" spans="1:12" ht="13" x14ac:dyDescent="0.3">
      <c r="A9" s="126" t="s">
        <v>193</v>
      </c>
      <c r="B9" s="84"/>
      <c r="C9" s="84">
        <v>0.38100000000000001</v>
      </c>
      <c r="D9" s="84">
        <v>10.55</v>
      </c>
      <c r="E9" s="84">
        <v>3.2</v>
      </c>
      <c r="F9" s="84">
        <v>8.31</v>
      </c>
      <c r="G9" s="84"/>
      <c r="I9" s="6">
        <f>AVERAGE(D8:D10)</f>
        <v>10.556666666666667</v>
      </c>
      <c r="J9" s="6">
        <f>AVERAGE(E8:E10)</f>
        <v>3.1666666666666665</v>
      </c>
      <c r="K9" s="189" t="s">
        <v>285</v>
      </c>
      <c r="L9" s="484">
        <v>0</v>
      </c>
    </row>
    <row r="10" spans="1:12" ht="13" x14ac:dyDescent="0.3">
      <c r="A10" s="126" t="s">
        <v>194</v>
      </c>
      <c r="B10" s="84"/>
      <c r="C10" s="84">
        <v>0.38200000000000001</v>
      </c>
      <c r="D10" s="84">
        <v>10.5</v>
      </c>
      <c r="E10" s="84">
        <v>3.2</v>
      </c>
      <c r="F10" s="84">
        <v>8.27</v>
      </c>
      <c r="G10" s="84"/>
      <c r="I10" s="6">
        <f>AVERAGE(D8:D12)</f>
        <v>10.456</v>
      </c>
      <c r="K10" s="189" t="s">
        <v>286</v>
      </c>
      <c r="L10" s="291">
        <v>23</v>
      </c>
    </row>
    <row r="11" spans="1:12" ht="13" x14ac:dyDescent="0.3">
      <c r="A11" s="126" t="s">
        <v>195</v>
      </c>
      <c r="B11" s="84"/>
      <c r="C11" s="84">
        <v>0.38200000000000001</v>
      </c>
      <c r="D11" s="89">
        <v>10.4</v>
      </c>
      <c r="E11" s="84">
        <v>3.2</v>
      </c>
      <c r="F11" s="84">
        <v>8.26</v>
      </c>
      <c r="G11" s="84"/>
      <c r="K11" s="422" t="s">
        <v>288</v>
      </c>
      <c r="L11" s="291">
        <v>0</v>
      </c>
    </row>
    <row r="12" spans="1:12" ht="13" x14ac:dyDescent="0.3">
      <c r="A12" s="126" t="s">
        <v>196</v>
      </c>
      <c r="B12" s="84"/>
      <c r="C12" s="84">
        <v>0.38300000000000001</v>
      </c>
      <c r="D12" s="84">
        <v>10.210000000000001</v>
      </c>
      <c r="E12" s="84">
        <v>3.2</v>
      </c>
      <c r="F12" s="84">
        <v>8.33</v>
      </c>
      <c r="G12" s="84"/>
      <c r="K12" s="422" t="s">
        <v>292</v>
      </c>
      <c r="L12" s="291">
        <v>0</v>
      </c>
    </row>
    <row r="13" spans="1:12" ht="13" x14ac:dyDescent="0.3">
      <c r="A13" s="126" t="s">
        <v>197</v>
      </c>
      <c r="B13" s="84"/>
      <c r="C13" s="84">
        <v>0.38200000000000001</v>
      </c>
      <c r="D13" s="84">
        <v>10.11</v>
      </c>
      <c r="E13" s="84">
        <v>3.3</v>
      </c>
      <c r="F13" s="84">
        <v>8.34</v>
      </c>
      <c r="G13" s="84"/>
      <c r="K13" s="422" t="s">
        <v>316</v>
      </c>
      <c r="L13" s="291">
        <v>1</v>
      </c>
    </row>
    <row r="14" spans="1:12" ht="13" x14ac:dyDescent="0.3">
      <c r="A14" s="126" t="s">
        <v>198</v>
      </c>
      <c r="B14" s="84"/>
      <c r="C14" s="84">
        <v>0.38500000000000001</v>
      </c>
      <c r="D14" s="84">
        <v>10.119999999999999</v>
      </c>
      <c r="E14" s="84">
        <v>3.4</v>
      </c>
      <c r="F14" s="84">
        <v>8.35</v>
      </c>
      <c r="G14" s="84"/>
      <c r="K14" s="426"/>
    </row>
    <row r="15" spans="1:12" ht="13" x14ac:dyDescent="0.3">
      <c r="A15" s="126" t="s">
        <v>199</v>
      </c>
      <c r="B15" s="84"/>
      <c r="C15" s="84">
        <v>0.38900000000000001</v>
      </c>
      <c r="D15" s="84">
        <v>10.02</v>
      </c>
      <c r="E15" s="84">
        <v>3.4</v>
      </c>
      <c r="F15" s="84">
        <v>8.3699999999999992</v>
      </c>
      <c r="G15" s="84"/>
    </row>
    <row r="16" spans="1:12" ht="13" x14ac:dyDescent="0.3">
      <c r="A16" s="126" t="s">
        <v>200</v>
      </c>
      <c r="B16" s="143"/>
      <c r="C16" s="84">
        <v>0.39400000000000002</v>
      </c>
      <c r="D16" s="84">
        <v>9.9600000000000009</v>
      </c>
      <c r="E16" s="84">
        <v>3.4</v>
      </c>
      <c r="F16" s="84">
        <v>8.34</v>
      </c>
      <c r="G16" s="84"/>
    </row>
    <row r="17" spans="1:15" ht="13" x14ac:dyDescent="0.3">
      <c r="A17" s="126" t="s">
        <v>227</v>
      </c>
      <c r="B17" s="143"/>
      <c r="C17" s="84">
        <v>0.44400000000000001</v>
      </c>
      <c r="D17" s="84">
        <v>8.3000000000000007</v>
      </c>
      <c r="E17" s="84">
        <v>3.6</v>
      </c>
      <c r="F17" s="84">
        <v>8.17</v>
      </c>
      <c r="G17" s="84"/>
    </row>
    <row r="18" spans="1:15" ht="13" x14ac:dyDescent="0.3">
      <c r="A18" s="126" t="s">
        <v>228</v>
      </c>
      <c r="B18" s="84"/>
      <c r="C18" s="84"/>
      <c r="D18" s="84"/>
      <c r="E18" s="84"/>
      <c r="F18" s="84"/>
      <c r="G18" s="84"/>
    </row>
    <row r="19" spans="1:15" ht="13" x14ac:dyDescent="0.3">
      <c r="A19" s="208"/>
      <c r="B19" s="92"/>
      <c r="C19" s="92"/>
      <c r="D19" s="443">
        <f>AVERAGE(D8:D18)</f>
        <v>10.079000000000001</v>
      </c>
      <c r="E19" s="92"/>
      <c r="F19" s="92"/>
      <c r="G19" s="92"/>
    </row>
    <row r="20" spans="1:15" ht="13" x14ac:dyDescent="0.3">
      <c r="A20" s="126" t="s">
        <v>230</v>
      </c>
      <c r="B20" s="143">
        <v>0.4375</v>
      </c>
      <c r="C20" s="84">
        <v>1.37</v>
      </c>
      <c r="D20" s="84">
        <v>10.28</v>
      </c>
      <c r="E20" s="84">
        <v>0</v>
      </c>
      <c r="F20" s="84">
        <v>7.9</v>
      </c>
      <c r="G20" s="189" t="s">
        <v>736</v>
      </c>
    </row>
    <row r="21" spans="1:15" ht="13" x14ac:dyDescent="0.3">
      <c r="A21" s="414" t="s">
        <v>231</v>
      </c>
      <c r="B21" s="143">
        <v>0.44791666666666669</v>
      </c>
      <c r="C21" s="84">
        <v>1.34</v>
      </c>
      <c r="D21" s="84">
        <v>12</v>
      </c>
      <c r="E21" s="84">
        <v>0.5</v>
      </c>
      <c r="F21" s="84">
        <v>7.81</v>
      </c>
      <c r="G21" s="189" t="s">
        <v>737</v>
      </c>
    </row>
    <row r="22" spans="1:15" x14ac:dyDescent="0.25">
      <c r="A22" s="131" t="s">
        <v>11</v>
      </c>
      <c r="B22" s="132"/>
      <c r="C22" s="228" t="s">
        <v>738</v>
      </c>
      <c r="D22" s="132"/>
      <c r="E22" s="132"/>
      <c r="F22" s="132"/>
      <c r="G22" s="132"/>
    </row>
    <row r="23" spans="1:15" x14ac:dyDescent="0.25">
      <c r="A23" s="144"/>
      <c r="B23" s="483"/>
      <c r="C23" s="483"/>
      <c r="D23" s="483"/>
      <c r="E23" s="483"/>
      <c r="F23" s="483"/>
      <c r="G23" s="483"/>
    </row>
    <row r="24" spans="1:15" x14ac:dyDescent="0.25">
      <c r="A24" s="144"/>
      <c r="B24" s="483"/>
      <c r="C24" s="483"/>
      <c r="D24" s="483"/>
      <c r="E24" s="483"/>
      <c r="F24" s="483"/>
      <c r="G24" s="483"/>
    </row>
    <row r="25" spans="1:15" x14ac:dyDescent="0.25">
      <c r="B25" s="89"/>
    </row>
    <row r="26" spans="1:15" ht="15.5" x14ac:dyDescent="0.35">
      <c r="A26" s="853" t="s">
        <v>130</v>
      </c>
      <c r="B26" s="853"/>
      <c r="C26" s="395"/>
      <c r="D26" s="853" t="s">
        <v>133</v>
      </c>
      <c r="E26" s="853"/>
      <c r="F26" s="137"/>
      <c r="G26" s="849" t="s">
        <v>34</v>
      </c>
      <c r="H26" s="849"/>
    </row>
    <row r="27" spans="1:15" ht="15.5" x14ac:dyDescent="0.35">
      <c r="A27" s="162" t="s">
        <v>184</v>
      </c>
      <c r="B27" s="396">
        <v>0.39583333333333331</v>
      </c>
      <c r="C27" s="643">
        <v>0.7</v>
      </c>
      <c r="D27" s="162" t="s">
        <v>184</v>
      </c>
      <c r="E27" s="398">
        <v>0.40625</v>
      </c>
      <c r="F27" s="485">
        <v>3.35</v>
      </c>
      <c r="G27" s="162" t="s">
        <v>184</v>
      </c>
      <c r="H27" s="398">
        <v>0.4236111111111111</v>
      </c>
    </row>
    <row r="28" spans="1:15" ht="16" thickBot="1" x14ac:dyDescent="0.4">
      <c r="A28" s="162" t="s">
        <v>202</v>
      </c>
      <c r="B28" s="399">
        <v>8</v>
      </c>
      <c r="C28" s="399"/>
      <c r="D28" s="162" t="s">
        <v>202</v>
      </c>
      <c r="E28" s="400">
        <v>15</v>
      </c>
      <c r="F28" s="400"/>
      <c r="G28" s="162" t="s">
        <v>202</v>
      </c>
      <c r="H28" s="400">
        <v>50</v>
      </c>
    </row>
    <row r="29" spans="1:15" ht="16" thickBot="1" x14ac:dyDescent="0.3">
      <c r="A29" s="165" t="s">
        <v>203</v>
      </c>
      <c r="B29" s="852" t="s">
        <v>731</v>
      </c>
      <c r="C29" s="852"/>
      <c r="D29" s="163" t="s">
        <v>203</v>
      </c>
      <c r="E29" s="854" t="s">
        <v>732</v>
      </c>
      <c r="F29" s="854"/>
      <c r="G29" s="163" t="s">
        <v>203</v>
      </c>
      <c r="H29" s="166" t="s">
        <v>725</v>
      </c>
    </row>
    <row r="30" spans="1:15" ht="23" x14ac:dyDescent="0.25">
      <c r="A30" s="159" t="s">
        <v>204</v>
      </c>
      <c r="B30" s="159" t="s">
        <v>205</v>
      </c>
      <c r="C30" s="161" t="s">
        <v>206</v>
      </c>
      <c r="D30" s="159" t="s">
        <v>204</v>
      </c>
      <c r="E30" s="159" t="s">
        <v>733</v>
      </c>
      <c r="F30" s="161" t="s">
        <v>211</v>
      </c>
      <c r="G30" s="159" t="s">
        <v>205</v>
      </c>
      <c r="H30" s="161" t="s">
        <v>206</v>
      </c>
      <c r="K30" s="141" t="s">
        <v>204</v>
      </c>
      <c r="L30" s="141" t="s">
        <v>205</v>
      </c>
      <c r="M30" s="142" t="s">
        <v>206</v>
      </c>
      <c r="N30" s="141" t="s">
        <v>207</v>
      </c>
      <c r="O30" s="142" t="s">
        <v>208</v>
      </c>
    </row>
    <row r="31" spans="1:15" ht="15.5" x14ac:dyDescent="0.35">
      <c r="A31" s="160">
        <v>2</v>
      </c>
      <c r="B31" s="138">
        <v>0.3</v>
      </c>
      <c r="C31" s="138">
        <v>0.31</v>
      </c>
      <c r="D31" s="160"/>
      <c r="E31" s="138">
        <v>0.45</v>
      </c>
      <c r="F31" s="138">
        <v>0.25</v>
      </c>
      <c r="G31" s="849" t="s">
        <v>34</v>
      </c>
      <c r="H31" s="849"/>
      <c r="K31" s="138">
        <v>2</v>
      </c>
      <c r="L31" s="138">
        <v>0.08</v>
      </c>
      <c r="M31" s="138">
        <v>0.38</v>
      </c>
      <c r="N31" s="138">
        <f>L31*50</f>
        <v>4</v>
      </c>
      <c r="O31" s="139">
        <f t="shared" ref="O31:O38" si="0">M31*N31</f>
        <v>1.52</v>
      </c>
    </row>
    <row r="32" spans="1:15" ht="15.5" x14ac:dyDescent="0.35">
      <c r="A32" s="160">
        <v>4</v>
      </c>
      <c r="B32" s="138">
        <v>0.28000000000000003</v>
      </c>
      <c r="C32" s="138">
        <v>0.72</v>
      </c>
      <c r="D32" s="160"/>
      <c r="E32" s="138">
        <v>0.45</v>
      </c>
      <c r="F32" s="138">
        <v>0.19</v>
      </c>
      <c r="G32" s="138">
        <v>0.08</v>
      </c>
      <c r="H32" s="139">
        <v>0.38</v>
      </c>
      <c r="I32" s="647">
        <v>1.52</v>
      </c>
      <c r="K32" s="138">
        <v>4</v>
      </c>
      <c r="L32" s="138">
        <v>0.45</v>
      </c>
      <c r="M32" s="138">
        <v>0.19</v>
      </c>
      <c r="N32" s="138">
        <f>L32*2</f>
        <v>0.9</v>
      </c>
      <c r="O32" s="139">
        <f t="shared" si="0"/>
        <v>0.17100000000000001</v>
      </c>
    </row>
    <row r="33" spans="1:15" ht="15.5" x14ac:dyDescent="0.35">
      <c r="A33" s="160">
        <v>6</v>
      </c>
      <c r="B33" s="138">
        <v>0.36</v>
      </c>
      <c r="C33" s="138">
        <v>0.34</v>
      </c>
      <c r="D33" s="160"/>
      <c r="E33" s="138">
        <v>0.4</v>
      </c>
      <c r="F33" s="138">
        <v>0.23</v>
      </c>
      <c r="G33" s="850" t="s">
        <v>214</v>
      </c>
      <c r="H33" s="851"/>
      <c r="K33" s="138">
        <v>6</v>
      </c>
      <c r="L33" s="138">
        <v>0.4</v>
      </c>
      <c r="M33" s="138">
        <v>0.23</v>
      </c>
      <c r="N33" s="138">
        <f>L33*2</f>
        <v>0.8</v>
      </c>
      <c r="O33" s="139">
        <f t="shared" si="0"/>
        <v>0.18400000000000002</v>
      </c>
    </row>
    <row r="34" spans="1:15" ht="15.5" x14ac:dyDescent="0.35">
      <c r="A34" s="160">
        <v>8</v>
      </c>
      <c r="B34" s="138"/>
      <c r="C34" s="138"/>
      <c r="D34" s="160"/>
      <c r="E34" s="138">
        <v>0.32</v>
      </c>
      <c r="F34" s="138">
        <v>0.34</v>
      </c>
      <c r="G34" s="138" t="s">
        <v>734</v>
      </c>
      <c r="H34" s="139">
        <v>1.02</v>
      </c>
      <c r="I34">
        <v>0.71</v>
      </c>
      <c r="K34" s="138">
        <v>8</v>
      </c>
      <c r="L34" s="138">
        <v>0.32</v>
      </c>
      <c r="M34" s="138">
        <v>0.34</v>
      </c>
      <c r="N34" s="138">
        <f>L34*2</f>
        <v>0.64</v>
      </c>
      <c r="O34" s="139">
        <f t="shared" si="0"/>
        <v>0.21760000000000002</v>
      </c>
    </row>
    <row r="35" spans="1:15" ht="15.5" x14ac:dyDescent="0.35">
      <c r="A35" s="160">
        <v>10</v>
      </c>
      <c r="B35" s="138"/>
      <c r="C35" s="138"/>
      <c r="D35" s="160"/>
      <c r="E35" s="138">
        <v>0.28000000000000003</v>
      </c>
      <c r="F35" s="138">
        <v>0.16</v>
      </c>
      <c r="G35" s="138" t="s">
        <v>215</v>
      </c>
      <c r="H35" s="139"/>
      <c r="K35" s="140">
        <v>10</v>
      </c>
      <c r="L35" s="138">
        <v>0.28000000000000003</v>
      </c>
      <c r="M35" s="138">
        <v>0.16</v>
      </c>
      <c r="N35" s="138">
        <f>L35*2</f>
        <v>0.56000000000000005</v>
      </c>
      <c r="O35" s="139">
        <f t="shared" si="0"/>
        <v>8.9600000000000013E-2</v>
      </c>
    </row>
    <row r="36" spans="1:15" ht="15.5" x14ac:dyDescent="0.35">
      <c r="A36" s="128"/>
      <c r="B36" s="138"/>
      <c r="C36" s="138"/>
      <c r="D36" s="160"/>
      <c r="E36" s="140">
        <v>0.2</v>
      </c>
      <c r="F36" s="138">
        <v>0.16</v>
      </c>
      <c r="G36" s="138" t="s">
        <v>735</v>
      </c>
      <c r="H36" s="139">
        <v>0.99</v>
      </c>
      <c r="I36">
        <v>0.55000000000000004</v>
      </c>
      <c r="K36" s="140">
        <v>12</v>
      </c>
      <c r="L36" s="140">
        <v>0.2</v>
      </c>
      <c r="M36" s="138">
        <v>0.16</v>
      </c>
      <c r="N36" s="138">
        <f>L36*2</f>
        <v>0.4</v>
      </c>
      <c r="O36" s="139">
        <f t="shared" si="0"/>
        <v>6.4000000000000001E-2</v>
      </c>
    </row>
    <row r="37" spans="1:15" ht="15.5" x14ac:dyDescent="0.35">
      <c r="A37" s="128"/>
      <c r="B37" s="416"/>
      <c r="C37" s="553"/>
      <c r="D37" s="417"/>
      <c r="E37" s="230">
        <v>0.18</v>
      </c>
      <c r="F37" s="553">
        <v>0.25</v>
      </c>
      <c r="G37" s="416"/>
      <c r="H37" s="418"/>
      <c r="K37" s="140">
        <v>14</v>
      </c>
      <c r="L37" s="230">
        <v>0.18</v>
      </c>
      <c r="M37" s="553">
        <v>0.25</v>
      </c>
      <c r="N37" s="138">
        <f>L37*3</f>
        <v>0.54</v>
      </c>
      <c r="O37" s="139">
        <f t="shared" si="0"/>
        <v>0.13500000000000001</v>
      </c>
    </row>
    <row r="38" spans="1:15" ht="15.5" x14ac:dyDescent="0.35">
      <c r="C38" s="647">
        <v>1.05</v>
      </c>
      <c r="E38" s="230"/>
      <c r="F38" s="647">
        <v>1.2</v>
      </c>
      <c r="K38" s="140">
        <v>16</v>
      </c>
      <c r="L38" s="140"/>
      <c r="M38" s="140"/>
      <c r="N38" s="138">
        <f>L38*4</f>
        <v>0</v>
      </c>
      <c r="O38" s="139">
        <f t="shared" si="0"/>
        <v>0</v>
      </c>
    </row>
    <row r="39" spans="1:15" ht="15.5" x14ac:dyDescent="0.35">
      <c r="C39" s="467"/>
      <c r="E39" s="467"/>
      <c r="F39" s="467"/>
      <c r="K39" s="467">
        <v>18</v>
      </c>
      <c r="L39" s="467"/>
      <c r="M39" s="467"/>
      <c r="N39" s="416"/>
      <c r="O39" s="418"/>
    </row>
    <row r="40" spans="1:15" ht="15.5" x14ac:dyDescent="0.35">
      <c r="E40" s="467"/>
      <c r="F40" s="467"/>
      <c r="O40" s="6">
        <f>SUM(O31:O38)</f>
        <v>2.3811999999999998</v>
      </c>
    </row>
    <row r="41" spans="1:15" ht="14" x14ac:dyDescent="0.3">
      <c r="A41" s="135" t="s">
        <v>232</v>
      </c>
      <c r="C41" s="11" t="s">
        <v>233</v>
      </c>
      <c r="D41" s="155">
        <v>40514</v>
      </c>
    </row>
    <row r="42" spans="1:15" ht="14" x14ac:dyDescent="0.3">
      <c r="A42" s="209" t="s">
        <v>248</v>
      </c>
      <c r="B42" s="209" t="s">
        <v>184</v>
      </c>
      <c r="C42" s="209" t="s">
        <v>185</v>
      </c>
      <c r="D42" s="209" t="s">
        <v>186</v>
      </c>
      <c r="E42" s="209" t="s">
        <v>187</v>
      </c>
      <c r="F42" s="209" t="s">
        <v>188</v>
      </c>
      <c r="G42" s="209" t="s">
        <v>201</v>
      </c>
      <c r="H42" s="210" t="s">
        <v>213</v>
      </c>
    </row>
    <row r="43" spans="1:15" ht="13" x14ac:dyDescent="0.3">
      <c r="A43" s="126" t="s">
        <v>192</v>
      </c>
      <c r="B43" s="143">
        <v>0.48749999999999999</v>
      </c>
      <c r="C43" s="84">
        <v>0.38100000000000001</v>
      </c>
      <c r="D43" s="84">
        <v>11</v>
      </c>
      <c r="E43" s="84">
        <v>2.9</v>
      </c>
      <c r="F43" s="84">
        <v>8.4499999999999993</v>
      </c>
      <c r="G43" s="134">
        <v>1.5</v>
      </c>
      <c r="H43" s="84">
        <v>7.85</v>
      </c>
      <c r="I43" s="21" t="s">
        <v>739</v>
      </c>
      <c r="J43" s="21" t="s">
        <v>640</v>
      </c>
    </row>
    <row r="44" spans="1:15" ht="13" x14ac:dyDescent="0.3">
      <c r="A44" s="126" t="s">
        <v>193</v>
      </c>
      <c r="B44" s="84"/>
      <c r="C44" s="84">
        <v>0.38100000000000001</v>
      </c>
      <c r="D44" s="84">
        <v>10.8</v>
      </c>
      <c r="E44" s="84">
        <v>3</v>
      </c>
      <c r="F44" s="84">
        <v>8.44</v>
      </c>
      <c r="G44" s="84"/>
      <c r="I44">
        <f>AVERAGE(D43:D45)</f>
        <v>10.87</v>
      </c>
      <c r="J44" s="3">
        <f>AVERAGE(E43:E45)</f>
        <v>3</v>
      </c>
    </row>
    <row r="45" spans="1:15" ht="13" x14ac:dyDescent="0.3">
      <c r="A45" s="126" t="s">
        <v>194</v>
      </c>
      <c r="B45" s="84"/>
      <c r="C45" s="84">
        <v>0.38100000000000001</v>
      </c>
      <c r="D45" s="84">
        <v>10.81</v>
      </c>
      <c r="E45" s="84">
        <v>3.1</v>
      </c>
      <c r="F45" s="84">
        <v>8.39</v>
      </c>
      <c r="G45" s="84"/>
    </row>
    <row r="46" spans="1:15" ht="13" x14ac:dyDescent="0.3">
      <c r="A46" s="126" t="s">
        <v>195</v>
      </c>
      <c r="B46" s="84"/>
      <c r="C46" s="84">
        <v>0.38200000000000001</v>
      </c>
      <c r="D46" s="84">
        <v>10.050000000000001</v>
      </c>
      <c r="E46" s="84">
        <v>3.2</v>
      </c>
      <c r="F46" s="84">
        <v>8.34</v>
      </c>
      <c r="G46" s="84"/>
    </row>
    <row r="47" spans="1:15" ht="13" x14ac:dyDescent="0.3">
      <c r="A47" s="126" t="s">
        <v>196</v>
      </c>
      <c r="B47" s="84"/>
      <c r="C47" s="84">
        <v>0.38300000000000001</v>
      </c>
      <c r="D47" s="84">
        <v>10.039999999999999</v>
      </c>
      <c r="E47" s="221">
        <v>3.3</v>
      </c>
      <c r="F47" s="84">
        <v>8.24</v>
      </c>
      <c r="G47" s="84"/>
    </row>
    <row r="48" spans="1:15" ht="13" x14ac:dyDescent="0.3">
      <c r="A48" s="126" t="s">
        <v>197</v>
      </c>
      <c r="B48" s="84"/>
      <c r="C48" s="84">
        <v>0.38400000000000001</v>
      </c>
      <c r="D48" s="84">
        <v>10</v>
      </c>
      <c r="E48" s="84">
        <v>3.3</v>
      </c>
      <c r="F48" s="84">
        <v>8.25</v>
      </c>
      <c r="G48" s="84"/>
    </row>
    <row r="49" spans="1:10" ht="13" x14ac:dyDescent="0.3">
      <c r="A49" s="126" t="s">
        <v>198</v>
      </c>
      <c r="B49" s="84"/>
      <c r="C49" s="84">
        <v>0.38400000000000001</v>
      </c>
      <c r="D49" s="84">
        <v>9.9600000000000009</v>
      </c>
      <c r="E49" s="84">
        <v>3.3</v>
      </c>
      <c r="F49" s="84">
        <v>8.26</v>
      </c>
      <c r="G49" s="84"/>
    </row>
    <row r="50" spans="1:10" ht="13" x14ac:dyDescent="0.3">
      <c r="A50" s="126" t="s">
        <v>199</v>
      </c>
      <c r="B50" s="84"/>
      <c r="C50" s="84">
        <v>0.39100000000000001</v>
      </c>
      <c r="D50" s="84">
        <v>8.42</v>
      </c>
      <c r="E50" s="84">
        <v>3.5</v>
      </c>
      <c r="F50" s="84">
        <v>8.18</v>
      </c>
      <c r="G50" s="84"/>
    </row>
    <row r="51" spans="1:10" ht="14" x14ac:dyDescent="0.3">
      <c r="A51" s="209" t="s">
        <v>249</v>
      </c>
      <c r="B51" s="209" t="s">
        <v>184</v>
      </c>
      <c r="C51" s="209" t="s">
        <v>185</v>
      </c>
      <c r="D51" s="209" t="s">
        <v>186</v>
      </c>
      <c r="E51" s="209" t="s">
        <v>187</v>
      </c>
      <c r="F51" s="209" t="s">
        <v>188</v>
      </c>
      <c r="G51" s="209" t="s">
        <v>201</v>
      </c>
      <c r="H51" s="210" t="s">
        <v>213</v>
      </c>
    </row>
    <row r="52" spans="1:10" ht="13" x14ac:dyDescent="0.3">
      <c r="A52" s="126" t="s">
        <v>192</v>
      </c>
      <c r="B52" s="143">
        <v>0.49374999999999997</v>
      </c>
      <c r="C52" s="84">
        <v>0.38200000000000001</v>
      </c>
      <c r="D52" s="84">
        <v>10.88</v>
      </c>
      <c r="E52" s="84">
        <v>2.6</v>
      </c>
      <c r="F52" s="84">
        <v>8.26</v>
      </c>
      <c r="G52" s="134">
        <v>1.5</v>
      </c>
      <c r="H52" s="84">
        <v>4.5</v>
      </c>
      <c r="I52">
        <f>AVERAGE(D52:D54)</f>
        <v>10.626666666666667</v>
      </c>
      <c r="J52" s="3">
        <f>AVERAGE(E52:E54)</f>
        <v>3</v>
      </c>
    </row>
    <row r="53" spans="1:10" ht="13" x14ac:dyDescent="0.3">
      <c r="A53" s="126" t="s">
        <v>193</v>
      </c>
      <c r="B53" s="84"/>
      <c r="C53" s="84">
        <v>0.38200000000000001</v>
      </c>
      <c r="D53" s="84">
        <v>10.65</v>
      </c>
      <c r="E53" s="84">
        <v>3.1</v>
      </c>
      <c r="F53" s="84">
        <v>8.2200000000000006</v>
      </c>
      <c r="G53" s="84"/>
    </row>
    <row r="54" spans="1:10" ht="13" x14ac:dyDescent="0.3">
      <c r="A54" s="126" t="s">
        <v>194</v>
      </c>
      <c r="B54" s="84"/>
      <c r="C54" s="84">
        <v>0.38100000000000001</v>
      </c>
      <c r="D54" s="84">
        <v>10.35</v>
      </c>
      <c r="E54" s="84">
        <v>3.3</v>
      </c>
      <c r="F54" s="84">
        <v>8.2200000000000006</v>
      </c>
      <c r="G54" s="84"/>
    </row>
    <row r="55" spans="1:10" ht="13" x14ac:dyDescent="0.3">
      <c r="A55" s="126" t="s">
        <v>195</v>
      </c>
      <c r="B55" s="84"/>
      <c r="C55" s="84">
        <v>0.38300000000000001</v>
      </c>
      <c r="D55" s="84">
        <v>10.32</v>
      </c>
      <c r="E55" s="84">
        <v>3.3</v>
      </c>
      <c r="F55" s="84">
        <v>8.27</v>
      </c>
      <c r="G55" s="84"/>
    </row>
    <row r="56" spans="1:10" ht="14" x14ac:dyDescent="0.3">
      <c r="A56" s="209" t="s">
        <v>250</v>
      </c>
      <c r="B56" s="209" t="s">
        <v>184</v>
      </c>
      <c r="C56" s="209" t="s">
        <v>185</v>
      </c>
      <c r="D56" s="209" t="s">
        <v>186</v>
      </c>
      <c r="E56" s="209" t="s">
        <v>187</v>
      </c>
      <c r="F56" s="209" t="s">
        <v>188</v>
      </c>
      <c r="G56" s="209" t="s">
        <v>201</v>
      </c>
      <c r="H56" s="210" t="s">
        <v>213</v>
      </c>
    </row>
    <row r="57" spans="1:10" ht="13" x14ac:dyDescent="0.3">
      <c r="A57" s="126" t="s">
        <v>192</v>
      </c>
      <c r="B57" s="143">
        <v>0.5</v>
      </c>
      <c r="C57" s="84">
        <v>0.38200000000000001</v>
      </c>
      <c r="D57" s="84">
        <v>11.11</v>
      </c>
      <c r="E57" s="84">
        <v>3.3</v>
      </c>
      <c r="F57" s="84">
        <v>8.56</v>
      </c>
      <c r="G57" s="134">
        <v>1.5</v>
      </c>
      <c r="H57" s="84">
        <v>3.5</v>
      </c>
      <c r="I57">
        <f>AVERAGE(D57:D59)</f>
        <v>10.976666666666667</v>
      </c>
      <c r="J57" s="3">
        <f>AVERAGE(E57:E59)</f>
        <v>3.2666666666666671</v>
      </c>
    </row>
    <row r="58" spans="1:10" ht="13" x14ac:dyDescent="0.3">
      <c r="A58" s="126" t="s">
        <v>193</v>
      </c>
      <c r="B58" s="84"/>
      <c r="C58" s="84">
        <v>0.38300000000000001</v>
      </c>
      <c r="D58" s="84">
        <v>10.9</v>
      </c>
      <c r="E58" s="84">
        <v>3.3</v>
      </c>
      <c r="F58" s="84">
        <v>8.59</v>
      </c>
      <c r="G58" s="84"/>
    </row>
    <row r="59" spans="1:10" ht="13" x14ac:dyDescent="0.3">
      <c r="A59" s="126" t="s">
        <v>194</v>
      </c>
      <c r="B59" s="84"/>
      <c r="C59" s="84">
        <v>0.38600000000000001</v>
      </c>
      <c r="D59" s="84">
        <v>10.92</v>
      </c>
      <c r="E59" s="84">
        <v>3.2</v>
      </c>
      <c r="F59" s="84">
        <v>8.5299999999999994</v>
      </c>
      <c r="G59" s="84"/>
    </row>
    <row r="60" spans="1:10" ht="14" x14ac:dyDescent="0.3">
      <c r="A60" s="209" t="s">
        <v>251</v>
      </c>
      <c r="B60" s="209" t="s">
        <v>184</v>
      </c>
      <c r="C60" s="209" t="s">
        <v>185</v>
      </c>
      <c r="D60" s="209" t="s">
        <v>186</v>
      </c>
      <c r="E60" s="209" t="s">
        <v>187</v>
      </c>
      <c r="F60" s="209" t="s">
        <v>188</v>
      </c>
      <c r="G60" s="209" t="s">
        <v>201</v>
      </c>
      <c r="H60" s="210" t="s">
        <v>213</v>
      </c>
    </row>
    <row r="61" spans="1:10" ht="13" x14ac:dyDescent="0.3">
      <c r="A61" s="126" t="s">
        <v>192</v>
      </c>
      <c r="B61" s="143">
        <v>0.50347222222222221</v>
      </c>
      <c r="C61" s="84">
        <v>0.38100000000000001</v>
      </c>
      <c r="D61" s="84">
        <v>10.52</v>
      </c>
      <c r="E61" s="84">
        <v>3.4</v>
      </c>
      <c r="F61" s="84">
        <v>8.3699999999999992</v>
      </c>
      <c r="G61" s="134">
        <v>1.45</v>
      </c>
      <c r="H61" s="84">
        <v>5.0999999999999996</v>
      </c>
      <c r="I61">
        <f>AVERAGE(D61:D63)</f>
        <v>10.51</v>
      </c>
      <c r="J61" s="3">
        <f>AVERAGE(E61:E63)</f>
        <v>3.3333333333333335</v>
      </c>
    </row>
    <row r="62" spans="1:10" ht="13" x14ac:dyDescent="0.3">
      <c r="A62" s="126" t="s">
        <v>193</v>
      </c>
      <c r="B62" s="84"/>
      <c r="C62" s="84">
        <v>0.38100000000000001</v>
      </c>
      <c r="D62" s="84">
        <v>10.54</v>
      </c>
      <c r="E62" s="84">
        <v>3.3</v>
      </c>
      <c r="F62" s="84">
        <v>8.36</v>
      </c>
      <c r="G62" s="84"/>
    </row>
    <row r="63" spans="1:10" ht="13" x14ac:dyDescent="0.3">
      <c r="A63" s="126" t="s">
        <v>194</v>
      </c>
      <c r="B63" s="84"/>
      <c r="C63" s="84">
        <v>0.38100000000000001</v>
      </c>
      <c r="D63" s="84">
        <v>10.47</v>
      </c>
      <c r="E63" s="84">
        <v>3.3</v>
      </c>
      <c r="F63" s="84">
        <v>8.39</v>
      </c>
      <c r="G63" s="84"/>
    </row>
    <row r="64" spans="1:10" ht="13" x14ac:dyDescent="0.3">
      <c r="A64" s="126" t="s">
        <v>195</v>
      </c>
      <c r="B64" s="84"/>
      <c r="C64" s="84">
        <v>0.38300000000000001</v>
      </c>
      <c r="D64" s="84">
        <v>10.14</v>
      </c>
      <c r="E64" s="84">
        <v>3.3</v>
      </c>
      <c r="F64" s="84">
        <v>8.34</v>
      </c>
      <c r="G64" s="84"/>
    </row>
    <row r="65" spans="1:7" ht="13" x14ac:dyDescent="0.3">
      <c r="A65" s="126" t="s">
        <v>196</v>
      </c>
      <c r="B65" s="84"/>
      <c r="C65" s="84">
        <v>0.38500000000000001</v>
      </c>
      <c r="D65" s="84">
        <v>9.66</v>
      </c>
      <c r="E65" s="84">
        <v>3.5</v>
      </c>
      <c r="F65" s="84">
        <v>8.33</v>
      </c>
      <c r="G65" s="84"/>
    </row>
  </sheetData>
  <mergeCells count="7">
    <mergeCell ref="G31:H31"/>
    <mergeCell ref="G33:H33"/>
    <mergeCell ref="A26:B26"/>
    <mergeCell ref="D26:E26"/>
    <mergeCell ref="G26:H26"/>
    <mergeCell ref="B29:C29"/>
    <mergeCell ref="E29:F29"/>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104"/>
  <sheetViews>
    <sheetView zoomScaleNormal="100" workbookViewId="0">
      <selection sqref="A1:H53"/>
    </sheetView>
  </sheetViews>
  <sheetFormatPr defaultRowHeight="12.5" x14ac:dyDescent="0.25"/>
  <cols>
    <col min="1" max="1" width="17.90625" customWidth="1"/>
    <col min="2" max="2" width="10.08984375" bestFit="1" customWidth="1"/>
    <col min="3" max="3" width="7.08984375" customWidth="1"/>
    <col min="4" max="4" width="10.453125" customWidth="1"/>
    <col min="5" max="5" width="7" customWidth="1"/>
    <col min="6" max="6" width="7.6328125" customWidth="1"/>
    <col min="7" max="7" width="10.453125" customWidth="1"/>
    <col min="8" max="8" width="10" customWidth="1"/>
    <col min="9" max="9" width="18.453125" customWidth="1"/>
    <col min="10" max="10" width="18.54296875" customWidth="1"/>
    <col min="16" max="16" width="10.54296875" customWidth="1"/>
    <col min="17" max="17" width="10.90625" customWidth="1"/>
  </cols>
  <sheetData>
    <row r="1" spans="1:8" ht="14" x14ac:dyDescent="0.3">
      <c r="A1" s="883" t="s">
        <v>774</v>
      </c>
      <c r="B1" s="883"/>
      <c r="C1" s="883"/>
      <c r="D1" s="883"/>
      <c r="E1" s="883"/>
      <c r="F1" s="883"/>
    </row>
    <row r="2" spans="1:8" ht="13" x14ac:dyDescent="0.3">
      <c r="A2" s="1" t="s">
        <v>180</v>
      </c>
      <c r="B2" s="155">
        <v>40567</v>
      </c>
    </row>
    <row r="3" spans="1:8" ht="14" x14ac:dyDescent="0.3">
      <c r="A3" s="209" t="s">
        <v>23</v>
      </c>
      <c r="B3" s="209" t="s">
        <v>184</v>
      </c>
      <c r="C3" s="209" t="s">
        <v>185</v>
      </c>
      <c r="D3" s="209" t="s">
        <v>186</v>
      </c>
      <c r="E3" s="209" t="s">
        <v>187</v>
      </c>
      <c r="F3" s="209" t="s">
        <v>188</v>
      </c>
    </row>
    <row r="4" spans="1:8" ht="18" x14ac:dyDescent="0.4">
      <c r="A4" s="94" t="s">
        <v>238</v>
      </c>
      <c r="B4" s="143"/>
      <c r="C4" s="481"/>
      <c r="D4" s="481"/>
      <c r="E4" s="481"/>
      <c r="F4" s="481"/>
      <c r="G4" s="92"/>
    </row>
    <row r="5" spans="1:8" ht="18" x14ac:dyDescent="0.4">
      <c r="A5" s="94" t="s">
        <v>239</v>
      </c>
      <c r="B5" s="143"/>
      <c r="C5" s="481"/>
      <c r="D5" s="481"/>
      <c r="E5" s="481"/>
      <c r="F5" s="481"/>
      <c r="G5" s="92"/>
    </row>
    <row r="6" spans="1:8" ht="18" x14ac:dyDescent="0.4">
      <c r="A6" s="94" t="s">
        <v>240</v>
      </c>
      <c r="B6" s="143"/>
      <c r="C6" s="481"/>
      <c r="D6" s="481"/>
      <c r="E6" s="481"/>
      <c r="F6" s="481"/>
      <c r="G6" s="92"/>
    </row>
    <row r="7" spans="1:8" ht="13" x14ac:dyDescent="0.3">
      <c r="A7" s="94" t="s">
        <v>229</v>
      </c>
      <c r="B7" s="318" t="s">
        <v>241</v>
      </c>
      <c r="C7" s="502"/>
      <c r="D7" s="502"/>
      <c r="E7" s="502"/>
      <c r="F7" s="502"/>
      <c r="G7" s="210" t="s">
        <v>201</v>
      </c>
      <c r="H7" s="159" t="s">
        <v>213</v>
      </c>
    </row>
    <row r="8" spans="1:8" ht="12.75" customHeight="1" x14ac:dyDescent="0.4">
      <c r="A8" s="126" t="s">
        <v>775</v>
      </c>
      <c r="B8" s="84"/>
      <c r="C8" s="482"/>
      <c r="D8" s="482"/>
      <c r="E8" s="482"/>
      <c r="F8" s="482"/>
      <c r="G8" s="134"/>
      <c r="H8" s="188"/>
    </row>
    <row r="9" spans="1:8" ht="15" customHeight="1" x14ac:dyDescent="0.4">
      <c r="A9" s="126" t="s">
        <v>192</v>
      </c>
      <c r="B9" s="84"/>
      <c r="C9" s="482"/>
      <c r="D9" s="482"/>
      <c r="E9" s="482"/>
      <c r="F9" s="482"/>
      <c r="G9" s="92"/>
    </row>
    <row r="10" spans="1:8" ht="14.25" customHeight="1" x14ac:dyDescent="0.4">
      <c r="A10" s="126" t="s">
        <v>776</v>
      </c>
      <c r="B10" s="84"/>
      <c r="C10" s="482"/>
      <c r="D10" s="482"/>
      <c r="E10" s="482"/>
      <c r="F10" s="482"/>
      <c r="G10" s="92"/>
    </row>
    <row r="11" spans="1:8" ht="14.25" customHeight="1" x14ac:dyDescent="0.4">
      <c r="A11" s="126" t="s">
        <v>193</v>
      </c>
      <c r="B11" s="84"/>
      <c r="C11" s="482"/>
      <c r="D11" s="482"/>
      <c r="E11" s="482"/>
      <c r="F11" s="482"/>
      <c r="G11" s="92"/>
    </row>
    <row r="12" spans="1:8" ht="14.25" customHeight="1" x14ac:dyDescent="0.4">
      <c r="A12" s="126" t="s">
        <v>777</v>
      </c>
      <c r="B12" s="84"/>
      <c r="C12" s="482"/>
      <c r="D12" s="482"/>
      <c r="E12" s="482"/>
      <c r="F12" s="482"/>
      <c r="G12" s="92"/>
    </row>
    <row r="13" spans="1:8" ht="15" customHeight="1" x14ac:dyDescent="0.4">
      <c r="A13" s="126" t="s">
        <v>194</v>
      </c>
      <c r="B13" s="84"/>
      <c r="C13" s="482"/>
      <c r="D13" s="482"/>
      <c r="E13" s="482"/>
      <c r="F13" s="482"/>
      <c r="G13" s="92"/>
    </row>
    <row r="14" spans="1:8" ht="15.75" customHeight="1" x14ac:dyDescent="0.4">
      <c r="A14" s="126" t="s">
        <v>778</v>
      </c>
      <c r="B14" s="84"/>
      <c r="C14" s="482"/>
      <c r="D14" s="482"/>
      <c r="E14" s="482"/>
      <c r="F14" s="482"/>
      <c r="G14" s="92"/>
    </row>
    <row r="15" spans="1:8" ht="15" customHeight="1" x14ac:dyDescent="0.4">
      <c r="A15" s="126" t="s">
        <v>195</v>
      </c>
      <c r="B15" s="84"/>
      <c r="C15" s="482"/>
      <c r="D15" s="482"/>
      <c r="E15" s="482"/>
      <c r="F15" s="482"/>
      <c r="G15" s="92"/>
    </row>
    <row r="16" spans="1:8" ht="13.5" customHeight="1" x14ac:dyDescent="0.4">
      <c r="A16" s="126" t="s">
        <v>196</v>
      </c>
      <c r="B16" s="143"/>
      <c r="C16" s="482"/>
      <c r="D16" s="482"/>
      <c r="E16" s="482"/>
      <c r="F16" s="482"/>
      <c r="G16" s="92"/>
    </row>
    <row r="17" spans="1:8" ht="13.5" customHeight="1" x14ac:dyDescent="0.4">
      <c r="A17" s="126" t="s">
        <v>197</v>
      </c>
      <c r="B17" s="143"/>
      <c r="C17" s="482"/>
      <c r="D17" s="482"/>
      <c r="E17" s="482"/>
      <c r="F17" s="482"/>
      <c r="G17" s="92"/>
    </row>
    <row r="18" spans="1:8" ht="13.5" customHeight="1" x14ac:dyDescent="0.4">
      <c r="A18" s="126" t="s">
        <v>198</v>
      </c>
      <c r="B18" s="143"/>
      <c r="C18" s="482"/>
      <c r="D18" s="482"/>
      <c r="E18" s="482"/>
      <c r="F18" s="482"/>
      <c r="G18" s="92"/>
    </row>
    <row r="19" spans="1:8" ht="13.5" customHeight="1" x14ac:dyDescent="0.4">
      <c r="A19" s="126" t="s">
        <v>199</v>
      </c>
      <c r="B19" s="143"/>
      <c r="C19" s="482"/>
      <c r="D19" s="482"/>
      <c r="E19" s="482"/>
      <c r="F19" s="482"/>
      <c r="G19" s="92"/>
    </row>
    <row r="20" spans="1:8" ht="14.25" customHeight="1" x14ac:dyDescent="0.4">
      <c r="A20" s="126" t="s">
        <v>200</v>
      </c>
      <c r="B20" s="84"/>
      <c r="C20" s="482"/>
      <c r="D20" s="482"/>
      <c r="E20" s="482"/>
      <c r="F20" s="482"/>
      <c r="G20" s="92"/>
    </row>
    <row r="21" spans="1:8" ht="14.25" customHeight="1" x14ac:dyDescent="0.4">
      <c r="A21" s="126" t="s">
        <v>227</v>
      </c>
      <c r="B21" s="84"/>
      <c r="C21" s="482"/>
      <c r="D21" s="482"/>
      <c r="E21" s="482"/>
      <c r="F21" s="482"/>
      <c r="G21" s="92"/>
    </row>
    <row r="22" spans="1:8" ht="14.25" customHeight="1" x14ac:dyDescent="0.4">
      <c r="A22" s="126" t="s">
        <v>228</v>
      </c>
      <c r="B22" s="84"/>
      <c r="C22" s="482"/>
      <c r="D22" s="482"/>
      <c r="E22" s="482"/>
      <c r="F22" s="482"/>
      <c r="G22" s="92"/>
    </row>
    <row r="23" spans="1:8" ht="13" x14ac:dyDescent="0.3">
      <c r="A23" s="208"/>
      <c r="B23" s="92"/>
      <c r="C23" s="92"/>
      <c r="D23" s="92"/>
      <c r="E23" s="92"/>
      <c r="F23" s="92"/>
      <c r="G23" s="92"/>
    </row>
    <row r="24" spans="1:8" ht="13" x14ac:dyDescent="0.3">
      <c r="A24" s="126" t="s">
        <v>230</v>
      </c>
      <c r="B24" s="84"/>
      <c r="C24" s="84"/>
      <c r="D24" s="84"/>
      <c r="E24" s="84"/>
      <c r="F24" s="84"/>
      <c r="G24" s="84"/>
    </row>
    <row r="25" spans="1:8" ht="13" x14ac:dyDescent="0.3">
      <c r="A25" s="217" t="s">
        <v>231</v>
      </c>
      <c r="B25" s="84"/>
      <c r="C25" s="84"/>
      <c r="D25" s="84"/>
      <c r="E25" s="84"/>
      <c r="F25" s="84"/>
      <c r="G25" s="84"/>
    </row>
    <row r="26" spans="1:8" x14ac:dyDescent="0.25">
      <c r="A26" s="131" t="s">
        <v>11</v>
      </c>
      <c r="B26" s="132"/>
      <c r="C26" s="132"/>
      <c r="D26" s="132"/>
      <c r="E26" s="132"/>
      <c r="F26" s="132"/>
      <c r="G26" s="132"/>
    </row>
    <row r="27" spans="1:8" x14ac:dyDescent="0.25">
      <c r="A27" s="144"/>
      <c r="B27" s="133"/>
      <c r="C27" s="133"/>
      <c r="D27" s="133"/>
      <c r="E27" s="133"/>
      <c r="F27" s="133"/>
      <c r="G27" s="133"/>
    </row>
    <row r="28" spans="1:8" x14ac:dyDescent="0.25">
      <c r="A28" s="144"/>
      <c r="B28" s="133"/>
      <c r="C28" s="133"/>
      <c r="D28" s="133"/>
      <c r="E28" s="133"/>
      <c r="F28" s="133"/>
      <c r="G28" s="133"/>
    </row>
    <row r="29" spans="1:8" ht="15.5" x14ac:dyDescent="0.35">
      <c r="A29" s="882" t="s">
        <v>130</v>
      </c>
      <c r="B29" s="882"/>
      <c r="C29" s="435" t="s">
        <v>209</v>
      </c>
      <c r="D29" s="882" t="s">
        <v>133</v>
      </c>
      <c r="E29" s="882"/>
      <c r="F29" s="627" t="s">
        <v>242</v>
      </c>
      <c r="G29" s="462" t="s">
        <v>34</v>
      </c>
      <c r="H29" s="463"/>
    </row>
    <row r="30" spans="1:8" ht="15.5" x14ac:dyDescent="0.35">
      <c r="A30" s="436" t="s">
        <v>184</v>
      </c>
      <c r="B30" s="437"/>
      <c r="C30" s="438"/>
      <c r="D30" s="436" t="s">
        <v>184</v>
      </c>
      <c r="E30" s="437"/>
      <c r="F30" s="437"/>
      <c r="G30" s="436" t="s">
        <v>184</v>
      </c>
      <c r="H30" s="437"/>
    </row>
    <row r="31" spans="1:8" ht="15.5" x14ac:dyDescent="0.35">
      <c r="A31" s="436" t="s">
        <v>202</v>
      </c>
      <c r="B31" s="439"/>
      <c r="C31" s="439"/>
      <c r="D31" s="436" t="s">
        <v>202</v>
      </c>
      <c r="E31" s="439"/>
      <c r="F31" s="439"/>
      <c r="G31" s="436" t="s">
        <v>202</v>
      </c>
      <c r="H31" s="446" t="s">
        <v>478</v>
      </c>
    </row>
    <row r="32" spans="1:8" ht="15.5" x14ac:dyDescent="0.25">
      <c r="A32" s="440" t="s">
        <v>203</v>
      </c>
      <c r="B32" s="884"/>
      <c r="C32" s="885"/>
      <c r="D32" s="440" t="s">
        <v>203</v>
      </c>
      <c r="E32" s="881"/>
      <c r="F32" s="881"/>
      <c r="G32" s="440" t="s">
        <v>203</v>
      </c>
      <c r="H32" s="441"/>
    </row>
    <row r="33" spans="1:8" ht="23" x14ac:dyDescent="0.25">
      <c r="A33" s="433" t="s">
        <v>204</v>
      </c>
      <c r="B33" s="433" t="s">
        <v>205</v>
      </c>
      <c r="C33" s="434" t="s">
        <v>206</v>
      </c>
      <c r="D33" s="433" t="s">
        <v>204</v>
      </c>
      <c r="E33" s="433" t="s">
        <v>205</v>
      </c>
      <c r="F33" s="434" t="s">
        <v>206</v>
      </c>
      <c r="G33" s="433" t="s">
        <v>205</v>
      </c>
      <c r="H33" s="434" t="s">
        <v>206</v>
      </c>
    </row>
    <row r="34" spans="1:8" ht="15.5" x14ac:dyDescent="0.35">
      <c r="A34" s="160">
        <v>2</v>
      </c>
      <c r="B34" s="138"/>
      <c r="C34" s="477"/>
      <c r="D34" s="160">
        <v>2</v>
      </c>
      <c r="E34" s="138"/>
      <c r="F34" s="84"/>
      <c r="G34" s="521" t="s">
        <v>34</v>
      </c>
      <c r="H34" s="461"/>
    </row>
    <row r="35" spans="1:8" ht="15.5" x14ac:dyDescent="0.35">
      <c r="A35" s="160">
        <v>4</v>
      </c>
      <c r="B35" s="138"/>
      <c r="C35" s="477"/>
      <c r="D35" s="160">
        <v>4</v>
      </c>
      <c r="E35" s="138"/>
      <c r="F35" s="138"/>
      <c r="G35" s="478"/>
      <c r="H35" s="139"/>
    </row>
    <row r="36" spans="1:8" ht="15.5" x14ac:dyDescent="0.35">
      <c r="A36" s="160">
        <v>6</v>
      </c>
      <c r="B36" s="138"/>
      <c r="C36" s="477"/>
      <c r="D36" s="160">
        <v>6</v>
      </c>
      <c r="E36" s="138"/>
      <c r="F36" s="138"/>
      <c r="G36" s="519" t="s">
        <v>214</v>
      </c>
      <c r="H36" s="460"/>
    </row>
    <row r="37" spans="1:8" ht="15.5" x14ac:dyDescent="0.35">
      <c r="A37" s="160">
        <v>8</v>
      </c>
      <c r="B37" s="138"/>
      <c r="C37" s="477"/>
      <c r="D37" s="160">
        <v>8</v>
      </c>
      <c r="E37" s="138"/>
      <c r="F37" s="138"/>
      <c r="G37" s="478"/>
      <c r="H37" s="139"/>
    </row>
    <row r="38" spans="1:8" ht="15.5" x14ac:dyDescent="0.35">
      <c r="A38" s="160">
        <v>10</v>
      </c>
      <c r="B38" s="138"/>
      <c r="C38" s="477"/>
      <c r="D38" s="160">
        <v>10</v>
      </c>
      <c r="E38" s="138"/>
      <c r="F38" s="138"/>
      <c r="G38" s="520" t="s">
        <v>215</v>
      </c>
      <c r="H38" s="139"/>
    </row>
    <row r="39" spans="1:8" ht="15.5" x14ac:dyDescent="0.35">
      <c r="A39" s="160">
        <v>12</v>
      </c>
      <c r="B39" s="138"/>
      <c r="C39" s="477"/>
      <c r="D39" s="160">
        <v>12</v>
      </c>
      <c r="E39" s="140"/>
      <c r="F39" s="138"/>
      <c r="G39" s="478"/>
      <c r="H39" s="139"/>
    </row>
    <row r="40" spans="1:8" ht="15.5" x14ac:dyDescent="0.35">
      <c r="A40" s="160">
        <v>14</v>
      </c>
      <c r="B40" s="138"/>
      <c r="C40" s="138"/>
      <c r="D40" s="160">
        <v>14</v>
      </c>
      <c r="E40" s="140"/>
      <c r="F40" s="138"/>
      <c r="G40" s="418"/>
    </row>
    <row r="41" spans="1:8" ht="15.5" x14ac:dyDescent="0.35">
      <c r="A41" s="160"/>
      <c r="B41" s="138"/>
      <c r="C41" s="138"/>
      <c r="D41" s="160">
        <v>16</v>
      </c>
      <c r="E41" s="140"/>
      <c r="F41" s="138"/>
      <c r="G41" s="418"/>
    </row>
    <row r="42" spans="1:8" ht="15.5" x14ac:dyDescent="0.35">
      <c r="A42" s="160"/>
      <c r="B42" s="138"/>
      <c r="C42" s="138"/>
      <c r="D42" s="160">
        <v>18</v>
      </c>
      <c r="E42" s="140"/>
      <c r="F42" s="138"/>
      <c r="G42" s="418"/>
    </row>
    <row r="43" spans="1:8" ht="15.5" x14ac:dyDescent="0.35">
      <c r="A43" s="160"/>
      <c r="B43" s="138"/>
      <c r="C43" s="138"/>
      <c r="D43" s="160">
        <v>20</v>
      </c>
      <c r="E43" s="140"/>
      <c r="F43" s="138"/>
      <c r="G43" s="418"/>
    </row>
    <row r="44" spans="1:8" x14ac:dyDescent="0.25">
      <c r="E44" s="156"/>
    </row>
    <row r="45" spans="1:8" ht="13" x14ac:dyDescent="0.3">
      <c r="A45" s="379" t="s">
        <v>281</v>
      </c>
      <c r="B45" s="880" t="s">
        <v>283</v>
      </c>
      <c r="C45" s="880"/>
      <c r="D45" s="880"/>
      <c r="E45" s="880"/>
      <c r="F45" s="880"/>
    </row>
    <row r="46" spans="1:8" ht="13" thickBot="1" x14ac:dyDescent="0.3">
      <c r="A46" s="697" t="s">
        <v>291</v>
      </c>
      <c r="B46" s="698"/>
      <c r="C46" s="698"/>
      <c r="D46" s="444"/>
      <c r="E46" s="444"/>
      <c r="F46" s="444"/>
      <c r="G46" s="92"/>
      <c r="H46" s="92"/>
    </row>
    <row r="47" spans="1:8" ht="13" thickBot="1" x14ac:dyDescent="0.3">
      <c r="A47" s="84" t="s">
        <v>292</v>
      </c>
      <c r="B47" s="445"/>
      <c r="C47" s="445"/>
      <c r="D47" s="444"/>
      <c r="E47" s="444"/>
      <c r="F47" s="444"/>
      <c r="G47" s="92"/>
      <c r="H47" s="92"/>
    </row>
    <row r="48" spans="1:8" ht="13" thickBot="1" x14ac:dyDescent="0.3">
      <c r="A48" s="189" t="s">
        <v>282</v>
      </c>
      <c r="B48" s="498"/>
      <c r="C48" s="445"/>
      <c r="D48" s="445"/>
      <c r="E48" s="445"/>
      <c r="F48" s="445"/>
      <c r="G48" s="92"/>
      <c r="H48" s="92"/>
    </row>
    <row r="49" spans="1:17" ht="13" thickBot="1" x14ac:dyDescent="0.3">
      <c r="A49" s="189" t="s">
        <v>284</v>
      </c>
      <c r="B49" s="498"/>
      <c r="C49" s="445"/>
      <c r="D49" s="445"/>
      <c r="E49" s="445"/>
      <c r="F49" s="445"/>
    </row>
    <row r="50" spans="1:17" ht="13" thickBot="1" x14ac:dyDescent="0.3">
      <c r="A50" s="189" t="s">
        <v>285</v>
      </c>
      <c r="B50" s="498"/>
      <c r="C50" s="445"/>
      <c r="D50" s="445"/>
      <c r="E50" s="445"/>
      <c r="F50" s="445"/>
    </row>
    <row r="51" spans="1:17" ht="13" thickBot="1" x14ac:dyDescent="0.3">
      <c r="A51" s="189" t="s">
        <v>290</v>
      </c>
      <c r="B51" s="498"/>
      <c r="C51" s="445"/>
      <c r="D51" s="445"/>
      <c r="E51" s="445"/>
      <c r="F51" s="445"/>
    </row>
    <row r="52" spans="1:17" ht="13" thickBot="1" x14ac:dyDescent="0.3">
      <c r="A52" s="189" t="s">
        <v>286</v>
      </c>
      <c r="B52" s="496"/>
      <c r="C52" s="444"/>
      <c r="D52" s="445"/>
      <c r="E52" s="445"/>
      <c r="F52" s="445"/>
    </row>
    <row r="53" spans="1:17" x14ac:dyDescent="0.25">
      <c r="A53" s="228"/>
      <c r="B53" s="581"/>
      <c r="C53" s="132"/>
      <c r="D53" s="132"/>
      <c r="E53" s="132"/>
      <c r="F53" s="132"/>
    </row>
    <row r="54" spans="1:17" ht="14" x14ac:dyDescent="0.3">
      <c r="A54" s="135" t="s">
        <v>232</v>
      </c>
      <c r="C54" s="11" t="s">
        <v>233</v>
      </c>
      <c r="D54" s="155">
        <v>40566</v>
      </c>
      <c r="J54" s="135" t="s">
        <v>297</v>
      </c>
      <c r="L54" s="21" t="s">
        <v>180</v>
      </c>
      <c r="M54" s="155"/>
    </row>
    <row r="55" spans="1:17" ht="14" x14ac:dyDescent="0.3">
      <c r="A55" s="209" t="s">
        <v>248</v>
      </c>
      <c r="B55" s="209" t="s">
        <v>184</v>
      </c>
      <c r="C55" s="209" t="s">
        <v>185</v>
      </c>
      <c r="D55" s="209" t="s">
        <v>186</v>
      </c>
      <c r="E55" s="209" t="s">
        <v>187</v>
      </c>
      <c r="F55" s="209" t="s">
        <v>188</v>
      </c>
      <c r="G55" s="209" t="s">
        <v>201</v>
      </c>
      <c r="H55" s="210" t="s">
        <v>213</v>
      </c>
      <c r="J55" s="209" t="s">
        <v>298</v>
      </c>
      <c r="K55" s="209" t="s">
        <v>184</v>
      </c>
      <c r="L55" s="209" t="s">
        <v>185</v>
      </c>
      <c r="M55" s="209" t="s">
        <v>186</v>
      </c>
      <c r="N55" s="209" t="s">
        <v>187</v>
      </c>
      <c r="O55" s="209" t="s">
        <v>188</v>
      </c>
      <c r="P55" s="209" t="s">
        <v>201</v>
      </c>
      <c r="Q55" s="210" t="s">
        <v>213</v>
      </c>
    </row>
    <row r="56" spans="1:17" ht="14" x14ac:dyDescent="0.3">
      <c r="A56" s="126" t="s">
        <v>775</v>
      </c>
      <c r="B56" s="84"/>
      <c r="C56" s="324"/>
      <c r="D56" s="324"/>
      <c r="E56" s="324"/>
      <c r="F56" s="324"/>
      <c r="G56" s="134"/>
      <c r="H56" s="84"/>
      <c r="J56" s="126" t="s">
        <v>299</v>
      </c>
      <c r="K56" s="84"/>
      <c r="L56" s="84"/>
      <c r="M56" s="84"/>
      <c r="N56" s="442" t="s">
        <v>300</v>
      </c>
      <c r="O56" s="84"/>
      <c r="P56" s="134"/>
      <c r="Q56" s="84"/>
    </row>
    <row r="57" spans="1:17" ht="14" x14ac:dyDescent="0.3">
      <c r="A57" s="126" t="s">
        <v>192</v>
      </c>
      <c r="B57" s="84"/>
      <c r="C57" s="324"/>
      <c r="D57" s="324"/>
      <c r="E57" s="324"/>
      <c r="F57" s="324"/>
      <c r="G57" s="92"/>
      <c r="J57" s="126" t="s">
        <v>192</v>
      </c>
      <c r="K57" s="84"/>
      <c r="L57" s="84"/>
      <c r="M57" s="84"/>
      <c r="N57" s="84"/>
      <c r="O57" s="84"/>
      <c r="P57" s="84"/>
    </row>
    <row r="58" spans="1:17" ht="14" x14ac:dyDescent="0.3">
      <c r="A58" s="126" t="s">
        <v>776</v>
      </c>
      <c r="B58" s="84"/>
      <c r="C58" s="324"/>
      <c r="D58" s="324"/>
      <c r="E58" s="324"/>
      <c r="F58" s="324"/>
      <c r="G58" s="92"/>
      <c r="J58" s="126" t="s">
        <v>193</v>
      </c>
      <c r="K58" s="84"/>
      <c r="L58" s="84"/>
      <c r="M58" s="84"/>
      <c r="N58" s="84"/>
      <c r="O58" s="84"/>
      <c r="P58" s="84"/>
    </row>
    <row r="59" spans="1:17" ht="14" x14ac:dyDescent="0.3">
      <c r="A59" s="126" t="s">
        <v>193</v>
      </c>
      <c r="B59" s="84"/>
      <c r="C59" s="324"/>
      <c r="D59" s="324"/>
      <c r="E59" s="324"/>
      <c r="F59" s="324"/>
      <c r="G59" s="92"/>
      <c r="J59" s="126" t="s">
        <v>194</v>
      </c>
      <c r="K59" s="84"/>
      <c r="L59" s="84"/>
      <c r="M59" s="84"/>
      <c r="N59" s="84"/>
      <c r="O59" s="84"/>
      <c r="P59" s="84"/>
    </row>
    <row r="60" spans="1:17" ht="14" x14ac:dyDescent="0.3">
      <c r="A60" s="126" t="s">
        <v>777</v>
      </c>
      <c r="B60" s="84"/>
      <c r="C60" s="324"/>
      <c r="D60" s="324"/>
      <c r="E60" s="324"/>
      <c r="F60" s="324"/>
      <c r="G60" s="92"/>
      <c r="J60" s="126" t="s">
        <v>195</v>
      </c>
      <c r="K60" s="84"/>
      <c r="L60" s="84"/>
      <c r="M60" s="84"/>
      <c r="N60" s="84"/>
      <c r="O60" s="84"/>
      <c r="P60" s="84"/>
    </row>
    <row r="61" spans="1:17" ht="14" x14ac:dyDescent="0.3">
      <c r="A61" s="126" t="s">
        <v>194</v>
      </c>
      <c r="B61" s="84"/>
      <c r="C61" s="324"/>
      <c r="D61" s="324"/>
      <c r="E61" s="324"/>
      <c r="F61" s="324"/>
      <c r="G61" s="92"/>
      <c r="J61" s="126" t="s">
        <v>196</v>
      </c>
      <c r="K61" s="84"/>
      <c r="L61" s="84"/>
      <c r="M61" s="84"/>
      <c r="N61" s="84"/>
      <c r="O61" s="84"/>
      <c r="P61" s="84"/>
    </row>
    <row r="62" spans="1:17" ht="14" x14ac:dyDescent="0.3">
      <c r="A62" s="126" t="s">
        <v>778</v>
      </c>
      <c r="B62" s="84"/>
      <c r="C62" s="324"/>
      <c r="D62" s="324"/>
      <c r="E62" s="324"/>
      <c r="F62" s="324"/>
      <c r="G62" s="92"/>
      <c r="J62" s="126"/>
      <c r="K62" s="84"/>
      <c r="L62" s="84"/>
      <c r="M62" s="84"/>
      <c r="N62" s="84"/>
      <c r="O62" s="84"/>
      <c r="P62" s="84"/>
    </row>
    <row r="63" spans="1:17" ht="14" x14ac:dyDescent="0.3">
      <c r="A63" s="126" t="s">
        <v>195</v>
      </c>
      <c r="B63" s="84"/>
      <c r="C63" s="324"/>
      <c r="D63" s="324"/>
      <c r="E63" s="324"/>
      <c r="F63" s="324"/>
      <c r="G63" s="92"/>
      <c r="J63" s="126"/>
      <c r="K63" s="84"/>
      <c r="L63" s="84"/>
      <c r="M63" s="84"/>
      <c r="N63" s="84"/>
      <c r="O63" s="84"/>
      <c r="P63" s="84"/>
    </row>
    <row r="64" spans="1:17" ht="14" x14ac:dyDescent="0.3">
      <c r="A64" s="126" t="s">
        <v>196</v>
      </c>
      <c r="B64" s="84"/>
      <c r="C64" s="324"/>
      <c r="D64" s="324"/>
      <c r="E64" s="324"/>
      <c r="F64" s="324"/>
      <c r="G64" s="92"/>
      <c r="J64" s="126"/>
      <c r="K64" s="84"/>
      <c r="L64" s="84"/>
      <c r="M64" s="84"/>
      <c r="N64" s="84"/>
      <c r="O64" s="84"/>
      <c r="P64" s="84"/>
    </row>
    <row r="65" spans="1:17" ht="14" x14ac:dyDescent="0.3">
      <c r="A65" s="126" t="s">
        <v>197</v>
      </c>
      <c r="B65" s="84"/>
      <c r="C65" s="324"/>
      <c r="D65" s="324"/>
      <c r="E65" s="324"/>
      <c r="F65" s="324"/>
      <c r="G65" s="92"/>
      <c r="J65" s="126"/>
      <c r="K65" s="84"/>
      <c r="L65" s="84"/>
      <c r="M65" s="84"/>
      <c r="N65" s="84"/>
      <c r="O65" s="84"/>
      <c r="P65" s="84"/>
    </row>
    <row r="66" spans="1:17" ht="14" x14ac:dyDescent="0.3">
      <c r="A66" s="126" t="s">
        <v>198</v>
      </c>
      <c r="B66" s="143"/>
      <c r="C66" s="324"/>
      <c r="D66" s="324"/>
      <c r="E66" s="324"/>
      <c r="F66" s="324"/>
      <c r="G66" s="92"/>
      <c r="J66" s="126"/>
      <c r="K66" s="143"/>
      <c r="L66" s="84"/>
      <c r="M66" s="84"/>
      <c r="N66" s="84"/>
      <c r="O66" s="84"/>
      <c r="P66" s="84"/>
    </row>
    <row r="67" spans="1:17" ht="14" x14ac:dyDescent="0.3">
      <c r="A67" s="126" t="s">
        <v>199</v>
      </c>
      <c r="B67" s="143"/>
      <c r="C67" s="324"/>
      <c r="D67" s="324"/>
      <c r="E67" s="324"/>
      <c r="F67" s="324"/>
      <c r="G67" s="92"/>
      <c r="J67" s="208"/>
      <c r="K67" s="694"/>
      <c r="L67" s="92"/>
      <c r="M67" s="92"/>
      <c r="N67" s="92"/>
      <c r="O67" s="92"/>
      <c r="P67" s="92"/>
    </row>
    <row r="68" spans="1:17" x14ac:dyDescent="0.25">
      <c r="A68" s="84"/>
      <c r="B68" s="84"/>
      <c r="C68" s="84"/>
      <c r="D68" s="84"/>
      <c r="E68" s="84"/>
      <c r="F68" s="84"/>
    </row>
    <row r="69" spans="1:17" ht="14" x14ac:dyDescent="0.3">
      <c r="A69" s="209" t="s">
        <v>249</v>
      </c>
      <c r="B69" s="209" t="s">
        <v>184</v>
      </c>
      <c r="C69" s="209" t="s">
        <v>185</v>
      </c>
      <c r="D69" s="209" t="s">
        <v>186</v>
      </c>
      <c r="E69" s="209" t="s">
        <v>187</v>
      </c>
      <c r="F69" s="209" t="s">
        <v>188</v>
      </c>
      <c r="G69" s="209" t="s">
        <v>201</v>
      </c>
      <c r="H69" s="210" t="s">
        <v>213</v>
      </c>
      <c r="J69" s="209" t="s">
        <v>298</v>
      </c>
      <c r="K69" s="209" t="s">
        <v>184</v>
      </c>
      <c r="L69" s="209" t="s">
        <v>185</v>
      </c>
      <c r="M69" s="209" t="s">
        <v>186</v>
      </c>
      <c r="N69" s="209" t="s">
        <v>187</v>
      </c>
      <c r="O69" s="209" t="s">
        <v>188</v>
      </c>
      <c r="P69" s="209" t="s">
        <v>201</v>
      </c>
      <c r="Q69" s="210" t="s">
        <v>213</v>
      </c>
    </row>
    <row r="70" spans="1:17" ht="13" x14ac:dyDescent="0.3">
      <c r="A70" s="126" t="s">
        <v>775</v>
      </c>
      <c r="B70" s="84"/>
      <c r="C70" s="480"/>
      <c r="D70" s="480"/>
      <c r="E70" s="480"/>
      <c r="F70" s="672"/>
      <c r="G70" s="134"/>
      <c r="H70" s="84"/>
      <c r="J70" s="126" t="s">
        <v>299</v>
      </c>
      <c r="K70" s="84"/>
      <c r="L70" s="84"/>
      <c r="M70" s="84"/>
      <c r="N70" s="442" t="s">
        <v>300</v>
      </c>
      <c r="O70" s="84"/>
      <c r="P70" s="134"/>
      <c r="Q70" s="84"/>
    </row>
    <row r="71" spans="1:17" ht="13" x14ac:dyDescent="0.3">
      <c r="A71" s="126" t="s">
        <v>192</v>
      </c>
      <c r="B71" s="84"/>
      <c r="C71" s="480"/>
      <c r="D71" s="480"/>
      <c r="E71" s="480"/>
      <c r="F71" s="672"/>
      <c r="G71" s="92"/>
      <c r="J71" s="126" t="s">
        <v>192</v>
      </c>
      <c r="K71" s="84"/>
      <c r="L71" s="84"/>
      <c r="M71" s="84"/>
      <c r="N71" s="84"/>
      <c r="O71" s="84"/>
      <c r="P71" s="84"/>
    </row>
    <row r="72" spans="1:17" ht="13" x14ac:dyDescent="0.3">
      <c r="A72" s="126" t="s">
        <v>776</v>
      </c>
      <c r="B72" s="84"/>
      <c r="C72" s="480"/>
      <c r="D72" s="480"/>
      <c r="E72" s="480"/>
      <c r="F72" s="672"/>
      <c r="G72" s="92"/>
      <c r="J72" s="126" t="s">
        <v>193</v>
      </c>
      <c r="K72" s="84"/>
      <c r="L72" s="84"/>
      <c r="M72" s="84"/>
      <c r="N72" s="84"/>
      <c r="O72" s="84"/>
      <c r="P72" s="84"/>
    </row>
    <row r="73" spans="1:17" ht="13" x14ac:dyDescent="0.3">
      <c r="A73" s="126" t="s">
        <v>193</v>
      </c>
      <c r="B73" s="84"/>
      <c r="C73" s="480"/>
      <c r="D73" s="480"/>
      <c r="E73" s="480"/>
      <c r="F73" s="672"/>
      <c r="G73" s="92"/>
      <c r="J73" s="126" t="s">
        <v>194</v>
      </c>
      <c r="K73" s="84"/>
      <c r="L73" s="84"/>
      <c r="M73" s="84"/>
      <c r="N73" s="84"/>
      <c r="O73" s="84"/>
      <c r="P73" s="84"/>
    </row>
    <row r="74" spans="1:17" ht="13" x14ac:dyDescent="0.3">
      <c r="A74" s="126" t="s">
        <v>777</v>
      </c>
      <c r="B74" s="84"/>
      <c r="C74" s="480"/>
      <c r="D74" s="480"/>
      <c r="E74" s="480"/>
      <c r="F74" s="672"/>
      <c r="G74" s="92"/>
      <c r="J74" s="126" t="s">
        <v>195</v>
      </c>
      <c r="K74" s="84"/>
      <c r="L74" s="84"/>
      <c r="M74" s="84"/>
      <c r="N74" s="84"/>
      <c r="O74" s="84"/>
      <c r="P74" s="84"/>
    </row>
    <row r="75" spans="1:17" ht="13" x14ac:dyDescent="0.3">
      <c r="A75" s="126" t="s">
        <v>194</v>
      </c>
      <c r="B75" s="84"/>
      <c r="C75" s="480"/>
      <c r="D75" s="480"/>
      <c r="E75" s="480"/>
      <c r="F75" s="672"/>
      <c r="G75" s="92"/>
      <c r="J75" s="126" t="s">
        <v>196</v>
      </c>
      <c r="K75" s="84"/>
      <c r="L75" s="84"/>
      <c r="M75" s="84"/>
      <c r="N75" s="84"/>
      <c r="O75" s="84"/>
      <c r="P75" s="84"/>
    </row>
    <row r="76" spans="1:17" ht="13" x14ac:dyDescent="0.3">
      <c r="A76" s="126" t="s">
        <v>778</v>
      </c>
      <c r="B76" s="84"/>
      <c r="C76" s="480"/>
      <c r="D76" s="480"/>
      <c r="E76" s="480"/>
      <c r="F76" s="672"/>
      <c r="G76" s="92"/>
      <c r="J76" s="126"/>
      <c r="K76" s="84"/>
      <c r="L76" s="84"/>
      <c r="M76" s="84"/>
      <c r="N76" s="84"/>
      <c r="O76" s="84"/>
      <c r="P76" s="84"/>
    </row>
    <row r="77" spans="1:17" ht="13" x14ac:dyDescent="0.3">
      <c r="A77" s="126" t="s">
        <v>195</v>
      </c>
      <c r="B77" s="84"/>
      <c r="C77" s="480"/>
      <c r="D77" s="480"/>
      <c r="E77" s="480"/>
      <c r="F77" s="672"/>
      <c r="G77" s="92"/>
      <c r="J77" s="126"/>
      <c r="K77" s="84"/>
      <c r="L77" s="84"/>
      <c r="M77" s="84"/>
      <c r="N77" s="84"/>
      <c r="O77" s="84"/>
      <c r="P77" s="84"/>
    </row>
    <row r="78" spans="1:17" ht="13" x14ac:dyDescent="0.3">
      <c r="A78" s="126" t="s">
        <v>196</v>
      </c>
      <c r="B78" s="84"/>
      <c r="C78" s="672"/>
      <c r="D78" s="672"/>
      <c r="E78" s="672"/>
      <c r="F78" s="672"/>
      <c r="G78" s="92"/>
      <c r="J78" s="126"/>
      <c r="K78" s="84"/>
      <c r="L78" s="84"/>
      <c r="M78" s="84"/>
      <c r="N78" s="84"/>
      <c r="O78" s="84"/>
      <c r="P78" s="84"/>
    </row>
    <row r="79" spans="1:17" ht="13" x14ac:dyDescent="0.3">
      <c r="A79" s="414" t="s">
        <v>197</v>
      </c>
      <c r="B79" s="143"/>
      <c r="C79" s="480"/>
      <c r="D79" s="480"/>
      <c r="E79" s="480"/>
      <c r="F79" s="672"/>
      <c r="G79" s="92"/>
      <c r="J79" s="126"/>
      <c r="K79" s="143"/>
      <c r="L79" s="84"/>
      <c r="M79" s="84"/>
      <c r="N79" s="84"/>
      <c r="O79" s="84"/>
      <c r="P79" s="84"/>
    </row>
    <row r="80" spans="1:17" x14ac:dyDescent="0.25">
      <c r="A80" s="84"/>
      <c r="B80" s="84"/>
      <c r="C80" s="84"/>
      <c r="D80" s="84"/>
      <c r="E80" s="84"/>
      <c r="F80" s="84"/>
    </row>
    <row r="81" spans="1:8" ht="14" x14ac:dyDescent="0.3">
      <c r="A81" s="209" t="s">
        <v>250</v>
      </c>
      <c r="B81" s="209" t="s">
        <v>184</v>
      </c>
      <c r="C81" s="209" t="s">
        <v>185</v>
      </c>
      <c r="D81" s="209" t="s">
        <v>186</v>
      </c>
      <c r="E81" s="209" t="s">
        <v>187</v>
      </c>
      <c r="F81" s="209" t="s">
        <v>188</v>
      </c>
      <c r="G81" s="209" t="s">
        <v>201</v>
      </c>
      <c r="H81" s="210" t="s">
        <v>213</v>
      </c>
    </row>
    <row r="82" spans="1:8" ht="13" x14ac:dyDescent="0.3">
      <c r="A82" s="126" t="s">
        <v>775</v>
      </c>
      <c r="B82" s="84"/>
      <c r="C82" s="480"/>
      <c r="D82" s="480"/>
      <c r="E82" s="480"/>
      <c r="F82" s="672"/>
      <c r="G82" s="134"/>
      <c r="H82" s="84"/>
    </row>
    <row r="83" spans="1:8" ht="13" x14ac:dyDescent="0.3">
      <c r="A83" s="126" t="s">
        <v>192</v>
      </c>
      <c r="B83" s="84"/>
      <c r="C83" s="480"/>
      <c r="D83" s="480"/>
      <c r="E83" s="480"/>
      <c r="F83" s="672"/>
      <c r="G83" s="92"/>
    </row>
    <row r="84" spans="1:8" ht="13" x14ac:dyDescent="0.3">
      <c r="A84" s="126" t="s">
        <v>776</v>
      </c>
      <c r="B84" s="84"/>
      <c r="C84" s="480"/>
      <c r="D84" s="480"/>
      <c r="E84" s="480"/>
      <c r="F84" s="672"/>
      <c r="G84" s="92"/>
    </row>
    <row r="85" spans="1:8" ht="13" x14ac:dyDescent="0.3">
      <c r="A85" s="126" t="s">
        <v>193</v>
      </c>
      <c r="B85" s="84"/>
      <c r="C85" s="480"/>
      <c r="D85" s="480"/>
      <c r="E85" s="480"/>
      <c r="F85" s="672"/>
      <c r="G85" s="92"/>
    </row>
    <row r="86" spans="1:8" ht="13" x14ac:dyDescent="0.3">
      <c r="A86" s="126" t="s">
        <v>777</v>
      </c>
      <c r="B86" s="84"/>
      <c r="C86" s="480"/>
      <c r="D86" s="480"/>
      <c r="E86" s="480"/>
      <c r="F86" s="672"/>
      <c r="G86" s="92"/>
    </row>
    <row r="87" spans="1:8" ht="13" x14ac:dyDescent="0.3">
      <c r="A87" s="126" t="s">
        <v>194</v>
      </c>
      <c r="B87" s="84"/>
      <c r="C87" s="672"/>
      <c r="D87" s="672"/>
      <c r="E87" s="672"/>
      <c r="F87" s="672"/>
      <c r="G87" s="92"/>
    </row>
    <row r="88" spans="1:8" ht="13" x14ac:dyDescent="0.3">
      <c r="A88" s="126" t="s">
        <v>778</v>
      </c>
      <c r="B88" s="84"/>
      <c r="C88" s="672"/>
      <c r="D88" s="672"/>
      <c r="E88" s="672"/>
      <c r="F88" s="672"/>
      <c r="G88" s="92"/>
    </row>
    <row r="89" spans="1:8" ht="13" x14ac:dyDescent="0.3">
      <c r="A89" s="126" t="s">
        <v>195</v>
      </c>
      <c r="B89" s="84"/>
      <c r="C89" s="672"/>
      <c r="D89" s="672"/>
      <c r="E89" s="672"/>
      <c r="F89" s="672"/>
      <c r="G89" s="92"/>
    </row>
    <row r="90" spans="1:8" ht="13" x14ac:dyDescent="0.3">
      <c r="A90" s="126" t="s">
        <v>196</v>
      </c>
      <c r="B90" s="84"/>
      <c r="C90" s="480"/>
      <c r="D90" s="480"/>
      <c r="E90" s="480"/>
      <c r="F90" s="672"/>
      <c r="G90" s="92"/>
    </row>
    <row r="91" spans="1:8" x14ac:dyDescent="0.25">
      <c r="A91" s="84"/>
      <c r="B91" s="84"/>
      <c r="C91" s="84"/>
      <c r="D91" s="84"/>
      <c r="E91" s="84"/>
      <c r="F91" s="84"/>
    </row>
    <row r="92" spans="1:8" ht="14" x14ac:dyDescent="0.3">
      <c r="A92" s="209" t="s">
        <v>251</v>
      </c>
      <c r="B92" s="209" t="s">
        <v>184</v>
      </c>
      <c r="C92" s="209" t="s">
        <v>185</v>
      </c>
      <c r="D92" s="209" t="s">
        <v>186</v>
      </c>
      <c r="E92" s="209" t="s">
        <v>187</v>
      </c>
      <c r="F92" s="209" t="s">
        <v>188</v>
      </c>
      <c r="G92" s="209" t="s">
        <v>201</v>
      </c>
      <c r="H92" s="210" t="s">
        <v>213</v>
      </c>
    </row>
    <row r="93" spans="1:8" ht="13" x14ac:dyDescent="0.3">
      <c r="A93" s="126" t="s">
        <v>775</v>
      </c>
      <c r="B93" s="84"/>
      <c r="C93" s="480"/>
      <c r="D93" s="480"/>
      <c r="E93" s="480"/>
      <c r="F93" s="672"/>
      <c r="G93" s="206"/>
      <c r="H93" s="84"/>
    </row>
    <row r="94" spans="1:8" ht="13" x14ac:dyDescent="0.3">
      <c r="A94" s="126" t="s">
        <v>192</v>
      </c>
      <c r="B94" s="84"/>
      <c r="C94" s="480"/>
      <c r="D94" s="480"/>
      <c r="E94" s="480"/>
      <c r="F94" s="672"/>
      <c r="G94" s="92"/>
    </row>
    <row r="95" spans="1:8" ht="13" x14ac:dyDescent="0.3">
      <c r="A95" s="126" t="s">
        <v>776</v>
      </c>
      <c r="B95" s="84"/>
      <c r="C95" s="480"/>
      <c r="D95" s="480"/>
      <c r="E95" s="480"/>
      <c r="F95" s="672"/>
      <c r="G95" s="92"/>
    </row>
    <row r="96" spans="1:8" ht="13" x14ac:dyDescent="0.3">
      <c r="A96" s="126" t="s">
        <v>193</v>
      </c>
      <c r="B96" s="84"/>
      <c r="C96" s="480"/>
      <c r="D96" s="480"/>
      <c r="E96" s="480"/>
      <c r="F96" s="672"/>
      <c r="G96" s="92"/>
    </row>
    <row r="97" spans="1:8" ht="13" x14ac:dyDescent="0.3">
      <c r="A97" s="126" t="s">
        <v>777</v>
      </c>
      <c r="B97" s="84"/>
      <c r="C97" s="480"/>
      <c r="D97" s="480"/>
      <c r="E97" s="480"/>
      <c r="F97" s="672"/>
      <c r="G97" s="92"/>
    </row>
    <row r="98" spans="1:8" ht="13" x14ac:dyDescent="0.3">
      <c r="A98" s="126" t="s">
        <v>194</v>
      </c>
      <c r="B98" s="84"/>
      <c r="C98" s="480"/>
      <c r="D98" s="480"/>
      <c r="E98" s="480"/>
      <c r="F98" s="672"/>
      <c r="G98" s="92"/>
    </row>
    <row r="99" spans="1:8" ht="13" x14ac:dyDescent="0.3">
      <c r="A99" s="126" t="s">
        <v>778</v>
      </c>
      <c r="B99" s="84"/>
      <c r="C99" s="480"/>
      <c r="D99" s="480"/>
      <c r="E99" s="480"/>
      <c r="F99" s="672"/>
      <c r="G99" s="92"/>
    </row>
    <row r="100" spans="1:8" ht="13" x14ac:dyDescent="0.3">
      <c r="A100" s="126" t="s">
        <v>195</v>
      </c>
      <c r="B100" s="84"/>
      <c r="C100" s="672"/>
      <c r="D100" s="672"/>
      <c r="E100" s="672"/>
      <c r="F100" s="672"/>
      <c r="G100" s="92"/>
    </row>
    <row r="101" spans="1:8" ht="13" x14ac:dyDescent="0.3">
      <c r="A101" s="126" t="s">
        <v>196</v>
      </c>
      <c r="B101" s="84"/>
      <c r="C101" s="480"/>
      <c r="D101" s="480"/>
      <c r="E101" s="480"/>
      <c r="F101" s="672"/>
      <c r="G101" s="92"/>
    </row>
    <row r="102" spans="1:8" ht="13" x14ac:dyDescent="0.3">
      <c r="A102" s="126" t="s">
        <v>197</v>
      </c>
      <c r="B102" s="84"/>
      <c r="C102" s="84"/>
      <c r="D102" s="84"/>
      <c r="E102" s="84"/>
      <c r="F102" s="84"/>
    </row>
    <row r="103" spans="1:8" ht="14" x14ac:dyDescent="0.3">
      <c r="A103" s="126" t="s">
        <v>198</v>
      </c>
      <c r="B103" s="696"/>
      <c r="C103" s="696"/>
      <c r="D103" s="696"/>
      <c r="E103" s="696"/>
      <c r="F103" s="696"/>
      <c r="G103" s="695"/>
      <c r="H103" s="130"/>
    </row>
    <row r="104" spans="1:8" ht="13" x14ac:dyDescent="0.3">
      <c r="A104" s="126" t="s">
        <v>199</v>
      </c>
      <c r="B104" s="206"/>
      <c r="C104" s="206"/>
      <c r="D104" s="206"/>
      <c r="E104" s="206"/>
      <c r="F104" s="206"/>
      <c r="G104" s="89"/>
      <c r="H104" s="89"/>
    </row>
  </sheetData>
  <mergeCells count="6">
    <mergeCell ref="B45:F45"/>
    <mergeCell ref="E32:F32"/>
    <mergeCell ref="A29:B29"/>
    <mergeCell ref="D29:E29"/>
    <mergeCell ref="A1:F1"/>
    <mergeCell ref="B32:C32"/>
  </mergeCells>
  <pageMargins left="0.66" right="0.27" top="0.33" bottom="0.56999999999999995" header="0.2" footer="0.48"/>
  <pageSetup scale="9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A91"/>
  <sheetViews>
    <sheetView topLeftCell="A13" workbookViewId="0">
      <selection activeCell="X32" sqref="X32"/>
    </sheetView>
  </sheetViews>
  <sheetFormatPr defaultRowHeight="12.5" x14ac:dyDescent="0.25"/>
  <cols>
    <col min="1" max="1" width="6.54296875" bestFit="1" customWidth="1"/>
    <col min="2" max="2" width="30.54296875" style="596" customWidth="1"/>
    <col min="3" max="3" width="8.54296875" customWidth="1"/>
    <col min="4" max="4" width="6.453125" customWidth="1"/>
    <col min="5" max="5" width="8.36328125" customWidth="1"/>
    <col min="6" max="6" width="7.453125" customWidth="1"/>
    <col min="8" max="8" width="6.36328125" customWidth="1"/>
    <col min="10" max="10" width="7.453125" customWidth="1"/>
    <col min="12" max="12" width="5.08984375" customWidth="1"/>
    <col min="14" max="14" width="8" customWidth="1"/>
    <col min="16" max="16" width="35.08984375" customWidth="1"/>
    <col min="20" max="21" width="11.90625" customWidth="1"/>
    <col min="22" max="22" width="11" bestFit="1" customWidth="1"/>
    <col min="23" max="23" width="6.90625" bestFit="1" customWidth="1"/>
    <col min="24" max="24" width="48.08984375" bestFit="1" customWidth="1"/>
  </cols>
  <sheetData>
    <row r="1" spans="1:27" ht="22.5" customHeight="1" x14ac:dyDescent="0.3">
      <c r="A1" s="588" t="s">
        <v>443</v>
      </c>
      <c r="B1" s="595" t="s">
        <v>444</v>
      </c>
      <c r="C1" s="587">
        <v>40367</v>
      </c>
      <c r="D1" s="587"/>
      <c r="E1" s="587"/>
      <c r="F1" s="587"/>
      <c r="G1" s="587">
        <v>40398</v>
      </c>
      <c r="H1" s="587"/>
      <c r="I1" s="587"/>
      <c r="J1" s="587"/>
      <c r="K1" s="587">
        <v>40429</v>
      </c>
      <c r="L1" s="587"/>
      <c r="M1" s="587"/>
      <c r="N1" s="587"/>
      <c r="W1" s="887" t="s">
        <v>443</v>
      </c>
      <c r="X1" s="887" t="s">
        <v>444</v>
      </c>
      <c r="Y1" s="888" t="s">
        <v>656</v>
      </c>
      <c r="Z1" s="889"/>
      <c r="AA1" s="890"/>
    </row>
    <row r="2" spans="1:27" ht="24.75" customHeight="1" x14ac:dyDescent="0.3">
      <c r="A2" s="588"/>
      <c r="B2" s="595"/>
      <c r="C2" s="560" t="s">
        <v>474</v>
      </c>
      <c r="D2" s="561" t="s">
        <v>615</v>
      </c>
      <c r="E2" s="561" t="s">
        <v>475</v>
      </c>
      <c r="F2" s="560" t="s">
        <v>476</v>
      </c>
      <c r="G2" s="560" t="s">
        <v>474</v>
      </c>
      <c r="H2" s="561" t="s">
        <v>615</v>
      </c>
      <c r="I2" s="561" t="s">
        <v>475</v>
      </c>
      <c r="J2" s="560" t="s">
        <v>476</v>
      </c>
      <c r="K2" s="560" t="s">
        <v>474</v>
      </c>
      <c r="L2" s="561" t="s">
        <v>615</v>
      </c>
      <c r="M2" s="561" t="s">
        <v>475</v>
      </c>
      <c r="N2" s="560" t="s">
        <v>476</v>
      </c>
      <c r="W2" s="887"/>
      <c r="X2" s="887"/>
      <c r="Y2" s="624">
        <v>40367</v>
      </c>
      <c r="Z2" s="626">
        <v>40395</v>
      </c>
      <c r="AA2" s="625">
        <v>40423</v>
      </c>
    </row>
    <row r="3" spans="1:27" ht="14.5" x14ac:dyDescent="0.35">
      <c r="A3" s="906" t="s">
        <v>445</v>
      </c>
      <c r="B3" s="907"/>
      <c r="C3" s="907"/>
      <c r="D3" s="907"/>
      <c r="E3" s="907"/>
      <c r="F3" s="907"/>
      <c r="G3" s="907"/>
      <c r="H3" s="907"/>
      <c r="I3" s="907"/>
      <c r="J3" s="907"/>
      <c r="K3" s="907"/>
      <c r="L3" s="907"/>
      <c r="M3" s="907"/>
      <c r="N3" s="908"/>
      <c r="U3" s="21"/>
      <c r="V3" s="174"/>
      <c r="W3" s="886" t="s">
        <v>445</v>
      </c>
      <c r="X3" s="886"/>
      <c r="Y3" s="623"/>
      <c r="Z3" s="84"/>
      <c r="AA3" s="84"/>
    </row>
    <row r="4" spans="1:27" x14ac:dyDescent="0.25">
      <c r="A4" s="559" t="s">
        <v>428</v>
      </c>
      <c r="B4" s="594" t="s">
        <v>614</v>
      </c>
      <c r="C4" s="592">
        <v>38</v>
      </c>
      <c r="D4" s="592"/>
      <c r="E4" s="592">
        <v>9</v>
      </c>
      <c r="F4" s="592">
        <v>8</v>
      </c>
      <c r="G4" s="592">
        <v>74</v>
      </c>
      <c r="H4" s="592"/>
      <c r="I4" s="592">
        <v>18</v>
      </c>
      <c r="J4" s="592">
        <v>15</v>
      </c>
      <c r="K4" s="592">
        <v>63</v>
      </c>
      <c r="L4" s="592"/>
      <c r="M4" s="592">
        <v>6</v>
      </c>
      <c r="N4" s="592">
        <v>3</v>
      </c>
      <c r="U4" s="21"/>
      <c r="V4" s="174"/>
      <c r="W4" s="559" t="s">
        <v>428</v>
      </c>
      <c r="X4" s="559" t="s">
        <v>446</v>
      </c>
      <c r="Y4" s="589">
        <v>39.299999999999997</v>
      </c>
      <c r="Z4" s="84">
        <v>51.4</v>
      </c>
      <c r="AA4" s="84">
        <v>23.2</v>
      </c>
    </row>
    <row r="5" spans="1:27" x14ac:dyDescent="0.25">
      <c r="A5" s="559" t="s">
        <v>447</v>
      </c>
      <c r="B5" s="594" t="s">
        <v>448</v>
      </c>
      <c r="C5" s="592">
        <v>23</v>
      </c>
      <c r="D5" s="592"/>
      <c r="E5" s="592">
        <v>11</v>
      </c>
      <c r="F5" s="592">
        <v>11</v>
      </c>
      <c r="G5" s="592">
        <v>50</v>
      </c>
      <c r="H5" s="592"/>
      <c r="I5" s="592">
        <v>18</v>
      </c>
      <c r="J5" s="592">
        <v>26</v>
      </c>
      <c r="K5" s="592">
        <v>32</v>
      </c>
      <c r="L5" s="592"/>
      <c r="M5" s="592">
        <v>7</v>
      </c>
      <c r="N5" s="592">
        <v>10</v>
      </c>
      <c r="U5" s="21"/>
      <c r="V5" s="174"/>
      <c r="W5" s="559" t="s">
        <v>447</v>
      </c>
      <c r="X5" s="559" t="s">
        <v>448</v>
      </c>
      <c r="Y5" s="589">
        <v>49.5</v>
      </c>
      <c r="Z5" s="84">
        <v>66.400000000000006</v>
      </c>
      <c r="AA5" s="84">
        <v>14.6</v>
      </c>
    </row>
    <row r="6" spans="1:27" ht="14.5" x14ac:dyDescent="0.35">
      <c r="A6" s="906" t="s">
        <v>449</v>
      </c>
      <c r="B6" s="907"/>
      <c r="C6" s="907"/>
      <c r="D6" s="907"/>
      <c r="E6" s="907"/>
      <c r="F6" s="907"/>
      <c r="G6" s="907"/>
      <c r="H6" s="907"/>
      <c r="I6" s="907"/>
      <c r="J6" s="907"/>
      <c r="K6" s="907"/>
      <c r="L6" s="907"/>
      <c r="M6" s="907"/>
      <c r="N6" s="908"/>
      <c r="U6" s="178"/>
      <c r="V6" s="556"/>
      <c r="W6" s="886" t="s">
        <v>452</v>
      </c>
      <c r="X6" s="886"/>
      <c r="Y6" s="623"/>
      <c r="Z6" s="84"/>
      <c r="AA6" s="84"/>
    </row>
    <row r="7" spans="1:27" x14ac:dyDescent="0.25">
      <c r="A7" s="559" t="s">
        <v>429</v>
      </c>
      <c r="B7" s="594" t="s">
        <v>619</v>
      </c>
      <c r="C7" s="592">
        <v>7</v>
      </c>
      <c r="D7" s="592"/>
      <c r="E7" s="592">
        <v>22</v>
      </c>
      <c r="F7" s="592">
        <v>10</v>
      </c>
      <c r="G7" s="592">
        <v>38</v>
      </c>
      <c r="H7" s="592"/>
      <c r="I7" s="592">
        <v>31</v>
      </c>
      <c r="J7" s="592">
        <v>19</v>
      </c>
      <c r="K7" s="592">
        <v>7</v>
      </c>
      <c r="L7" s="592"/>
      <c r="M7" s="592">
        <v>15</v>
      </c>
      <c r="N7" s="592">
        <v>10</v>
      </c>
      <c r="U7" s="21"/>
      <c r="V7" s="174"/>
      <c r="W7" s="559" t="s">
        <v>226</v>
      </c>
      <c r="X7" s="559" t="s">
        <v>453</v>
      </c>
      <c r="Y7" s="589">
        <v>62.2</v>
      </c>
      <c r="Z7" s="84">
        <v>59.4</v>
      </c>
      <c r="AA7" s="84">
        <v>25.7</v>
      </c>
    </row>
    <row r="8" spans="1:27" ht="13.5" customHeight="1" x14ac:dyDescent="0.25">
      <c r="A8" s="559" t="s">
        <v>430</v>
      </c>
      <c r="B8" s="594" t="s">
        <v>618</v>
      </c>
      <c r="C8" s="592">
        <v>16</v>
      </c>
      <c r="D8" s="592"/>
      <c r="E8" s="592">
        <v>147</v>
      </c>
      <c r="F8" s="592">
        <v>22</v>
      </c>
      <c r="G8" s="592">
        <v>30</v>
      </c>
      <c r="H8" s="592"/>
      <c r="I8" s="592">
        <v>73</v>
      </c>
      <c r="J8" s="592">
        <v>28</v>
      </c>
      <c r="K8" s="592">
        <v>7</v>
      </c>
      <c r="L8" s="592"/>
      <c r="M8" s="592">
        <v>48</v>
      </c>
      <c r="N8" s="592">
        <v>19</v>
      </c>
      <c r="U8" s="21"/>
      <c r="V8" s="174"/>
      <c r="W8" s="559" t="s">
        <v>431</v>
      </c>
      <c r="X8" s="559" t="s">
        <v>454</v>
      </c>
      <c r="Y8" s="589">
        <v>63</v>
      </c>
      <c r="Z8" s="84">
        <v>77.599999999999994</v>
      </c>
      <c r="AA8" s="84">
        <v>24.3</v>
      </c>
    </row>
    <row r="9" spans="1:27" x14ac:dyDescent="0.25">
      <c r="A9" s="906" t="s">
        <v>452</v>
      </c>
      <c r="B9" s="907"/>
      <c r="C9" s="907"/>
      <c r="D9" s="907"/>
      <c r="E9" s="907"/>
      <c r="F9" s="907"/>
      <c r="G9" s="907"/>
      <c r="H9" s="907"/>
      <c r="I9" s="907"/>
      <c r="J9" s="907"/>
      <c r="K9" s="907"/>
      <c r="L9" s="907"/>
      <c r="M9" s="907"/>
      <c r="N9" s="908"/>
      <c r="U9" s="21"/>
      <c r="V9" s="174"/>
      <c r="W9" s="559" t="s">
        <v>432</v>
      </c>
      <c r="X9" s="559" t="s">
        <v>455</v>
      </c>
      <c r="Y9" s="589">
        <v>52.4</v>
      </c>
      <c r="Z9" s="84">
        <v>77.5</v>
      </c>
      <c r="AA9" s="84">
        <v>27.1</v>
      </c>
    </row>
    <row r="10" spans="1:27" ht="15.75" customHeight="1" x14ac:dyDescent="0.25">
      <c r="A10" s="559" t="s">
        <v>226</v>
      </c>
      <c r="B10" s="594" t="s">
        <v>616</v>
      </c>
      <c r="C10" s="592">
        <v>19</v>
      </c>
      <c r="D10" s="592"/>
      <c r="E10" s="592">
        <v>30</v>
      </c>
      <c r="F10" s="592">
        <v>14</v>
      </c>
      <c r="G10" s="592">
        <v>37</v>
      </c>
      <c r="H10" s="592"/>
      <c r="I10" s="592">
        <v>61</v>
      </c>
      <c r="J10" s="592">
        <v>26</v>
      </c>
      <c r="K10" s="592">
        <v>7</v>
      </c>
      <c r="L10" s="592"/>
      <c r="M10" s="592">
        <v>22</v>
      </c>
      <c r="N10" s="592">
        <v>15</v>
      </c>
      <c r="U10" s="178"/>
      <c r="V10" s="556"/>
      <c r="W10" s="559" t="s">
        <v>433</v>
      </c>
      <c r="X10" s="559" t="s">
        <v>456</v>
      </c>
      <c r="Y10" s="589">
        <v>63</v>
      </c>
      <c r="Z10" s="84">
        <v>76.099999999999994</v>
      </c>
      <c r="AA10" s="84">
        <v>28.3</v>
      </c>
    </row>
    <row r="11" spans="1:27" x14ac:dyDescent="0.25">
      <c r="A11" s="559" t="s">
        <v>431</v>
      </c>
      <c r="B11" s="594" t="s">
        <v>454</v>
      </c>
      <c r="C11" s="592">
        <v>61</v>
      </c>
      <c r="D11" s="592"/>
      <c r="E11" s="592">
        <v>64</v>
      </c>
      <c r="F11" s="592">
        <v>24</v>
      </c>
      <c r="G11" s="592">
        <v>49</v>
      </c>
      <c r="H11" s="592"/>
      <c r="I11" s="592">
        <v>134</v>
      </c>
      <c r="J11" s="592">
        <v>21</v>
      </c>
      <c r="K11" s="592">
        <v>63</v>
      </c>
      <c r="L11" s="592"/>
      <c r="M11" s="592">
        <v>47</v>
      </c>
      <c r="N11" s="592">
        <v>15</v>
      </c>
      <c r="U11" s="21"/>
      <c r="V11" s="174"/>
      <c r="W11" s="559" t="s">
        <v>434</v>
      </c>
      <c r="X11" s="559" t="s">
        <v>457</v>
      </c>
      <c r="Y11" s="589">
        <v>74.099999999999994</v>
      </c>
      <c r="Z11" s="84">
        <v>76.900000000000006</v>
      </c>
      <c r="AA11" s="84">
        <v>38.4</v>
      </c>
    </row>
    <row r="12" spans="1:27" x14ac:dyDescent="0.25">
      <c r="A12" s="559" t="s">
        <v>432</v>
      </c>
      <c r="B12" s="594" t="s">
        <v>455</v>
      </c>
      <c r="C12" s="592">
        <v>121</v>
      </c>
      <c r="D12" s="592"/>
      <c r="E12" s="592">
        <v>83</v>
      </c>
      <c r="F12" s="592">
        <v>19</v>
      </c>
      <c r="G12" s="592">
        <v>87</v>
      </c>
      <c r="H12" s="592"/>
      <c r="I12" s="592">
        <v>75</v>
      </c>
      <c r="J12" s="592">
        <v>30</v>
      </c>
      <c r="K12" s="592">
        <v>116</v>
      </c>
      <c r="L12" s="592"/>
      <c r="M12" s="592">
        <v>14</v>
      </c>
      <c r="N12" s="592">
        <v>17</v>
      </c>
      <c r="U12" s="21"/>
      <c r="V12" s="174"/>
      <c r="W12" s="559" t="s">
        <v>435</v>
      </c>
      <c r="X12" s="559" t="s">
        <v>458</v>
      </c>
      <c r="Y12" s="589">
        <v>67.400000000000006</v>
      </c>
      <c r="Z12" s="84">
        <v>75.599999999999994</v>
      </c>
      <c r="AA12" s="84">
        <v>21.9</v>
      </c>
    </row>
    <row r="13" spans="1:27" ht="14.5" x14ac:dyDescent="0.35">
      <c r="A13" s="559" t="s">
        <v>433</v>
      </c>
      <c r="B13" s="594" t="s">
        <v>456</v>
      </c>
      <c r="C13" s="592">
        <v>201</v>
      </c>
      <c r="D13" s="592"/>
      <c r="E13" s="592">
        <v>25</v>
      </c>
      <c r="F13" s="592">
        <v>32</v>
      </c>
      <c r="G13" s="592">
        <v>142</v>
      </c>
      <c r="H13" s="592"/>
      <c r="I13" s="592">
        <v>33</v>
      </c>
      <c r="J13" s="592">
        <v>32</v>
      </c>
      <c r="K13" s="592">
        <v>203</v>
      </c>
      <c r="L13" s="592"/>
      <c r="M13" s="592">
        <v>9</v>
      </c>
      <c r="N13" s="592">
        <v>24</v>
      </c>
      <c r="U13" s="21"/>
      <c r="V13" s="174"/>
      <c r="W13" s="886" t="s">
        <v>459</v>
      </c>
      <c r="X13" s="886"/>
      <c r="Y13" s="623"/>
      <c r="Z13" s="84"/>
      <c r="AA13" s="84"/>
    </row>
    <row r="14" spans="1:27" x14ac:dyDescent="0.25">
      <c r="A14" s="559" t="s">
        <v>434</v>
      </c>
      <c r="B14" s="594" t="s">
        <v>457</v>
      </c>
      <c r="C14" s="592">
        <v>208</v>
      </c>
      <c r="D14" s="592"/>
      <c r="E14" s="592">
        <v>19</v>
      </c>
      <c r="F14" s="592">
        <v>13</v>
      </c>
      <c r="G14" s="592">
        <v>164</v>
      </c>
      <c r="H14" s="592"/>
      <c r="I14" s="592">
        <v>21</v>
      </c>
      <c r="J14" s="592">
        <v>42</v>
      </c>
      <c r="K14" s="592">
        <v>319</v>
      </c>
      <c r="L14" s="592"/>
      <c r="M14" s="592">
        <v>8</v>
      </c>
      <c r="N14" s="592">
        <v>34</v>
      </c>
      <c r="U14" s="21"/>
      <c r="V14" s="174"/>
      <c r="W14" s="559" t="s">
        <v>438</v>
      </c>
      <c r="X14" s="559" t="s">
        <v>460</v>
      </c>
      <c r="Y14" s="589">
        <v>9.5</v>
      </c>
      <c r="Z14" s="84">
        <v>10.4</v>
      </c>
      <c r="AA14" s="84">
        <v>7.9</v>
      </c>
    </row>
    <row r="15" spans="1:27" ht="14.5" x14ac:dyDescent="0.35">
      <c r="A15" s="559" t="s">
        <v>435</v>
      </c>
      <c r="B15" s="594" t="s">
        <v>617</v>
      </c>
      <c r="C15" s="592">
        <v>168</v>
      </c>
      <c r="D15" s="592"/>
      <c r="E15" s="592">
        <v>17</v>
      </c>
      <c r="F15" s="592">
        <v>21</v>
      </c>
      <c r="G15" s="592">
        <v>140</v>
      </c>
      <c r="H15" s="592"/>
      <c r="I15" s="592">
        <v>19</v>
      </c>
      <c r="J15" s="592">
        <v>37</v>
      </c>
      <c r="K15" s="592">
        <v>182</v>
      </c>
      <c r="L15" s="592"/>
      <c r="M15" s="592">
        <v>7</v>
      </c>
      <c r="N15" s="592">
        <v>20</v>
      </c>
      <c r="U15" s="21"/>
      <c r="V15" s="174"/>
      <c r="W15" s="886" t="s">
        <v>461</v>
      </c>
      <c r="X15" s="886"/>
      <c r="Y15" s="623"/>
      <c r="Z15" s="84"/>
      <c r="AA15" s="84"/>
    </row>
    <row r="16" spans="1:27" x14ac:dyDescent="0.25">
      <c r="A16" s="906" t="s">
        <v>459</v>
      </c>
      <c r="B16" s="907"/>
      <c r="C16" s="907"/>
      <c r="D16" s="907"/>
      <c r="E16" s="907"/>
      <c r="F16" s="907"/>
      <c r="G16" s="907"/>
      <c r="H16" s="907"/>
      <c r="I16" s="907"/>
      <c r="J16" s="907"/>
      <c r="K16" s="907"/>
      <c r="L16" s="907"/>
      <c r="M16" s="907"/>
      <c r="N16" s="908"/>
      <c r="U16" s="21"/>
      <c r="V16" s="174"/>
      <c r="W16" s="559" t="s">
        <v>439</v>
      </c>
      <c r="X16" s="559" t="s">
        <v>463</v>
      </c>
      <c r="Y16" s="589">
        <v>6.3</v>
      </c>
      <c r="Z16" s="84">
        <v>1.1299999999999999</v>
      </c>
      <c r="AA16" s="84">
        <v>0.43</v>
      </c>
    </row>
    <row r="17" spans="1:27" x14ac:dyDescent="0.25">
      <c r="A17" s="559" t="s">
        <v>438</v>
      </c>
      <c r="B17" s="594" t="s">
        <v>460</v>
      </c>
      <c r="C17" s="592">
        <v>11</v>
      </c>
      <c r="D17" s="592"/>
      <c r="E17" s="592">
        <v>16</v>
      </c>
      <c r="F17" s="592">
        <v>9</v>
      </c>
      <c r="G17" s="592">
        <v>20</v>
      </c>
      <c r="H17" s="592"/>
      <c r="I17" s="592">
        <v>35</v>
      </c>
      <c r="J17" s="592">
        <v>16</v>
      </c>
      <c r="K17" s="592">
        <v>28</v>
      </c>
      <c r="L17" s="592"/>
      <c r="M17" s="592">
        <v>5</v>
      </c>
      <c r="N17" s="592">
        <v>10</v>
      </c>
      <c r="U17" s="21"/>
      <c r="V17" s="174"/>
      <c r="W17" s="559" t="s">
        <v>440</v>
      </c>
      <c r="X17" s="559" t="s">
        <v>462</v>
      </c>
      <c r="Y17" s="589">
        <v>6</v>
      </c>
      <c r="Z17" s="84">
        <v>1.61</v>
      </c>
      <c r="AA17" s="84">
        <v>0.88</v>
      </c>
    </row>
    <row r="18" spans="1:27" ht="14.5" x14ac:dyDescent="0.35">
      <c r="A18" s="906" t="s">
        <v>461</v>
      </c>
      <c r="B18" s="907"/>
      <c r="C18" s="907"/>
      <c r="D18" s="907"/>
      <c r="E18" s="907"/>
      <c r="F18" s="907"/>
      <c r="G18" s="907"/>
      <c r="H18" s="907"/>
      <c r="I18" s="907"/>
      <c r="J18" s="907"/>
      <c r="K18" s="907"/>
      <c r="L18" s="907"/>
      <c r="M18" s="907"/>
      <c r="N18" s="908"/>
      <c r="U18" s="21"/>
      <c r="V18" s="174"/>
      <c r="W18" s="886" t="s">
        <v>466</v>
      </c>
      <c r="X18" s="886"/>
      <c r="Y18" s="623"/>
      <c r="Z18" s="84"/>
      <c r="AA18" s="84"/>
    </row>
    <row r="19" spans="1:27" x14ac:dyDescent="0.25">
      <c r="A19" s="559" t="s">
        <v>439</v>
      </c>
      <c r="B19" s="594" t="s">
        <v>463</v>
      </c>
      <c r="C19" s="592">
        <v>174</v>
      </c>
      <c r="D19" s="592"/>
      <c r="E19" s="592">
        <v>10</v>
      </c>
      <c r="F19" s="592">
        <v>54</v>
      </c>
      <c r="G19" s="592">
        <v>147</v>
      </c>
      <c r="H19" s="592"/>
      <c r="I19" s="592">
        <v>21</v>
      </c>
      <c r="J19" s="592">
        <v>25</v>
      </c>
      <c r="K19" s="592">
        <v>87</v>
      </c>
      <c r="L19" s="592"/>
      <c r="M19" s="592">
        <v>15</v>
      </c>
      <c r="N19" s="592">
        <v>8</v>
      </c>
      <c r="U19" s="21"/>
      <c r="V19" s="174"/>
      <c r="W19" s="559" t="s">
        <v>436</v>
      </c>
      <c r="X19" s="559" t="s">
        <v>467</v>
      </c>
      <c r="Y19" s="589">
        <v>0.41</v>
      </c>
      <c r="Z19" s="84">
        <v>0.1</v>
      </c>
      <c r="AA19" s="84">
        <v>0.01</v>
      </c>
    </row>
    <row r="20" spans="1:27" ht="14.5" x14ac:dyDescent="0.35">
      <c r="A20" s="559" t="s">
        <v>440</v>
      </c>
      <c r="B20" s="594" t="s">
        <v>462</v>
      </c>
      <c r="C20" s="592">
        <v>126</v>
      </c>
      <c r="D20" s="592"/>
      <c r="E20" s="592">
        <v>15</v>
      </c>
      <c r="F20" s="592">
        <v>18</v>
      </c>
      <c r="G20" s="592">
        <v>141</v>
      </c>
      <c r="H20" s="592"/>
      <c r="I20" s="592">
        <v>28</v>
      </c>
      <c r="J20" s="592">
        <v>52</v>
      </c>
      <c r="K20" s="592">
        <v>6</v>
      </c>
      <c r="L20" s="592"/>
      <c r="M20" s="592">
        <v>7</v>
      </c>
      <c r="N20" s="592">
        <v>11</v>
      </c>
      <c r="U20" s="21"/>
      <c r="V20" s="174"/>
      <c r="W20" s="886" t="s">
        <v>468</v>
      </c>
      <c r="X20" s="886"/>
      <c r="Y20" s="623"/>
      <c r="Z20" s="84"/>
      <c r="AA20" s="84"/>
    </row>
    <row r="21" spans="1:27" x14ac:dyDescent="0.25">
      <c r="A21" s="906" t="s">
        <v>466</v>
      </c>
      <c r="B21" s="907"/>
      <c r="C21" s="907"/>
      <c r="D21" s="907"/>
      <c r="E21" s="907"/>
      <c r="F21" s="907"/>
      <c r="G21" s="907"/>
      <c r="H21" s="907"/>
      <c r="I21" s="907"/>
      <c r="J21" s="907"/>
      <c r="K21" s="907"/>
      <c r="L21" s="907"/>
      <c r="M21" s="907"/>
      <c r="N21" s="908"/>
      <c r="U21" s="21"/>
      <c r="V21" s="174"/>
      <c r="W21" s="559" t="s">
        <v>437</v>
      </c>
      <c r="X21" s="559" t="s">
        <v>469</v>
      </c>
      <c r="Y21" s="589">
        <v>1.9</v>
      </c>
      <c r="Z21" s="84">
        <v>1.2</v>
      </c>
      <c r="AA21" s="84">
        <v>0.52</v>
      </c>
    </row>
    <row r="22" spans="1:27" ht="20" x14ac:dyDescent="0.35">
      <c r="A22" s="559" t="s">
        <v>436</v>
      </c>
      <c r="B22" s="594" t="s">
        <v>467</v>
      </c>
      <c r="C22" s="592">
        <v>113</v>
      </c>
      <c r="D22" s="592"/>
      <c r="E22" s="592">
        <v>27</v>
      </c>
      <c r="F22" s="592">
        <v>45</v>
      </c>
      <c r="G22" s="592">
        <v>81</v>
      </c>
      <c r="H22" s="592"/>
      <c r="I22" s="592">
        <v>51</v>
      </c>
      <c r="J22" s="592">
        <v>34</v>
      </c>
      <c r="K22" s="592">
        <v>198</v>
      </c>
      <c r="L22" s="592"/>
      <c r="M22" s="592">
        <v>34</v>
      </c>
      <c r="N22" s="592">
        <v>158</v>
      </c>
      <c r="U22" s="21"/>
      <c r="V22" s="174"/>
      <c r="W22" s="886" t="s">
        <v>470</v>
      </c>
      <c r="X22" s="886"/>
      <c r="Y22" s="623"/>
      <c r="Z22" s="84"/>
      <c r="AA22" s="84"/>
    </row>
    <row r="23" spans="1:27" x14ac:dyDescent="0.25">
      <c r="A23" s="906" t="s">
        <v>468</v>
      </c>
      <c r="B23" s="907"/>
      <c r="C23" s="907"/>
      <c r="D23" s="907"/>
      <c r="E23" s="907"/>
      <c r="F23" s="907"/>
      <c r="G23" s="907"/>
      <c r="H23" s="907"/>
      <c r="I23" s="907"/>
      <c r="J23" s="907"/>
      <c r="K23" s="907"/>
      <c r="L23" s="907"/>
      <c r="M23" s="907"/>
      <c r="N23" s="908"/>
      <c r="U23" s="21"/>
      <c r="V23" s="174"/>
      <c r="W23" s="559" t="s">
        <v>427</v>
      </c>
      <c r="X23" s="559" t="s">
        <v>477</v>
      </c>
      <c r="Y23" s="589">
        <v>3.1</v>
      </c>
      <c r="Z23" s="84">
        <v>17.899999999999999</v>
      </c>
      <c r="AA23" s="84">
        <v>3.87</v>
      </c>
    </row>
    <row r="24" spans="1:27" x14ac:dyDescent="0.25">
      <c r="A24" s="559" t="s">
        <v>437</v>
      </c>
      <c r="B24" s="594" t="s">
        <v>469</v>
      </c>
      <c r="C24" s="592">
        <v>120</v>
      </c>
      <c r="D24" s="592"/>
      <c r="E24" s="592">
        <v>20</v>
      </c>
      <c r="F24" s="592">
        <v>29</v>
      </c>
      <c r="G24" s="592">
        <v>81</v>
      </c>
      <c r="H24" s="592"/>
      <c r="I24" s="592">
        <v>27</v>
      </c>
      <c r="J24" s="592">
        <v>16</v>
      </c>
      <c r="K24" s="592">
        <v>7</v>
      </c>
      <c r="L24" s="592"/>
      <c r="M24" s="592">
        <v>9</v>
      </c>
      <c r="N24" s="592">
        <v>11</v>
      </c>
      <c r="U24" s="21"/>
      <c r="V24" s="174"/>
      <c r="W24" s="559" t="s">
        <v>425</v>
      </c>
      <c r="X24" s="559" t="s">
        <v>471</v>
      </c>
      <c r="Y24" s="589">
        <v>3</v>
      </c>
      <c r="Z24" s="84">
        <v>7.1</v>
      </c>
      <c r="AA24" s="84">
        <v>1.02</v>
      </c>
    </row>
    <row r="25" spans="1:27" x14ac:dyDescent="0.25">
      <c r="A25" s="906" t="s">
        <v>470</v>
      </c>
      <c r="B25" s="907"/>
      <c r="C25" s="907"/>
      <c r="D25" s="907"/>
      <c r="E25" s="907"/>
      <c r="F25" s="907"/>
      <c r="G25" s="907"/>
      <c r="H25" s="907"/>
      <c r="I25" s="907"/>
      <c r="J25" s="907"/>
      <c r="K25" s="907"/>
      <c r="L25" s="907"/>
      <c r="M25" s="907"/>
      <c r="N25" s="908"/>
      <c r="U25" s="21"/>
      <c r="V25" s="174"/>
      <c r="W25" s="559" t="s">
        <v>472</v>
      </c>
      <c r="X25" s="559" t="s">
        <v>473</v>
      </c>
      <c r="Y25" s="589">
        <v>17.600000000000001</v>
      </c>
      <c r="Z25" s="84"/>
      <c r="AA25" s="84">
        <v>11.9</v>
      </c>
    </row>
    <row r="26" spans="1:27" ht="20" x14ac:dyDescent="0.25">
      <c r="A26" s="559" t="s">
        <v>427</v>
      </c>
      <c r="B26" s="594" t="s">
        <v>477</v>
      </c>
      <c r="C26" s="592">
        <v>24</v>
      </c>
      <c r="D26" s="592">
        <v>211</v>
      </c>
      <c r="E26" s="592">
        <v>5</v>
      </c>
      <c r="F26" s="592">
        <v>10</v>
      </c>
      <c r="G26" s="592">
        <v>41</v>
      </c>
      <c r="H26" s="592">
        <v>341</v>
      </c>
      <c r="I26" s="592">
        <v>34</v>
      </c>
      <c r="J26" s="592">
        <v>8</v>
      </c>
      <c r="K26" s="592">
        <v>73</v>
      </c>
      <c r="L26" s="592">
        <v>231</v>
      </c>
      <c r="M26" s="592">
        <v>16</v>
      </c>
      <c r="N26" s="592">
        <v>6</v>
      </c>
      <c r="P26" s="21"/>
      <c r="Q26" s="171"/>
      <c r="R26" s="171"/>
      <c r="S26" s="21"/>
      <c r="T26" s="21"/>
      <c r="U26" s="21"/>
      <c r="V26" s="174"/>
    </row>
    <row r="27" spans="1:27" ht="20" x14ac:dyDescent="0.25">
      <c r="A27" s="559" t="s">
        <v>425</v>
      </c>
      <c r="B27" s="594" t="s">
        <v>471</v>
      </c>
      <c r="C27" s="592">
        <v>3</v>
      </c>
      <c r="D27" s="592">
        <v>237</v>
      </c>
      <c r="E27" s="592">
        <v>15</v>
      </c>
      <c r="F27" s="592">
        <v>17</v>
      </c>
      <c r="G27" s="592">
        <v>5</v>
      </c>
      <c r="H27" s="592">
        <v>232</v>
      </c>
      <c r="I27" s="592">
        <v>30</v>
      </c>
      <c r="J27" s="592">
        <v>6</v>
      </c>
      <c r="K27" s="592">
        <v>41</v>
      </c>
      <c r="L27" s="592">
        <v>237</v>
      </c>
      <c r="M27" s="592">
        <v>41</v>
      </c>
      <c r="N27" s="592">
        <v>14</v>
      </c>
      <c r="P27" s="21"/>
      <c r="Q27" s="171"/>
      <c r="R27" s="171"/>
      <c r="S27" s="21"/>
      <c r="T27" s="21"/>
      <c r="U27" s="21"/>
      <c r="V27" s="174"/>
    </row>
    <row r="28" spans="1:27" ht="20" x14ac:dyDescent="0.3">
      <c r="A28" s="559" t="s">
        <v>472</v>
      </c>
      <c r="B28" s="594" t="s">
        <v>473</v>
      </c>
      <c r="C28" s="593">
        <v>57</v>
      </c>
      <c r="D28" s="592">
        <v>169</v>
      </c>
      <c r="E28" s="592"/>
      <c r="F28" s="592">
        <v>7</v>
      </c>
      <c r="G28" s="592"/>
      <c r="H28" s="592"/>
      <c r="I28" s="592"/>
      <c r="J28" s="592"/>
      <c r="K28" s="592">
        <v>108</v>
      </c>
      <c r="L28" s="592">
        <v>160</v>
      </c>
      <c r="M28" s="592">
        <v>5</v>
      </c>
      <c r="N28" s="592">
        <v>2</v>
      </c>
      <c r="P28" s="21"/>
      <c r="Q28" s="171"/>
      <c r="R28" s="171"/>
      <c r="S28" s="21"/>
      <c r="T28" s="21"/>
      <c r="U28" s="21"/>
      <c r="V28" s="174"/>
    </row>
    <row r="29" spans="1:27" x14ac:dyDescent="0.25">
      <c r="P29" s="21"/>
      <c r="Q29" s="171"/>
      <c r="R29" s="171"/>
      <c r="S29" s="21"/>
      <c r="T29" s="21"/>
      <c r="U29" s="21"/>
      <c r="V29" s="174"/>
    </row>
    <row r="30" spans="1:27" ht="14.5" x14ac:dyDescent="0.35">
      <c r="O30" s="379" t="s">
        <v>23</v>
      </c>
      <c r="P30" s="379" t="s">
        <v>654</v>
      </c>
      <c r="Q30" s="372" t="s">
        <v>180</v>
      </c>
      <c r="R30" s="372" t="s">
        <v>650</v>
      </c>
      <c r="S30" s="372" t="s">
        <v>188</v>
      </c>
      <c r="T30" s="622" t="s">
        <v>651</v>
      </c>
      <c r="U30" s="372" t="s">
        <v>652</v>
      </c>
      <c r="V30" s="379" t="s">
        <v>622</v>
      </c>
    </row>
    <row r="31" spans="1:27" ht="15" customHeight="1" x14ac:dyDescent="0.3">
      <c r="O31" s="891"/>
      <c r="P31" s="892"/>
      <c r="Q31" s="902" t="s">
        <v>445</v>
      </c>
      <c r="R31" s="902"/>
      <c r="S31" s="902"/>
      <c r="T31" s="902"/>
      <c r="U31" s="902"/>
      <c r="V31" s="902"/>
    </row>
    <row r="32" spans="1:27" x14ac:dyDescent="0.25">
      <c r="O32" s="896" t="s">
        <v>428</v>
      </c>
      <c r="P32" s="893" t="s">
        <v>653</v>
      </c>
      <c r="Q32" s="545">
        <v>40367</v>
      </c>
      <c r="R32" s="619">
        <v>0.42083333333333334</v>
      </c>
      <c r="S32" s="590">
        <v>7.99</v>
      </c>
      <c r="T32" s="590">
        <v>8.9</v>
      </c>
      <c r="U32" s="590">
        <v>11.41</v>
      </c>
      <c r="V32" s="590">
        <v>4.3999999999999997E-2</v>
      </c>
    </row>
    <row r="33" spans="15:22" x14ac:dyDescent="0.25">
      <c r="O33" s="897"/>
      <c r="P33" s="894"/>
      <c r="Q33" s="545">
        <v>40395</v>
      </c>
      <c r="R33" s="619">
        <v>0.40625</v>
      </c>
      <c r="S33" s="590">
        <v>7.61</v>
      </c>
      <c r="T33" s="590">
        <v>10.1</v>
      </c>
      <c r="U33" s="590">
        <v>8.9700000000000006</v>
      </c>
      <c r="V33" s="590">
        <v>3.9E-2</v>
      </c>
    </row>
    <row r="34" spans="15:22" x14ac:dyDescent="0.25">
      <c r="O34" s="898"/>
      <c r="P34" s="895"/>
      <c r="Q34" s="545">
        <v>40423</v>
      </c>
      <c r="R34" s="619">
        <v>0.41180555555555554</v>
      </c>
      <c r="S34" s="590">
        <v>7.59</v>
      </c>
      <c r="T34" s="590">
        <v>7.7</v>
      </c>
      <c r="U34" s="590">
        <v>10.42</v>
      </c>
      <c r="V34" s="590">
        <v>4.2000000000000003E-2</v>
      </c>
    </row>
    <row r="35" spans="15:22" x14ac:dyDescent="0.25">
      <c r="O35" s="896" t="s">
        <v>447</v>
      </c>
      <c r="P35" s="893" t="s">
        <v>448</v>
      </c>
      <c r="Q35" s="545">
        <v>40367</v>
      </c>
      <c r="R35" s="619">
        <v>0.45277777777777778</v>
      </c>
      <c r="S35" s="590">
        <v>8.18</v>
      </c>
      <c r="T35" s="590">
        <v>11.4</v>
      </c>
      <c r="U35" s="590">
        <v>10.74</v>
      </c>
      <c r="V35" s="590">
        <v>6.8000000000000005E-2</v>
      </c>
    </row>
    <row r="36" spans="15:22" x14ac:dyDescent="0.25">
      <c r="O36" s="897"/>
      <c r="P36" s="894"/>
      <c r="Q36" s="545">
        <v>40395</v>
      </c>
      <c r="R36" s="619">
        <v>0.44236111111111115</v>
      </c>
      <c r="S36" s="590">
        <v>8</v>
      </c>
      <c r="T36" s="590">
        <v>13.1</v>
      </c>
      <c r="U36" s="590">
        <v>8.59</v>
      </c>
      <c r="V36" s="590">
        <v>5.2999999999999999E-2</v>
      </c>
    </row>
    <row r="37" spans="15:22" x14ac:dyDescent="0.25">
      <c r="O37" s="898"/>
      <c r="P37" s="895"/>
      <c r="Q37" s="545">
        <v>40423</v>
      </c>
      <c r="R37" s="619">
        <v>0.44305555555555554</v>
      </c>
      <c r="S37" s="590">
        <v>7.86</v>
      </c>
      <c r="T37" s="590">
        <v>10.7</v>
      </c>
      <c r="U37" s="590">
        <v>9.89</v>
      </c>
      <c r="V37" s="590">
        <v>5.3999999999999999E-2</v>
      </c>
    </row>
    <row r="38" spans="15:22" ht="14" x14ac:dyDescent="0.3">
      <c r="O38" s="900"/>
      <c r="P38" s="901"/>
      <c r="Q38" s="905" t="s">
        <v>449</v>
      </c>
      <c r="R38" s="905"/>
      <c r="S38" s="905"/>
      <c r="T38" s="905"/>
      <c r="U38" s="905"/>
      <c r="V38" s="905"/>
    </row>
    <row r="39" spans="15:22" x14ac:dyDescent="0.25">
      <c r="O39" s="896" t="s">
        <v>429</v>
      </c>
      <c r="P39" s="893" t="s">
        <v>619</v>
      </c>
      <c r="Q39" s="545">
        <v>40365</v>
      </c>
      <c r="R39" s="619"/>
      <c r="S39" s="590">
        <v>8.25</v>
      </c>
      <c r="T39" s="590">
        <v>15.5</v>
      </c>
      <c r="U39" s="590">
        <v>9.1199999999999992</v>
      </c>
      <c r="V39" s="590">
        <v>7.1999999999999995E-2</v>
      </c>
    </row>
    <row r="40" spans="15:22" x14ac:dyDescent="0.25">
      <c r="O40" s="897"/>
      <c r="P40" s="894"/>
      <c r="Q40" s="545">
        <v>40395</v>
      </c>
      <c r="R40" s="619">
        <v>0.31944444444444448</v>
      </c>
      <c r="S40" s="590">
        <v>7.66</v>
      </c>
      <c r="T40" s="590">
        <v>15.8</v>
      </c>
      <c r="U40" s="590">
        <v>6.02</v>
      </c>
      <c r="V40" s="590">
        <v>6.4000000000000001E-2</v>
      </c>
    </row>
    <row r="41" spans="15:22" ht="14.5" x14ac:dyDescent="0.35">
      <c r="O41" s="898"/>
      <c r="P41" s="895"/>
      <c r="Q41" s="617">
        <v>40423</v>
      </c>
      <c r="R41" s="619">
        <v>0.28402777777777777</v>
      </c>
      <c r="S41" s="590">
        <v>7.94</v>
      </c>
      <c r="T41" s="620">
        <v>16.2</v>
      </c>
      <c r="U41" s="590">
        <v>7.67</v>
      </c>
      <c r="V41" s="590">
        <v>0.06</v>
      </c>
    </row>
    <row r="42" spans="15:22" x14ac:dyDescent="0.25">
      <c r="O42" s="896" t="s">
        <v>430</v>
      </c>
      <c r="P42" s="893" t="s">
        <v>618</v>
      </c>
      <c r="Q42" s="545">
        <v>40365</v>
      </c>
      <c r="R42" s="619"/>
      <c r="S42" s="590">
        <v>7.87</v>
      </c>
      <c r="T42" s="590">
        <v>14.3</v>
      </c>
      <c r="U42" s="590">
        <v>7.47</v>
      </c>
      <c r="V42" s="590">
        <v>7.2999999999999995E-2</v>
      </c>
    </row>
    <row r="43" spans="15:22" x14ac:dyDescent="0.25">
      <c r="O43" s="897"/>
      <c r="P43" s="894"/>
      <c r="Q43" s="545">
        <v>40395</v>
      </c>
      <c r="R43" s="619">
        <v>0.32222222222222224</v>
      </c>
      <c r="S43" s="590">
        <v>7.43</v>
      </c>
      <c r="T43" s="590">
        <v>15.2</v>
      </c>
      <c r="U43" s="590">
        <v>4.46</v>
      </c>
      <c r="V43" s="590">
        <v>6.9000000000000006E-2</v>
      </c>
    </row>
    <row r="44" spans="15:22" x14ac:dyDescent="0.25">
      <c r="O44" s="898"/>
      <c r="P44" s="895"/>
      <c r="Q44" s="545">
        <v>40423</v>
      </c>
      <c r="R44" s="619">
        <v>0.28680555555555554</v>
      </c>
      <c r="S44" s="590">
        <v>7.15</v>
      </c>
      <c r="T44" s="590">
        <v>15.1</v>
      </c>
      <c r="U44" s="590">
        <v>2.15</v>
      </c>
      <c r="V44" s="590">
        <v>6.7000000000000004E-2</v>
      </c>
    </row>
    <row r="45" spans="15:22" ht="14" x14ac:dyDescent="0.3">
      <c r="O45" s="891"/>
      <c r="P45" s="892"/>
      <c r="Q45" s="904" t="s">
        <v>452</v>
      </c>
      <c r="R45" s="904"/>
      <c r="S45" s="904"/>
      <c r="T45" s="904"/>
      <c r="U45" s="904"/>
      <c r="V45" s="904"/>
    </row>
    <row r="46" spans="15:22" x14ac:dyDescent="0.25">
      <c r="O46" s="896" t="s">
        <v>226</v>
      </c>
      <c r="P46" s="893" t="s">
        <v>616</v>
      </c>
      <c r="Q46" s="545">
        <v>40367</v>
      </c>
      <c r="R46" s="619">
        <v>0.45833333333333331</v>
      </c>
      <c r="S46" s="590">
        <v>8.16</v>
      </c>
      <c r="T46" s="590">
        <v>14.8</v>
      </c>
      <c r="U46" s="590">
        <v>9.7799999999999994</v>
      </c>
      <c r="V46" s="590">
        <v>8.1000000000000003E-2</v>
      </c>
    </row>
    <row r="47" spans="15:22" x14ac:dyDescent="0.25">
      <c r="O47" s="897"/>
      <c r="P47" s="894"/>
      <c r="Q47" s="545">
        <v>40395</v>
      </c>
      <c r="R47" s="619">
        <v>0.45069444444444445</v>
      </c>
      <c r="S47" s="590">
        <v>7.57</v>
      </c>
      <c r="T47" s="590">
        <v>15.9</v>
      </c>
      <c r="U47" s="590">
        <v>7.75</v>
      </c>
      <c r="V47" s="590">
        <v>6.9000000000000006E-2</v>
      </c>
    </row>
    <row r="48" spans="15:22" x14ac:dyDescent="0.25">
      <c r="O48" s="898"/>
      <c r="P48" s="895"/>
      <c r="Q48" s="545">
        <v>40423</v>
      </c>
      <c r="R48" s="619">
        <v>0.45347222222222222</v>
      </c>
      <c r="S48" s="590">
        <v>7.63</v>
      </c>
      <c r="T48" s="590">
        <v>15.7</v>
      </c>
      <c r="U48" s="590">
        <v>9.49</v>
      </c>
      <c r="V48" s="590">
        <v>6.8000000000000005E-2</v>
      </c>
    </row>
    <row r="49" spans="15:22" x14ac:dyDescent="0.25">
      <c r="O49" s="896" t="s">
        <v>431</v>
      </c>
      <c r="P49" s="893" t="s">
        <v>454</v>
      </c>
      <c r="Q49" s="545">
        <v>40367</v>
      </c>
      <c r="R49" s="619"/>
      <c r="S49" s="590">
        <v>8.1300000000000008</v>
      </c>
      <c r="T49" s="590">
        <v>15.2</v>
      </c>
      <c r="U49" s="590">
        <v>9.69</v>
      </c>
      <c r="V49" s="590">
        <v>9.0999999999999998E-2</v>
      </c>
    </row>
    <row r="50" spans="15:22" x14ac:dyDescent="0.25">
      <c r="O50" s="897"/>
      <c r="P50" s="894"/>
      <c r="Q50" s="545">
        <v>40395</v>
      </c>
      <c r="R50" s="619">
        <v>0.48472222222222222</v>
      </c>
      <c r="S50" s="590">
        <v>7.87</v>
      </c>
      <c r="T50" s="590">
        <v>16.899999999999999</v>
      </c>
      <c r="U50" s="590">
        <v>7.86</v>
      </c>
      <c r="V50" s="590">
        <v>7.9000000000000001E-2</v>
      </c>
    </row>
    <row r="51" spans="15:22" x14ac:dyDescent="0.25">
      <c r="O51" s="898"/>
      <c r="P51" s="895"/>
      <c r="Q51" s="545">
        <v>40423</v>
      </c>
      <c r="R51" s="619">
        <v>0.46527777777777773</v>
      </c>
      <c r="S51" s="590">
        <v>8.08</v>
      </c>
      <c r="T51" s="590">
        <v>16.100000000000001</v>
      </c>
      <c r="U51" s="590">
        <v>8.66</v>
      </c>
      <c r="V51" s="590">
        <v>8.6999999999999994E-2</v>
      </c>
    </row>
    <row r="52" spans="15:22" x14ac:dyDescent="0.25">
      <c r="O52" s="896" t="s">
        <v>432</v>
      </c>
      <c r="P52" s="893" t="s">
        <v>455</v>
      </c>
      <c r="Q52" s="618">
        <v>40367</v>
      </c>
      <c r="R52" s="621" t="s">
        <v>655</v>
      </c>
      <c r="S52" s="590">
        <v>8.17</v>
      </c>
      <c r="T52" s="590">
        <v>15.3</v>
      </c>
      <c r="U52" s="590">
        <v>9.5399999999999991</v>
      </c>
      <c r="V52" s="590">
        <v>0.121</v>
      </c>
    </row>
    <row r="53" spans="15:22" x14ac:dyDescent="0.25">
      <c r="O53" s="897"/>
      <c r="P53" s="894"/>
      <c r="Q53" s="618">
        <v>40395</v>
      </c>
      <c r="R53" s="619">
        <v>0.50277777777777777</v>
      </c>
      <c r="S53" s="590">
        <v>7.93</v>
      </c>
      <c r="T53" s="590">
        <v>17.7</v>
      </c>
      <c r="U53" s="590">
        <v>7.73</v>
      </c>
      <c r="V53" s="590">
        <v>9.5000000000000001E-2</v>
      </c>
    </row>
    <row r="54" spans="15:22" x14ac:dyDescent="0.25">
      <c r="O54" s="898"/>
      <c r="P54" s="895"/>
      <c r="Q54" s="545">
        <v>40423</v>
      </c>
      <c r="R54" s="619">
        <v>0.4777777777777778</v>
      </c>
      <c r="S54" s="590">
        <v>8.36</v>
      </c>
      <c r="T54" s="590">
        <v>14.8</v>
      </c>
      <c r="U54" s="590">
        <v>9.2799999999999994</v>
      </c>
      <c r="V54" s="590">
        <v>0.11700000000000001</v>
      </c>
    </row>
    <row r="55" spans="15:22" x14ac:dyDescent="0.25">
      <c r="O55" s="896" t="s">
        <v>433</v>
      </c>
      <c r="P55" s="893" t="s">
        <v>456</v>
      </c>
      <c r="Q55" s="545">
        <v>40367</v>
      </c>
      <c r="R55" s="619">
        <v>0.51527777777777783</v>
      </c>
      <c r="S55" s="590">
        <v>8.39</v>
      </c>
      <c r="T55" s="590">
        <v>15.2</v>
      </c>
      <c r="U55" s="590">
        <v>9.7899999999999991</v>
      </c>
      <c r="V55" s="590">
        <v>0.14599999999999999</v>
      </c>
    </row>
    <row r="56" spans="15:22" x14ac:dyDescent="0.25">
      <c r="O56" s="897"/>
      <c r="P56" s="894"/>
      <c r="Q56" s="545">
        <v>40395</v>
      </c>
      <c r="R56" s="619">
        <v>0.51874999999999993</v>
      </c>
      <c r="S56" s="590">
        <v>8.02</v>
      </c>
      <c r="T56" s="590">
        <v>18.100000000000001</v>
      </c>
      <c r="U56" s="590">
        <v>7.48</v>
      </c>
      <c r="V56" s="590">
        <v>0.109</v>
      </c>
    </row>
    <row r="57" spans="15:22" x14ac:dyDescent="0.25">
      <c r="O57" s="898"/>
      <c r="P57" s="895"/>
      <c r="Q57" s="545">
        <v>40423</v>
      </c>
      <c r="R57" s="619">
        <v>0.49305555555555558</v>
      </c>
      <c r="S57" s="590">
        <v>8.44</v>
      </c>
      <c r="T57" s="590">
        <v>14</v>
      </c>
      <c r="U57" s="590">
        <v>9.34</v>
      </c>
      <c r="V57" s="590">
        <v>0.14399999999999999</v>
      </c>
    </row>
    <row r="58" spans="15:22" x14ac:dyDescent="0.25">
      <c r="O58" s="896" t="s">
        <v>434</v>
      </c>
      <c r="P58" s="893" t="s">
        <v>457</v>
      </c>
      <c r="Q58" s="545">
        <v>40367</v>
      </c>
      <c r="R58" s="619">
        <v>0.54027777777777775</v>
      </c>
      <c r="S58" s="590">
        <v>8.35</v>
      </c>
      <c r="T58" s="590">
        <v>15.2</v>
      </c>
      <c r="U58" s="590">
        <v>9.73</v>
      </c>
      <c r="V58" s="590">
        <v>0.153</v>
      </c>
    </row>
    <row r="59" spans="15:22" x14ac:dyDescent="0.25">
      <c r="O59" s="897"/>
      <c r="P59" s="894"/>
      <c r="Q59" s="545">
        <v>40395</v>
      </c>
      <c r="R59" s="619">
        <v>0.53749999999999998</v>
      </c>
      <c r="S59" s="590">
        <v>8.0399999999999991</v>
      </c>
      <c r="T59" s="590">
        <v>18.600000000000001</v>
      </c>
      <c r="U59" s="590">
        <v>7.51</v>
      </c>
      <c r="V59" s="590">
        <v>0.11</v>
      </c>
    </row>
    <row r="60" spans="15:22" x14ac:dyDescent="0.25">
      <c r="O60" s="898"/>
      <c r="P60" s="895"/>
      <c r="Q60" s="545">
        <v>40423</v>
      </c>
      <c r="R60" s="619">
        <v>0.50902777777777775</v>
      </c>
      <c r="S60" s="590">
        <v>8.4700000000000006</v>
      </c>
      <c r="T60" s="590">
        <v>13.7</v>
      </c>
      <c r="U60" s="590">
        <v>9.6300000000000008</v>
      </c>
      <c r="V60" s="590">
        <v>0.14499999999999999</v>
      </c>
    </row>
    <row r="61" spans="15:22" x14ac:dyDescent="0.25">
      <c r="O61" s="896" t="s">
        <v>435</v>
      </c>
      <c r="P61" s="893" t="s">
        <v>617</v>
      </c>
      <c r="Q61" s="545">
        <v>40367</v>
      </c>
      <c r="R61" s="619">
        <v>0.56597222222222221</v>
      </c>
      <c r="S61" s="590">
        <v>8.2799999999999994</v>
      </c>
      <c r="T61" s="590">
        <v>15.2</v>
      </c>
      <c r="U61" s="590">
        <v>9.84</v>
      </c>
      <c r="V61" s="590">
        <v>0.14499999999999999</v>
      </c>
    </row>
    <row r="62" spans="15:22" x14ac:dyDescent="0.25">
      <c r="O62" s="897"/>
      <c r="P62" s="894"/>
      <c r="Q62" s="545">
        <v>40395</v>
      </c>
      <c r="R62" s="619">
        <v>0.55277777777777781</v>
      </c>
      <c r="S62" s="590">
        <v>8.16</v>
      </c>
      <c r="T62" s="590">
        <v>18.600000000000001</v>
      </c>
      <c r="U62" s="590">
        <v>7.72</v>
      </c>
      <c r="V62" s="590">
        <v>0.11</v>
      </c>
    </row>
    <row r="63" spans="15:22" x14ac:dyDescent="0.25">
      <c r="O63" s="898"/>
      <c r="P63" s="895"/>
      <c r="Q63" s="545">
        <v>40423</v>
      </c>
      <c r="R63" s="619">
        <v>0.52500000000000002</v>
      </c>
      <c r="S63" s="590">
        <v>8.2899999999999991</v>
      </c>
      <c r="T63" s="590">
        <v>13.1</v>
      </c>
      <c r="U63" s="590">
        <v>9.7100000000000009</v>
      </c>
      <c r="V63" s="590">
        <v>0.14199999999999999</v>
      </c>
    </row>
    <row r="64" spans="15:22" ht="14" x14ac:dyDescent="0.3">
      <c r="O64" s="891"/>
      <c r="P64" s="892"/>
      <c r="Q64" s="902" t="s">
        <v>459</v>
      </c>
      <c r="R64" s="902"/>
      <c r="S64" s="902"/>
      <c r="T64" s="902"/>
      <c r="U64" s="902"/>
      <c r="V64" s="902"/>
    </row>
    <row r="65" spans="15:22" x14ac:dyDescent="0.25">
      <c r="O65" s="896" t="s">
        <v>438</v>
      </c>
      <c r="P65" s="893" t="s">
        <v>460</v>
      </c>
      <c r="Q65" s="545">
        <v>40367</v>
      </c>
      <c r="R65" s="619">
        <v>0.41319444444444442</v>
      </c>
      <c r="S65" s="590">
        <v>7.91</v>
      </c>
      <c r="T65" s="590">
        <v>9.1</v>
      </c>
      <c r="U65" s="590">
        <v>11.1</v>
      </c>
      <c r="V65" s="590">
        <v>6.3E-2</v>
      </c>
    </row>
    <row r="66" spans="15:22" x14ac:dyDescent="0.25">
      <c r="O66" s="897"/>
      <c r="P66" s="894"/>
      <c r="Q66" s="545">
        <v>40395</v>
      </c>
      <c r="R66" s="619">
        <v>0.41736111111111113</v>
      </c>
      <c r="S66" s="590">
        <v>7.68</v>
      </c>
      <c r="T66" s="590">
        <v>11.1</v>
      </c>
      <c r="U66" s="590">
        <v>8.52</v>
      </c>
      <c r="V66" s="590">
        <v>7.1999999999999995E-2</v>
      </c>
    </row>
    <row r="67" spans="15:22" x14ac:dyDescent="0.25">
      <c r="O67" s="898"/>
      <c r="P67" s="895"/>
      <c r="Q67" s="545">
        <v>40423</v>
      </c>
      <c r="R67" s="619">
        <v>0.42222222222222222</v>
      </c>
      <c r="S67" s="590">
        <v>7.82</v>
      </c>
      <c r="T67" s="590">
        <v>8.9</v>
      </c>
      <c r="U67" s="590">
        <v>10.33</v>
      </c>
      <c r="V67" s="590">
        <v>6.5000000000000002E-2</v>
      </c>
    </row>
    <row r="68" spans="15:22" ht="14" x14ac:dyDescent="0.3">
      <c r="O68" s="891"/>
      <c r="P68" s="892"/>
      <c r="Q68" s="902" t="s">
        <v>461</v>
      </c>
      <c r="R68" s="902"/>
      <c r="S68" s="902"/>
      <c r="T68" s="902"/>
      <c r="U68" s="902"/>
      <c r="V68" s="902"/>
    </row>
    <row r="69" spans="15:22" x14ac:dyDescent="0.25">
      <c r="O69" s="896" t="s">
        <v>439</v>
      </c>
      <c r="P69" s="893" t="s">
        <v>463</v>
      </c>
      <c r="Q69" s="545">
        <v>40367</v>
      </c>
      <c r="R69" s="619">
        <v>0.71805555555555556</v>
      </c>
      <c r="S69" s="590">
        <v>8.17</v>
      </c>
      <c r="T69" s="590">
        <v>9.1</v>
      </c>
      <c r="U69" s="590">
        <v>10.06</v>
      </c>
      <c r="V69" s="590">
        <v>7.8E-2</v>
      </c>
    </row>
    <row r="70" spans="15:22" x14ac:dyDescent="0.25">
      <c r="O70" s="897"/>
      <c r="P70" s="894"/>
      <c r="Q70" s="545">
        <v>40395</v>
      </c>
      <c r="R70" s="619">
        <v>0.64374999999999993</v>
      </c>
      <c r="S70" s="590">
        <v>7.94</v>
      </c>
      <c r="T70" s="590">
        <v>13.4</v>
      </c>
      <c r="U70" s="590">
        <v>7.71</v>
      </c>
      <c r="V70" s="590">
        <v>8.6999999999999994E-2</v>
      </c>
    </row>
    <row r="71" spans="15:22" x14ac:dyDescent="0.25">
      <c r="O71" s="898"/>
      <c r="P71" s="895"/>
      <c r="Q71" s="545">
        <v>40422</v>
      </c>
      <c r="R71" s="619">
        <v>0.72569444444444453</v>
      </c>
      <c r="S71" s="590">
        <v>7.68</v>
      </c>
      <c r="T71" s="590">
        <v>13.5</v>
      </c>
      <c r="U71" s="590">
        <v>8.56</v>
      </c>
      <c r="V71" s="590">
        <v>8.4000000000000005E-2</v>
      </c>
    </row>
    <row r="72" spans="15:22" x14ac:dyDescent="0.25">
      <c r="O72" s="896" t="s">
        <v>440</v>
      </c>
      <c r="P72" s="893" t="s">
        <v>462</v>
      </c>
      <c r="Q72" s="545">
        <v>40367</v>
      </c>
      <c r="R72" s="619">
        <v>0.59791666666666665</v>
      </c>
      <c r="S72" s="590">
        <v>8.26</v>
      </c>
      <c r="T72" s="590">
        <v>12.1</v>
      </c>
      <c r="U72" s="590">
        <v>10.08</v>
      </c>
      <c r="V72" s="590">
        <v>0.128</v>
      </c>
    </row>
    <row r="73" spans="15:22" x14ac:dyDescent="0.25">
      <c r="O73" s="897"/>
      <c r="P73" s="894"/>
      <c r="Q73" s="545">
        <v>40395</v>
      </c>
      <c r="R73" s="619">
        <v>0.62847222222222221</v>
      </c>
      <c r="S73" s="590">
        <v>8.0299999999999994</v>
      </c>
      <c r="T73" s="590">
        <v>17</v>
      </c>
      <c r="U73" s="590">
        <v>7.33</v>
      </c>
      <c r="V73" s="590">
        <v>0.15</v>
      </c>
    </row>
    <row r="74" spans="15:22" x14ac:dyDescent="0.25">
      <c r="O74" s="898"/>
      <c r="P74" s="895"/>
      <c r="Q74" s="545">
        <v>40422</v>
      </c>
      <c r="R74" s="619">
        <v>0.70624999999999993</v>
      </c>
      <c r="S74" s="590">
        <v>8.0299999999999994</v>
      </c>
      <c r="T74" s="590">
        <v>17.100000000000001</v>
      </c>
      <c r="U74" s="590">
        <v>8.01</v>
      </c>
      <c r="V74" s="590">
        <v>0.19</v>
      </c>
    </row>
    <row r="75" spans="15:22" ht="14" x14ac:dyDescent="0.3">
      <c r="O75" s="891"/>
      <c r="P75" s="892"/>
      <c r="Q75" s="902" t="s">
        <v>466</v>
      </c>
      <c r="R75" s="902"/>
      <c r="S75" s="902"/>
      <c r="T75" s="902"/>
      <c r="U75" s="902"/>
      <c r="V75" s="902"/>
    </row>
    <row r="76" spans="15:22" ht="22.5" customHeight="1" x14ac:dyDescent="0.25">
      <c r="O76" s="896" t="s">
        <v>436</v>
      </c>
      <c r="P76" s="893" t="s">
        <v>467</v>
      </c>
      <c r="Q76" s="598">
        <v>40367</v>
      </c>
      <c r="R76" s="619">
        <v>0.57430555555555551</v>
      </c>
      <c r="S76" s="590">
        <v>8.02</v>
      </c>
      <c r="T76" s="590">
        <v>12.9</v>
      </c>
      <c r="U76" s="590">
        <v>8.86</v>
      </c>
      <c r="V76" s="590">
        <v>0.75</v>
      </c>
    </row>
    <row r="77" spans="15:22" x14ac:dyDescent="0.25">
      <c r="O77" s="897"/>
      <c r="P77" s="894"/>
      <c r="Q77" s="598">
        <v>40395</v>
      </c>
      <c r="R77" s="619">
        <v>0.59791666666666665</v>
      </c>
      <c r="S77" s="590">
        <v>7.69</v>
      </c>
      <c r="T77" s="590">
        <v>16.8</v>
      </c>
      <c r="U77" s="590">
        <v>6.24</v>
      </c>
      <c r="V77" s="590">
        <v>0.99</v>
      </c>
    </row>
    <row r="78" spans="15:22" x14ac:dyDescent="0.25">
      <c r="O78" s="898"/>
      <c r="P78" s="895"/>
      <c r="Q78" s="598">
        <v>40423</v>
      </c>
      <c r="R78" s="619">
        <v>0.54999999999999993</v>
      </c>
      <c r="S78" s="590">
        <v>7.78</v>
      </c>
      <c r="T78" s="590">
        <v>11.5</v>
      </c>
      <c r="U78" s="590">
        <v>6.84</v>
      </c>
      <c r="V78" s="590">
        <v>1.03</v>
      </c>
    </row>
    <row r="79" spans="15:22" ht="14" x14ac:dyDescent="0.3">
      <c r="O79" s="891"/>
      <c r="P79" s="892"/>
      <c r="Q79" s="902" t="s">
        <v>468</v>
      </c>
      <c r="R79" s="902"/>
      <c r="S79" s="902"/>
      <c r="T79" s="902"/>
      <c r="U79" s="902"/>
      <c r="V79" s="902"/>
    </row>
    <row r="80" spans="15:22" x14ac:dyDescent="0.25">
      <c r="O80" s="896" t="s">
        <v>437</v>
      </c>
      <c r="P80" s="893" t="s">
        <v>469</v>
      </c>
      <c r="Q80" s="598">
        <v>40367</v>
      </c>
      <c r="R80" s="619">
        <v>0.58194444444444449</v>
      </c>
      <c r="S80" s="590">
        <v>8.1300000000000008</v>
      </c>
      <c r="T80" s="590">
        <v>12.9</v>
      </c>
      <c r="U80" s="590">
        <v>9.26</v>
      </c>
      <c r="V80" s="590">
        <v>0.25700000000000001</v>
      </c>
    </row>
    <row r="81" spans="15:22" x14ac:dyDescent="0.25">
      <c r="O81" s="897"/>
      <c r="P81" s="894"/>
      <c r="Q81" s="598">
        <v>40395</v>
      </c>
      <c r="R81" s="619">
        <v>0.60486111111111118</v>
      </c>
      <c r="S81" s="590">
        <v>8.0299999999999994</v>
      </c>
      <c r="T81" s="590">
        <v>18.7</v>
      </c>
      <c r="U81" s="590">
        <v>6.41</v>
      </c>
      <c r="V81" s="590">
        <v>0.42399999999999999</v>
      </c>
    </row>
    <row r="82" spans="15:22" x14ac:dyDescent="0.25">
      <c r="O82" s="898"/>
      <c r="P82" s="895"/>
      <c r="Q82" s="598">
        <v>40423</v>
      </c>
      <c r="R82" s="619">
        <v>0.55347222222222225</v>
      </c>
      <c r="S82" s="590">
        <v>8.1</v>
      </c>
      <c r="T82" s="590">
        <v>12.6</v>
      </c>
      <c r="U82" s="590">
        <v>8.61</v>
      </c>
      <c r="V82" s="590">
        <v>0.55300000000000005</v>
      </c>
    </row>
    <row r="83" spans="15:22" ht="14" x14ac:dyDescent="0.3">
      <c r="O83" s="900"/>
      <c r="P83" s="901"/>
      <c r="Q83" s="902" t="s">
        <v>470</v>
      </c>
      <c r="R83" s="902"/>
      <c r="S83" s="902"/>
      <c r="T83" s="902"/>
      <c r="U83" s="902"/>
      <c r="V83" s="902"/>
    </row>
    <row r="84" spans="15:22" ht="22.5" customHeight="1" x14ac:dyDescent="0.25">
      <c r="O84" s="899" t="s">
        <v>427</v>
      </c>
      <c r="P84" s="903" t="s">
        <v>477</v>
      </c>
      <c r="Q84" s="598">
        <v>40367</v>
      </c>
      <c r="R84" s="619">
        <v>0.61527777777777781</v>
      </c>
      <c r="S84" s="590">
        <v>8.0399999999999991</v>
      </c>
      <c r="T84" s="590">
        <v>7.9</v>
      </c>
      <c r="U84" s="590">
        <v>7.64</v>
      </c>
      <c r="V84" s="590">
        <v>0.02</v>
      </c>
    </row>
    <row r="85" spans="15:22" x14ac:dyDescent="0.25">
      <c r="O85" s="899"/>
      <c r="P85" s="903"/>
      <c r="Q85" s="598">
        <v>40395</v>
      </c>
      <c r="R85" s="619">
        <v>0.45416666666666666</v>
      </c>
      <c r="S85" s="590">
        <v>7.54</v>
      </c>
      <c r="T85" s="590">
        <v>9.4</v>
      </c>
      <c r="U85" s="590">
        <v>7.54</v>
      </c>
      <c r="V85" s="590">
        <v>0.02</v>
      </c>
    </row>
    <row r="86" spans="15:22" x14ac:dyDescent="0.25">
      <c r="O86" s="899"/>
      <c r="P86" s="903"/>
      <c r="Q86" s="598">
        <v>40422</v>
      </c>
      <c r="R86" s="619">
        <v>0.45694444444444443</v>
      </c>
      <c r="S86" s="590">
        <v>7.77</v>
      </c>
      <c r="T86" s="590">
        <v>6.6</v>
      </c>
      <c r="U86" s="590">
        <v>8.59</v>
      </c>
      <c r="V86" s="590">
        <v>2.1000000000000001E-2</v>
      </c>
    </row>
    <row r="87" spans="15:22" ht="22.5" customHeight="1" x14ac:dyDescent="0.25">
      <c r="O87" s="899" t="s">
        <v>425</v>
      </c>
      <c r="P87" s="903" t="s">
        <v>471</v>
      </c>
      <c r="Q87" s="598">
        <v>40367</v>
      </c>
      <c r="R87" s="619">
        <v>0.59791666666666665</v>
      </c>
      <c r="S87" s="590">
        <v>8.43</v>
      </c>
      <c r="T87" s="590">
        <v>7.9</v>
      </c>
      <c r="U87" s="590">
        <v>7.46</v>
      </c>
      <c r="V87" s="590">
        <v>0.02</v>
      </c>
    </row>
    <row r="88" spans="15:22" x14ac:dyDescent="0.25">
      <c r="O88" s="899"/>
      <c r="P88" s="903"/>
      <c r="Q88" s="598">
        <v>40395</v>
      </c>
      <c r="R88" s="619">
        <v>0.43958333333333338</v>
      </c>
      <c r="S88" s="590">
        <v>8.19</v>
      </c>
      <c r="T88" s="590">
        <v>10.1</v>
      </c>
      <c r="U88" s="590">
        <v>6.99</v>
      </c>
      <c r="V88" s="590">
        <v>0.02</v>
      </c>
    </row>
    <row r="89" spans="15:22" x14ac:dyDescent="0.25">
      <c r="O89" s="899"/>
      <c r="P89" s="903"/>
      <c r="Q89" s="598">
        <v>40422</v>
      </c>
      <c r="R89" s="619">
        <v>0.44513888888888892</v>
      </c>
      <c r="S89" s="590">
        <v>7.6</v>
      </c>
      <c r="T89" s="590">
        <v>8.1999999999999993</v>
      </c>
      <c r="U89" s="590">
        <v>8.2899999999999991</v>
      </c>
      <c r="V89" s="590">
        <v>2.1000000000000001E-2</v>
      </c>
    </row>
    <row r="90" spans="15:22" x14ac:dyDescent="0.25">
      <c r="O90" s="899" t="s">
        <v>472</v>
      </c>
      <c r="P90" s="903" t="s">
        <v>473</v>
      </c>
      <c r="Q90" s="598">
        <v>40367</v>
      </c>
      <c r="R90" s="619">
        <v>0.56111111111111112</v>
      </c>
      <c r="S90" s="590">
        <v>6.1</v>
      </c>
      <c r="T90" s="590">
        <v>10.38</v>
      </c>
      <c r="U90" s="590">
        <v>8.7200000000000006</v>
      </c>
      <c r="V90" s="590">
        <v>3.6999999999999998E-2</v>
      </c>
    </row>
    <row r="91" spans="15:22" x14ac:dyDescent="0.25">
      <c r="O91" s="899"/>
      <c r="P91" s="903"/>
      <c r="Q91" s="598">
        <v>40422</v>
      </c>
      <c r="R91" s="619">
        <v>0.54999999999999993</v>
      </c>
      <c r="S91" s="590">
        <v>7.62</v>
      </c>
      <c r="T91" s="590">
        <v>9</v>
      </c>
      <c r="U91" s="590">
        <v>9.5500000000000007</v>
      </c>
      <c r="V91" s="590">
        <v>3.7999999999999999E-2</v>
      </c>
    </row>
  </sheetData>
  <mergeCells count="70">
    <mergeCell ref="A21:N21"/>
    <mergeCell ref="A23:N23"/>
    <mergeCell ref="A25:N25"/>
    <mergeCell ref="A3:N3"/>
    <mergeCell ref="A6:N6"/>
    <mergeCell ref="A9:N9"/>
    <mergeCell ref="A16:N16"/>
    <mergeCell ref="A18:N18"/>
    <mergeCell ref="P32:P34"/>
    <mergeCell ref="P35:P37"/>
    <mergeCell ref="O35:O37"/>
    <mergeCell ref="O32:O34"/>
    <mergeCell ref="Q31:V31"/>
    <mergeCell ref="O31:P31"/>
    <mergeCell ref="Q38:V38"/>
    <mergeCell ref="O38:P38"/>
    <mergeCell ref="O39:O41"/>
    <mergeCell ref="O42:O44"/>
    <mergeCell ref="P39:P41"/>
    <mergeCell ref="P42:P44"/>
    <mergeCell ref="Q45:V45"/>
    <mergeCell ref="Q64:V64"/>
    <mergeCell ref="Q68:V68"/>
    <mergeCell ref="Q75:V75"/>
    <mergeCell ref="O46:O48"/>
    <mergeCell ref="O49:O51"/>
    <mergeCell ref="O52:O54"/>
    <mergeCell ref="P46:P48"/>
    <mergeCell ref="P49:P51"/>
    <mergeCell ref="P52:P54"/>
    <mergeCell ref="P55:P57"/>
    <mergeCell ref="P58:P60"/>
    <mergeCell ref="O55:O57"/>
    <mergeCell ref="O58:O60"/>
    <mergeCell ref="P61:P63"/>
    <mergeCell ref="O61:O63"/>
    <mergeCell ref="Q79:V79"/>
    <mergeCell ref="Q83:V83"/>
    <mergeCell ref="P84:P86"/>
    <mergeCell ref="P87:P89"/>
    <mergeCell ref="P90:P91"/>
    <mergeCell ref="O90:O91"/>
    <mergeCell ref="O87:O89"/>
    <mergeCell ref="O84:O86"/>
    <mergeCell ref="P76:P78"/>
    <mergeCell ref="O76:O78"/>
    <mergeCell ref="O80:O82"/>
    <mergeCell ref="P80:P82"/>
    <mergeCell ref="O83:P83"/>
    <mergeCell ref="O45:P45"/>
    <mergeCell ref="O64:P64"/>
    <mergeCell ref="O68:P68"/>
    <mergeCell ref="O75:P75"/>
    <mergeCell ref="O79:P79"/>
    <mergeCell ref="P65:P67"/>
    <mergeCell ref="O65:O67"/>
    <mergeCell ref="O69:O71"/>
    <mergeCell ref="P69:P71"/>
    <mergeCell ref="P72:P74"/>
    <mergeCell ref="O72:O74"/>
    <mergeCell ref="W1:W2"/>
    <mergeCell ref="X1:X2"/>
    <mergeCell ref="W3:X3"/>
    <mergeCell ref="W6:X6"/>
    <mergeCell ref="Y1:AA1"/>
    <mergeCell ref="W13:X13"/>
    <mergeCell ref="W15:X15"/>
    <mergeCell ref="W18:X18"/>
    <mergeCell ref="W20:X20"/>
    <mergeCell ref="W22:X22"/>
  </mergeCells>
  <pageMargins left="0.7" right="0.7" top="0.75" bottom="0.75" header="0.3" footer="0.3"/>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V50"/>
  <sheetViews>
    <sheetView workbookViewId="0">
      <selection activeCell="C26" sqref="C26:Q26"/>
    </sheetView>
  </sheetViews>
  <sheetFormatPr defaultColWidth="17.54296875" defaultRowHeight="12.5" x14ac:dyDescent="0.25"/>
  <cols>
    <col min="1" max="1" width="15.54296875" customWidth="1"/>
    <col min="2" max="2" width="26.6328125" bestFit="1" customWidth="1"/>
    <col min="3" max="6" width="9.08984375" bestFit="1" customWidth="1"/>
    <col min="7" max="7" width="7.36328125" bestFit="1" customWidth="1"/>
    <col min="8" max="8" width="6.90625" bestFit="1" customWidth="1"/>
    <col min="9" max="9" width="7.08984375" bestFit="1" customWidth="1"/>
    <col min="10" max="10" width="7.08984375" customWidth="1"/>
    <col min="11" max="14" width="7.08984375" bestFit="1" customWidth="1"/>
    <col min="15" max="15" width="6.54296875" bestFit="1" customWidth="1"/>
    <col min="16" max="16" width="7" bestFit="1" customWidth="1"/>
    <col min="17" max="17" width="8.08984375" bestFit="1" customWidth="1"/>
    <col min="18" max="18" width="10.08984375" bestFit="1" customWidth="1"/>
    <col min="20" max="20" width="10" bestFit="1" customWidth="1"/>
    <col min="21" max="21" width="24.453125" bestFit="1" customWidth="1"/>
    <col min="22" max="22" width="4" bestFit="1" customWidth="1"/>
  </cols>
  <sheetData>
    <row r="1" spans="1:22" ht="13" x14ac:dyDescent="0.3">
      <c r="A1" s="1" t="s">
        <v>220</v>
      </c>
    </row>
    <row r="2" spans="1:22" ht="13" x14ac:dyDescent="0.3">
      <c r="A2" s="210" t="s">
        <v>23</v>
      </c>
      <c r="B2" s="210" t="s">
        <v>219</v>
      </c>
      <c r="C2" s="534">
        <v>40203</v>
      </c>
      <c r="D2" s="534">
        <v>40231</v>
      </c>
      <c r="E2" s="534">
        <v>40266</v>
      </c>
      <c r="F2" s="534">
        <v>40294</v>
      </c>
      <c r="G2" s="534">
        <v>40322</v>
      </c>
      <c r="H2" s="534">
        <v>40358</v>
      </c>
      <c r="I2" s="535">
        <v>40372</v>
      </c>
      <c r="J2" s="535">
        <v>40385</v>
      </c>
      <c r="K2" s="535">
        <v>40399</v>
      </c>
      <c r="L2" s="534">
        <v>40413</v>
      </c>
      <c r="M2" s="534">
        <v>40428</v>
      </c>
      <c r="N2" s="536">
        <v>40448</v>
      </c>
      <c r="O2" s="536">
        <v>40477</v>
      </c>
      <c r="P2" s="536">
        <v>40497</v>
      </c>
      <c r="Q2" s="535">
        <v>40514</v>
      </c>
      <c r="R2" s="293" t="s">
        <v>29</v>
      </c>
      <c r="S2" s="272"/>
      <c r="T2" s="189" t="s">
        <v>721</v>
      </c>
      <c r="U2" s="189"/>
      <c r="V2" s="657"/>
    </row>
    <row r="3" spans="1:22" x14ac:dyDescent="0.25">
      <c r="A3" s="909" t="s">
        <v>276</v>
      </c>
      <c r="B3" s="84" t="s">
        <v>222</v>
      </c>
      <c r="C3" s="413">
        <v>1453</v>
      </c>
      <c r="D3" s="85">
        <v>1467</v>
      </c>
      <c r="E3" s="85">
        <v>1084</v>
      </c>
      <c r="F3" s="85">
        <v>554</v>
      </c>
      <c r="G3" s="85">
        <v>555</v>
      </c>
      <c r="H3" s="286">
        <v>303</v>
      </c>
      <c r="I3" s="192">
        <v>599</v>
      </c>
      <c r="J3" s="192">
        <v>484</v>
      </c>
      <c r="K3" s="287">
        <v>435</v>
      </c>
      <c r="L3" s="286">
        <v>499</v>
      </c>
      <c r="M3" s="286">
        <v>1030</v>
      </c>
      <c r="N3" s="288">
        <v>1176</v>
      </c>
      <c r="O3" s="84">
        <v>488</v>
      </c>
      <c r="P3" s="288">
        <v>1486</v>
      </c>
      <c r="Q3" s="301">
        <v>7833</v>
      </c>
      <c r="R3" s="642">
        <f>AVERAGE(C3:Q3)</f>
        <v>1296.4000000000001</v>
      </c>
      <c r="S3" s="272"/>
      <c r="T3" s="84" t="s">
        <v>747</v>
      </c>
      <c r="U3" s="189" t="s">
        <v>423</v>
      </c>
      <c r="V3" s="658">
        <v>146</v>
      </c>
    </row>
    <row r="4" spans="1:22" x14ac:dyDescent="0.25">
      <c r="A4" s="910"/>
      <c r="B4" s="189" t="s">
        <v>216</v>
      </c>
      <c r="C4" s="192">
        <v>45</v>
      </c>
      <c r="D4" s="85">
        <v>41</v>
      </c>
      <c r="E4" s="85">
        <v>32</v>
      </c>
      <c r="F4" s="85">
        <v>39</v>
      </c>
      <c r="G4" s="85">
        <v>62</v>
      </c>
      <c r="H4" s="286">
        <v>38</v>
      </c>
      <c r="I4" s="192">
        <v>31</v>
      </c>
      <c r="J4" s="192">
        <v>44</v>
      </c>
      <c r="K4" s="287">
        <v>31</v>
      </c>
      <c r="L4" s="286">
        <v>24</v>
      </c>
      <c r="M4" s="286">
        <v>40</v>
      </c>
      <c r="N4" s="288">
        <v>43</v>
      </c>
      <c r="O4" s="84">
        <v>70</v>
      </c>
      <c r="P4" s="288">
        <v>46</v>
      </c>
      <c r="Q4" s="301">
        <v>102</v>
      </c>
      <c r="R4" s="642">
        <f t="shared" ref="R4:R26" si="0">AVERAGE(C4:Q4)</f>
        <v>45.866666666666667</v>
      </c>
      <c r="S4" s="272"/>
      <c r="T4" s="84" t="s">
        <v>747</v>
      </c>
      <c r="U4" s="190" t="s">
        <v>217</v>
      </c>
      <c r="V4" s="659">
        <v>5</v>
      </c>
    </row>
    <row r="5" spans="1:22" x14ac:dyDescent="0.25">
      <c r="A5" s="910"/>
      <c r="B5" s="190" t="s">
        <v>217</v>
      </c>
      <c r="C5" s="193">
        <v>41</v>
      </c>
      <c r="D5" s="85">
        <v>29</v>
      </c>
      <c r="E5" s="85">
        <v>9</v>
      </c>
      <c r="F5" s="85">
        <v>11</v>
      </c>
      <c r="G5" s="85">
        <v>6</v>
      </c>
      <c r="H5" s="286">
        <v>11</v>
      </c>
      <c r="I5" s="192">
        <v>24</v>
      </c>
      <c r="J5" s="192">
        <v>26</v>
      </c>
      <c r="K5" s="287">
        <v>13</v>
      </c>
      <c r="L5" s="289">
        <v>18</v>
      </c>
      <c r="M5" s="286">
        <v>31</v>
      </c>
      <c r="N5" s="288">
        <v>37</v>
      </c>
      <c r="O5" s="84">
        <v>15</v>
      </c>
      <c r="P5" s="288">
        <v>36</v>
      </c>
      <c r="Q5" s="301">
        <v>88</v>
      </c>
      <c r="R5" s="642">
        <f t="shared" si="0"/>
        <v>26.333333333333332</v>
      </c>
      <c r="S5" s="272"/>
      <c r="T5" s="84" t="s">
        <v>747</v>
      </c>
      <c r="U5" s="189" t="s">
        <v>216</v>
      </c>
      <c r="V5" s="658">
        <v>9</v>
      </c>
    </row>
    <row r="6" spans="1:22" x14ac:dyDescent="0.25">
      <c r="A6" s="911"/>
      <c r="B6" s="190" t="s">
        <v>221</v>
      </c>
      <c r="C6" s="193">
        <v>5.2</v>
      </c>
      <c r="D6" s="85"/>
      <c r="E6" s="85">
        <v>9.8000000000000007</v>
      </c>
      <c r="F6" s="85">
        <v>58.4</v>
      </c>
      <c r="G6" s="85">
        <v>39</v>
      </c>
      <c r="H6" s="286">
        <v>11.2</v>
      </c>
      <c r="I6" s="192">
        <v>9.8000000000000007</v>
      </c>
      <c r="J6" s="192">
        <v>14.2</v>
      </c>
      <c r="K6" s="290">
        <v>8.1999999999999993</v>
      </c>
      <c r="L6" s="291">
        <v>7.6</v>
      </c>
      <c r="M6" s="286">
        <v>23</v>
      </c>
      <c r="N6" s="288">
        <v>12.6</v>
      </c>
      <c r="O6" s="84">
        <v>39.299999999999997</v>
      </c>
      <c r="P6" s="288">
        <v>4.5999999999999996</v>
      </c>
      <c r="Q6" s="301">
        <v>4.2</v>
      </c>
      <c r="R6" s="642">
        <f t="shared" si="0"/>
        <v>17.649999999999995</v>
      </c>
      <c r="S6" s="272"/>
      <c r="T6" s="84" t="s">
        <v>748</v>
      </c>
      <c r="U6" s="189" t="s">
        <v>423</v>
      </c>
      <c r="V6" s="658">
        <v>143</v>
      </c>
    </row>
    <row r="7" spans="1:22" x14ac:dyDescent="0.25">
      <c r="A7" s="912" t="s">
        <v>277</v>
      </c>
      <c r="B7" s="372" t="s">
        <v>222</v>
      </c>
      <c r="C7" s="373">
        <v>695</v>
      </c>
      <c r="D7" s="374">
        <v>789</v>
      </c>
      <c r="E7" s="374">
        <v>784</v>
      </c>
      <c r="F7" s="374">
        <v>465</v>
      </c>
      <c r="G7" s="374">
        <v>466</v>
      </c>
      <c r="H7" s="375">
        <v>339</v>
      </c>
      <c r="I7" s="373">
        <v>457</v>
      </c>
      <c r="J7" s="373">
        <v>308</v>
      </c>
      <c r="K7" s="376">
        <v>215</v>
      </c>
      <c r="L7" s="375">
        <v>507</v>
      </c>
      <c r="M7" s="375">
        <v>906</v>
      </c>
      <c r="N7" s="377">
        <v>1208</v>
      </c>
      <c r="O7" s="372">
        <v>167</v>
      </c>
      <c r="P7" s="377">
        <v>483</v>
      </c>
      <c r="Q7" s="378">
        <v>752</v>
      </c>
      <c r="R7" s="650">
        <f t="shared" si="0"/>
        <v>569.4</v>
      </c>
      <c r="S7" s="272"/>
      <c r="T7" s="84" t="s">
        <v>748</v>
      </c>
      <c r="U7" s="190" t="s">
        <v>217</v>
      </c>
      <c r="V7" s="659">
        <v>5</v>
      </c>
    </row>
    <row r="8" spans="1:22" x14ac:dyDescent="0.25">
      <c r="A8" s="913"/>
      <c r="B8" s="379" t="s">
        <v>216</v>
      </c>
      <c r="C8" s="373">
        <v>11</v>
      </c>
      <c r="D8" s="374">
        <v>16</v>
      </c>
      <c r="E8" s="374">
        <v>46</v>
      </c>
      <c r="F8" s="374">
        <v>81</v>
      </c>
      <c r="G8" s="374">
        <v>22</v>
      </c>
      <c r="H8" s="375">
        <v>39</v>
      </c>
      <c r="I8" s="373">
        <v>17</v>
      </c>
      <c r="J8" s="373">
        <v>15</v>
      </c>
      <c r="K8" s="376">
        <v>11</v>
      </c>
      <c r="L8" s="375">
        <v>11</v>
      </c>
      <c r="M8" s="375">
        <v>7</v>
      </c>
      <c r="N8" s="377">
        <v>0</v>
      </c>
      <c r="O8" s="372">
        <v>3</v>
      </c>
      <c r="P8" s="377">
        <v>7</v>
      </c>
      <c r="Q8" s="378">
        <v>3</v>
      </c>
      <c r="R8" s="650">
        <f t="shared" si="0"/>
        <v>19.266666666666666</v>
      </c>
      <c r="S8" s="272"/>
      <c r="T8" s="84" t="s">
        <v>748</v>
      </c>
      <c r="U8" s="189" t="s">
        <v>216</v>
      </c>
      <c r="V8" s="658">
        <v>14</v>
      </c>
    </row>
    <row r="9" spans="1:22" x14ac:dyDescent="0.25">
      <c r="A9" s="913"/>
      <c r="B9" s="380" t="s">
        <v>217</v>
      </c>
      <c r="C9" s="374">
        <v>5</v>
      </c>
      <c r="D9" s="374">
        <v>2</v>
      </c>
      <c r="E9" s="374">
        <v>5</v>
      </c>
      <c r="F9" s="374">
        <v>19</v>
      </c>
      <c r="G9" s="374">
        <v>5</v>
      </c>
      <c r="H9" s="375">
        <v>10</v>
      </c>
      <c r="I9" s="373">
        <v>11</v>
      </c>
      <c r="J9" s="373">
        <v>3</v>
      </c>
      <c r="K9" s="376">
        <v>8</v>
      </c>
      <c r="L9" s="381">
        <v>4</v>
      </c>
      <c r="M9" s="375">
        <v>0</v>
      </c>
      <c r="N9" s="377">
        <v>2</v>
      </c>
      <c r="O9" s="372">
        <v>2</v>
      </c>
      <c r="P9" s="377">
        <v>3</v>
      </c>
      <c r="Q9" s="378">
        <v>2</v>
      </c>
      <c r="R9" s="650">
        <f t="shared" si="0"/>
        <v>5.4</v>
      </c>
      <c r="S9" s="272"/>
    </row>
    <row r="10" spans="1:22" x14ac:dyDescent="0.25">
      <c r="A10" s="914"/>
      <c r="B10" s="380" t="s">
        <v>221</v>
      </c>
      <c r="C10" s="374">
        <v>5.6</v>
      </c>
      <c r="D10" s="374">
        <v>17.2</v>
      </c>
      <c r="E10" s="374">
        <v>29.8</v>
      </c>
      <c r="F10" s="374">
        <v>58.6</v>
      </c>
      <c r="G10" s="374">
        <v>14.8</v>
      </c>
      <c r="H10" s="375">
        <v>10.9</v>
      </c>
      <c r="I10" s="373">
        <v>10</v>
      </c>
      <c r="J10" s="373">
        <v>9.4</v>
      </c>
      <c r="K10" s="591">
        <v>4.2</v>
      </c>
      <c r="L10" s="382">
        <v>10.8</v>
      </c>
      <c r="M10" s="375">
        <v>4.8</v>
      </c>
      <c r="N10" s="377">
        <v>18.399999999999999</v>
      </c>
      <c r="O10" s="372">
        <v>4.0999999999999996</v>
      </c>
      <c r="P10" s="377">
        <v>0</v>
      </c>
      <c r="Q10" s="383">
        <v>4</v>
      </c>
      <c r="R10" s="650">
        <f t="shared" si="0"/>
        <v>13.506666666666666</v>
      </c>
      <c r="S10" s="638"/>
    </row>
    <row r="11" spans="1:22" x14ac:dyDescent="0.25">
      <c r="A11" s="909" t="s">
        <v>278</v>
      </c>
      <c r="B11" s="191" t="s">
        <v>218</v>
      </c>
      <c r="C11" s="85">
        <v>2.1</v>
      </c>
      <c r="D11" s="85">
        <v>14</v>
      </c>
      <c r="E11" s="85">
        <v>1.8</v>
      </c>
      <c r="F11" s="85">
        <v>0.9</v>
      </c>
      <c r="G11" s="85">
        <v>2.5</v>
      </c>
      <c r="H11" s="286">
        <v>1.2</v>
      </c>
      <c r="I11" s="192">
        <v>8.3000000000000007</v>
      </c>
      <c r="J11" s="192">
        <v>16.2</v>
      </c>
      <c r="K11" s="290">
        <v>11.2</v>
      </c>
      <c r="L11" s="291">
        <v>20.2</v>
      </c>
      <c r="M11" s="286">
        <v>22.8</v>
      </c>
      <c r="N11" s="288">
        <v>12.6</v>
      </c>
      <c r="O11" s="84">
        <v>10.3</v>
      </c>
      <c r="P11" s="288">
        <v>10.5</v>
      </c>
      <c r="Q11" s="302">
        <v>24.1</v>
      </c>
      <c r="R11" s="642">
        <f t="shared" si="0"/>
        <v>10.58</v>
      </c>
      <c r="S11" s="272"/>
    </row>
    <row r="12" spans="1:22" x14ac:dyDescent="0.25">
      <c r="A12" s="910"/>
      <c r="B12" s="84" t="s">
        <v>222</v>
      </c>
      <c r="C12" s="192">
        <v>791</v>
      </c>
      <c r="D12" s="15">
        <v>1019</v>
      </c>
      <c r="E12" s="85">
        <v>593</v>
      </c>
      <c r="F12" s="85">
        <v>456</v>
      </c>
      <c r="G12" s="85">
        <v>459</v>
      </c>
      <c r="H12" s="286">
        <v>205</v>
      </c>
      <c r="I12" s="192">
        <v>224</v>
      </c>
      <c r="J12" s="192">
        <v>175</v>
      </c>
      <c r="K12" s="287">
        <v>133</v>
      </c>
      <c r="L12" s="291">
        <v>79</v>
      </c>
      <c r="M12" s="286">
        <v>2</v>
      </c>
      <c r="N12" s="288">
        <v>57</v>
      </c>
      <c r="O12" s="84">
        <v>37</v>
      </c>
      <c r="P12" s="288">
        <v>74</v>
      </c>
      <c r="Q12" s="301">
        <v>2</v>
      </c>
      <c r="R12" s="642">
        <f t="shared" si="0"/>
        <v>287.06666666666666</v>
      </c>
      <c r="S12" s="272"/>
    </row>
    <row r="13" spans="1:22" x14ac:dyDescent="0.25">
      <c r="A13" s="910"/>
      <c r="B13" s="189" t="s">
        <v>254</v>
      </c>
      <c r="C13" s="192"/>
      <c r="D13" s="15"/>
      <c r="E13" s="85"/>
      <c r="F13" s="85"/>
      <c r="G13" s="85"/>
      <c r="H13" s="286"/>
      <c r="I13" s="192"/>
      <c r="J13" s="192">
        <v>785</v>
      </c>
      <c r="K13" s="287">
        <v>618</v>
      </c>
      <c r="L13" s="291">
        <v>682</v>
      </c>
      <c r="M13" s="286">
        <v>468</v>
      </c>
      <c r="N13" s="288">
        <v>703</v>
      </c>
      <c r="O13" s="84">
        <v>504</v>
      </c>
      <c r="P13" s="288">
        <v>575</v>
      </c>
      <c r="Q13" s="302">
        <v>474</v>
      </c>
      <c r="R13" s="642">
        <f t="shared" si="0"/>
        <v>601.125</v>
      </c>
      <c r="S13" s="272"/>
    </row>
    <row r="14" spans="1:22" x14ac:dyDescent="0.25">
      <c r="A14" s="910"/>
      <c r="B14" s="189" t="s">
        <v>216</v>
      </c>
      <c r="C14" s="192">
        <v>15</v>
      </c>
      <c r="D14" s="85">
        <v>26</v>
      </c>
      <c r="E14" s="85">
        <v>16</v>
      </c>
      <c r="F14" s="85">
        <v>39</v>
      </c>
      <c r="G14" s="85">
        <v>22</v>
      </c>
      <c r="H14" s="286">
        <v>29</v>
      </c>
      <c r="I14" s="192">
        <v>12</v>
      </c>
      <c r="J14" s="192">
        <v>28</v>
      </c>
      <c r="K14" s="287">
        <v>41</v>
      </c>
      <c r="L14" s="291">
        <v>33</v>
      </c>
      <c r="M14" s="286">
        <v>46</v>
      </c>
      <c r="N14" s="288">
        <v>22</v>
      </c>
      <c r="O14" s="84">
        <v>41</v>
      </c>
      <c r="P14" s="288">
        <v>35</v>
      </c>
      <c r="Q14" s="301">
        <v>19</v>
      </c>
      <c r="R14" s="642">
        <f t="shared" si="0"/>
        <v>28.266666666666666</v>
      </c>
      <c r="S14" s="272"/>
    </row>
    <row r="15" spans="1:22" x14ac:dyDescent="0.25">
      <c r="A15" s="910"/>
      <c r="B15" s="190" t="s">
        <v>217</v>
      </c>
      <c r="C15" s="193">
        <v>16</v>
      </c>
      <c r="D15" s="85">
        <v>12</v>
      </c>
      <c r="E15" s="85">
        <v>8</v>
      </c>
      <c r="F15" s="85">
        <v>15</v>
      </c>
      <c r="G15" s="85">
        <v>5</v>
      </c>
      <c r="H15" s="286">
        <v>15</v>
      </c>
      <c r="I15" s="192">
        <v>13</v>
      </c>
      <c r="J15" s="192">
        <v>11</v>
      </c>
      <c r="K15" s="287">
        <v>9</v>
      </c>
      <c r="L15" s="289">
        <v>11</v>
      </c>
      <c r="M15" s="286">
        <v>7</v>
      </c>
      <c r="N15" s="288">
        <v>13</v>
      </c>
      <c r="O15" s="84">
        <v>16</v>
      </c>
      <c r="P15" s="288">
        <v>11</v>
      </c>
      <c r="Q15" s="301">
        <v>5</v>
      </c>
      <c r="R15" s="642">
        <f t="shared" si="0"/>
        <v>11.133333333333333</v>
      </c>
      <c r="S15" s="638"/>
    </row>
    <row r="16" spans="1:22" x14ac:dyDescent="0.25">
      <c r="A16" s="911"/>
      <c r="B16" s="190" t="s">
        <v>221</v>
      </c>
      <c r="C16" s="639"/>
      <c r="D16" s="88">
        <v>0</v>
      </c>
      <c r="E16" s="88">
        <v>5.4</v>
      </c>
      <c r="F16" s="88">
        <v>14.2</v>
      </c>
      <c r="G16" s="88">
        <v>10.8</v>
      </c>
      <c r="H16" s="14">
        <v>0</v>
      </c>
      <c r="I16" s="290">
        <v>5.0999999999999996</v>
      </c>
      <c r="J16" s="290">
        <v>4.4000000000000004</v>
      </c>
      <c r="K16" s="290">
        <v>4.5999999999999996</v>
      </c>
      <c r="L16" s="640">
        <v>8.1999999999999993</v>
      </c>
      <c r="M16" s="290">
        <v>12.4</v>
      </c>
      <c r="N16" s="302">
        <v>19</v>
      </c>
      <c r="O16" s="84">
        <v>7.8</v>
      </c>
      <c r="P16" s="302">
        <v>4</v>
      </c>
      <c r="Q16" s="302">
        <v>5.6</v>
      </c>
      <c r="R16" s="642">
        <f t="shared" si="0"/>
        <v>7.25</v>
      </c>
      <c r="S16" s="272"/>
    </row>
    <row r="17" spans="1:19" x14ac:dyDescent="0.25">
      <c r="A17" s="912" t="s">
        <v>279</v>
      </c>
      <c r="B17" s="372" t="s">
        <v>222</v>
      </c>
      <c r="C17" s="373">
        <v>393</v>
      </c>
      <c r="D17" s="374">
        <v>547</v>
      </c>
      <c r="E17" s="374">
        <v>348</v>
      </c>
      <c r="F17" s="374">
        <v>487</v>
      </c>
      <c r="G17" s="374">
        <v>490</v>
      </c>
      <c r="H17" s="384">
        <v>200</v>
      </c>
      <c r="I17" s="373">
        <v>192</v>
      </c>
      <c r="J17" s="373">
        <v>172</v>
      </c>
      <c r="K17" s="376">
        <v>127</v>
      </c>
      <c r="L17" s="375">
        <v>92</v>
      </c>
      <c r="M17" s="375">
        <v>9</v>
      </c>
      <c r="N17" s="377">
        <v>80</v>
      </c>
      <c r="O17" s="372">
        <v>39</v>
      </c>
      <c r="P17" s="377">
        <v>111</v>
      </c>
      <c r="Q17" s="383">
        <v>40</v>
      </c>
      <c r="R17" s="650">
        <f t="shared" si="0"/>
        <v>221.8</v>
      </c>
      <c r="S17" s="272"/>
    </row>
    <row r="18" spans="1:19" x14ac:dyDescent="0.25">
      <c r="A18" s="913"/>
      <c r="B18" s="379" t="s">
        <v>254</v>
      </c>
      <c r="C18" s="373"/>
      <c r="D18" s="374"/>
      <c r="E18" s="374"/>
      <c r="F18" s="374"/>
      <c r="G18" s="374"/>
      <c r="H18" s="384"/>
      <c r="I18" s="373"/>
      <c r="J18" s="373">
        <v>684</v>
      </c>
      <c r="K18" s="376">
        <v>684</v>
      </c>
      <c r="L18" s="375">
        <v>632</v>
      </c>
      <c r="M18" s="375">
        <v>494</v>
      </c>
      <c r="N18" s="377">
        <v>601</v>
      </c>
      <c r="O18" s="372">
        <v>453</v>
      </c>
      <c r="P18" s="377">
        <v>578</v>
      </c>
      <c r="Q18" s="383">
        <v>569</v>
      </c>
      <c r="R18" s="650">
        <f t="shared" si="0"/>
        <v>586.875</v>
      </c>
      <c r="S18" s="272"/>
    </row>
    <row r="19" spans="1:19" x14ac:dyDescent="0.25">
      <c r="A19" s="913"/>
      <c r="B19" s="379" t="s">
        <v>216</v>
      </c>
      <c r="C19" s="373">
        <v>15</v>
      </c>
      <c r="D19" s="374">
        <v>13</v>
      </c>
      <c r="E19" s="374">
        <v>15</v>
      </c>
      <c r="F19" s="374">
        <v>38</v>
      </c>
      <c r="G19" s="374">
        <v>22</v>
      </c>
      <c r="H19" s="384">
        <v>37</v>
      </c>
      <c r="I19" s="373">
        <v>47</v>
      </c>
      <c r="J19" s="373">
        <v>34</v>
      </c>
      <c r="K19" s="376">
        <v>87</v>
      </c>
      <c r="L19" s="375">
        <v>25</v>
      </c>
      <c r="M19" s="375">
        <v>59</v>
      </c>
      <c r="N19" s="377">
        <v>31</v>
      </c>
      <c r="O19" s="372">
        <v>41</v>
      </c>
      <c r="P19" s="377">
        <v>83</v>
      </c>
      <c r="Q19" s="383">
        <v>36</v>
      </c>
      <c r="R19" s="650">
        <f t="shared" si="0"/>
        <v>38.866666666666667</v>
      </c>
      <c r="S19" s="272"/>
    </row>
    <row r="20" spans="1:19" x14ac:dyDescent="0.25">
      <c r="A20" s="913"/>
      <c r="B20" s="380" t="s">
        <v>217</v>
      </c>
      <c r="C20" s="382">
        <v>8</v>
      </c>
      <c r="D20" s="420">
        <v>9</v>
      </c>
      <c r="E20" s="374">
        <v>6</v>
      </c>
      <c r="F20" s="374">
        <v>14</v>
      </c>
      <c r="G20" s="374">
        <v>5</v>
      </c>
      <c r="H20" s="384">
        <v>23</v>
      </c>
      <c r="I20" s="373">
        <v>29</v>
      </c>
      <c r="J20" s="373">
        <v>13</v>
      </c>
      <c r="K20" s="376">
        <v>56</v>
      </c>
      <c r="L20" s="381">
        <v>15</v>
      </c>
      <c r="M20" s="375">
        <v>10</v>
      </c>
      <c r="N20" s="377">
        <v>20</v>
      </c>
      <c r="O20" s="372">
        <v>14</v>
      </c>
      <c r="P20" s="377">
        <v>83</v>
      </c>
      <c r="Q20" s="383">
        <v>6</v>
      </c>
      <c r="R20" s="650">
        <f t="shared" si="0"/>
        <v>20.733333333333334</v>
      </c>
      <c r="S20" s="272"/>
    </row>
    <row r="21" spans="1:19" x14ac:dyDescent="0.25">
      <c r="A21" s="914"/>
      <c r="B21" s="380" t="s">
        <v>221</v>
      </c>
      <c r="C21" s="382">
        <v>13.3</v>
      </c>
      <c r="D21" s="374">
        <v>0</v>
      </c>
      <c r="E21" s="374">
        <v>4.5999999999999996</v>
      </c>
      <c r="F21" s="374">
        <v>17.8</v>
      </c>
      <c r="G21" s="374">
        <v>12.4</v>
      </c>
      <c r="H21" s="375">
        <v>0</v>
      </c>
      <c r="I21" s="373">
        <v>4.7</v>
      </c>
      <c r="J21" s="373">
        <v>5.2</v>
      </c>
      <c r="K21" s="385">
        <v>4.4000000000000004</v>
      </c>
      <c r="L21" s="375">
        <v>5.6</v>
      </c>
      <c r="M21" s="375">
        <v>25.2</v>
      </c>
      <c r="N21" s="375">
        <v>18.8</v>
      </c>
      <c r="O21" s="372">
        <v>8.8000000000000007</v>
      </c>
      <c r="P21" s="375">
        <v>4.5999999999999996</v>
      </c>
      <c r="Q21" s="383">
        <v>7.8</v>
      </c>
      <c r="R21" s="650">
        <f t="shared" si="0"/>
        <v>8.879999999999999</v>
      </c>
      <c r="S21" s="272"/>
    </row>
    <row r="22" spans="1:19" x14ac:dyDescent="0.25">
      <c r="A22" s="909" t="s">
        <v>280</v>
      </c>
      <c r="B22" s="84" t="s">
        <v>222</v>
      </c>
      <c r="C22" s="192">
        <v>693</v>
      </c>
      <c r="D22" s="85">
        <v>973</v>
      </c>
      <c r="E22" s="85">
        <v>579</v>
      </c>
      <c r="F22" s="85">
        <v>464</v>
      </c>
      <c r="G22" s="85">
        <v>465</v>
      </c>
      <c r="H22" s="286">
        <v>211</v>
      </c>
      <c r="I22" s="192">
        <v>224</v>
      </c>
      <c r="J22" s="192">
        <v>172</v>
      </c>
      <c r="K22" s="287">
        <v>139</v>
      </c>
      <c r="L22" s="291">
        <v>74</v>
      </c>
      <c r="M22" s="286">
        <v>2</v>
      </c>
      <c r="N22" s="286">
        <v>56</v>
      </c>
      <c r="O22" s="84">
        <v>37</v>
      </c>
      <c r="P22" s="286">
        <v>69</v>
      </c>
      <c r="Q22" s="301">
        <v>8</v>
      </c>
      <c r="R22" s="642">
        <f t="shared" si="0"/>
        <v>277.73333333333335</v>
      </c>
      <c r="S22" s="272"/>
    </row>
    <row r="23" spans="1:19" x14ac:dyDescent="0.25">
      <c r="A23" s="915"/>
      <c r="B23" s="189" t="s">
        <v>254</v>
      </c>
      <c r="C23" s="192"/>
      <c r="D23" s="544"/>
      <c r="E23" s="544"/>
      <c r="F23" s="544"/>
      <c r="G23" s="544">
        <v>634</v>
      </c>
      <c r="H23" s="543">
        <v>636</v>
      </c>
      <c r="I23" s="192">
        <v>568</v>
      </c>
      <c r="J23" s="192">
        <v>662</v>
      </c>
      <c r="K23" s="287">
        <v>656</v>
      </c>
      <c r="L23" s="291">
        <v>680</v>
      </c>
      <c r="M23" s="543">
        <v>391</v>
      </c>
      <c r="N23" s="543">
        <v>811</v>
      </c>
      <c r="O23" s="84">
        <v>565</v>
      </c>
      <c r="P23" s="543">
        <v>503</v>
      </c>
      <c r="Q23" s="301">
        <v>529</v>
      </c>
      <c r="R23" s="642">
        <f t="shared" si="0"/>
        <v>603.18181818181813</v>
      </c>
      <c r="S23" s="272"/>
    </row>
    <row r="24" spans="1:19" x14ac:dyDescent="0.25">
      <c r="A24" s="916"/>
      <c r="B24" s="189" t="s">
        <v>216</v>
      </c>
      <c r="C24" s="192">
        <v>17</v>
      </c>
      <c r="D24" s="85">
        <v>28</v>
      </c>
      <c r="E24" s="85">
        <v>16</v>
      </c>
      <c r="F24" s="85">
        <v>39</v>
      </c>
      <c r="G24" s="85">
        <v>20</v>
      </c>
      <c r="H24" s="286">
        <v>32</v>
      </c>
      <c r="I24" s="192">
        <v>10</v>
      </c>
      <c r="J24" s="192">
        <v>31</v>
      </c>
      <c r="K24" s="287">
        <v>42</v>
      </c>
      <c r="L24" s="291">
        <v>32</v>
      </c>
      <c r="M24" s="286">
        <v>34</v>
      </c>
      <c r="N24" s="286">
        <v>51</v>
      </c>
      <c r="O24" s="84">
        <v>54</v>
      </c>
      <c r="P24" s="286">
        <v>36</v>
      </c>
      <c r="Q24" s="301">
        <v>25</v>
      </c>
      <c r="R24" s="642">
        <f t="shared" si="0"/>
        <v>31.133333333333333</v>
      </c>
      <c r="S24" s="272"/>
    </row>
    <row r="25" spans="1:19" x14ac:dyDescent="0.25">
      <c r="A25" s="916"/>
      <c r="B25" s="190" t="s">
        <v>217</v>
      </c>
      <c r="C25" s="193">
        <v>11</v>
      </c>
      <c r="D25" s="85">
        <v>14</v>
      </c>
      <c r="E25" s="85">
        <v>6</v>
      </c>
      <c r="F25" s="85">
        <v>13</v>
      </c>
      <c r="G25" s="85">
        <v>5</v>
      </c>
      <c r="H25" s="286">
        <v>19</v>
      </c>
      <c r="I25" s="192">
        <v>11</v>
      </c>
      <c r="J25" s="192">
        <v>6</v>
      </c>
      <c r="K25" s="287">
        <v>15</v>
      </c>
      <c r="L25" s="289">
        <v>9</v>
      </c>
      <c r="M25" s="286">
        <v>6</v>
      </c>
      <c r="N25" s="286">
        <v>19</v>
      </c>
      <c r="O25" s="84">
        <v>8</v>
      </c>
      <c r="P25" s="286">
        <v>9</v>
      </c>
      <c r="Q25" s="301">
        <v>7</v>
      </c>
      <c r="R25" s="642">
        <f t="shared" si="0"/>
        <v>10.533333333333333</v>
      </c>
      <c r="S25" s="272"/>
    </row>
    <row r="26" spans="1:19" x14ac:dyDescent="0.25">
      <c r="A26" s="917"/>
      <c r="B26" s="190" t="s">
        <v>221</v>
      </c>
      <c r="C26" s="85"/>
      <c r="D26" s="85"/>
      <c r="E26" s="85"/>
      <c r="F26" s="85">
        <v>17.2</v>
      </c>
      <c r="G26" s="85">
        <v>16</v>
      </c>
      <c r="H26" s="85">
        <v>0</v>
      </c>
      <c r="I26" s="292">
        <v>4</v>
      </c>
      <c r="J26" s="88">
        <v>6</v>
      </c>
      <c r="K26" s="88">
        <v>5</v>
      </c>
      <c r="L26" s="291">
        <v>8</v>
      </c>
      <c r="M26" s="286">
        <v>13.2</v>
      </c>
      <c r="N26" s="286">
        <v>19.399999999999999</v>
      </c>
      <c r="O26" s="84">
        <v>17.600000000000001</v>
      </c>
      <c r="P26" s="286">
        <v>5</v>
      </c>
      <c r="Q26" s="302">
        <v>7.6</v>
      </c>
      <c r="R26" s="642">
        <f t="shared" si="0"/>
        <v>9.9166666666666661</v>
      </c>
      <c r="S26" s="272"/>
    </row>
    <row r="27" spans="1:19" x14ac:dyDescent="0.25">
      <c r="A27" s="232"/>
      <c r="B27" s="233"/>
      <c r="C27" s="233"/>
      <c r="D27" s="232"/>
      <c r="E27" s="232"/>
      <c r="F27" s="232"/>
      <c r="G27" s="235"/>
      <c r="H27" s="195"/>
    </row>
    <row r="28" spans="1:19" x14ac:dyDescent="0.25">
      <c r="A28" s="232"/>
      <c r="B28" s="233"/>
      <c r="C28" s="233"/>
      <c r="D28" s="236"/>
      <c r="E28" s="232"/>
      <c r="F28" s="178"/>
      <c r="G28" s="234"/>
      <c r="H28" s="179"/>
    </row>
    <row r="29" spans="1:19" x14ac:dyDescent="0.25">
      <c r="A29" s="232"/>
      <c r="B29" s="233"/>
      <c r="C29" s="233"/>
      <c r="D29" s="219"/>
      <c r="E29" s="232"/>
      <c r="F29" s="237"/>
      <c r="G29" s="220"/>
      <c r="H29" s="220"/>
    </row>
    <row r="30" spans="1:19" x14ac:dyDescent="0.25">
      <c r="A30" s="232"/>
      <c r="B30" s="233"/>
      <c r="C30" s="21"/>
      <c r="D30" s="272"/>
      <c r="E30" s="171"/>
      <c r="F30" s="171"/>
      <c r="G30" s="21"/>
      <c r="H30" s="21"/>
      <c r="I30" s="21"/>
      <c r="J30" s="21"/>
      <c r="K30" s="174"/>
    </row>
    <row r="31" spans="1:19" x14ac:dyDescent="0.25">
      <c r="A31" s="232"/>
      <c r="B31" s="233"/>
      <c r="C31" s="21"/>
      <c r="D31" s="272"/>
      <c r="E31" s="171"/>
      <c r="F31" s="171"/>
      <c r="G31" s="21"/>
      <c r="H31" s="21"/>
      <c r="I31" s="21"/>
      <c r="J31" s="21"/>
      <c r="K31" s="174"/>
    </row>
    <row r="32" spans="1:19" x14ac:dyDescent="0.25">
      <c r="A32" s="232"/>
      <c r="B32" s="233"/>
      <c r="C32" s="21"/>
      <c r="D32" s="272"/>
      <c r="E32" s="171"/>
      <c r="F32" s="171"/>
      <c r="G32" s="21"/>
      <c r="H32" s="21"/>
      <c r="I32" s="21"/>
      <c r="J32" s="21"/>
      <c r="K32" s="195"/>
    </row>
    <row r="33" spans="1:11" x14ac:dyDescent="0.25">
      <c r="A33" s="232"/>
      <c r="B33" s="233"/>
      <c r="C33" s="21"/>
      <c r="D33" s="272"/>
      <c r="E33" s="171"/>
      <c r="F33" s="171"/>
      <c r="G33" s="181"/>
      <c r="H33" s="21"/>
      <c r="I33" s="178"/>
      <c r="J33" s="178"/>
      <c r="K33" s="179"/>
    </row>
    <row r="34" spans="1:11" x14ac:dyDescent="0.25">
      <c r="A34" s="21"/>
      <c r="B34" s="233"/>
      <c r="C34" s="21"/>
      <c r="D34" s="272"/>
      <c r="E34" s="171"/>
      <c r="F34" s="171"/>
      <c r="G34" s="21"/>
      <c r="H34" s="21"/>
      <c r="I34" s="21"/>
      <c r="J34" s="21"/>
      <c r="K34" s="174"/>
    </row>
    <row r="35" spans="1:11" x14ac:dyDescent="0.25">
      <c r="A35" s="21"/>
      <c r="B35" s="233"/>
      <c r="C35" s="21"/>
      <c r="D35" s="272"/>
      <c r="E35" s="171"/>
      <c r="F35" s="171"/>
      <c r="G35" s="21"/>
      <c r="H35" s="21"/>
      <c r="I35" s="21"/>
      <c r="J35" s="21"/>
      <c r="K35" s="174"/>
    </row>
    <row r="36" spans="1:11" x14ac:dyDescent="0.25">
      <c r="A36" s="21"/>
      <c r="B36" s="233"/>
      <c r="C36" s="21"/>
      <c r="D36" s="272"/>
      <c r="E36" s="171"/>
      <c r="F36" s="171"/>
      <c r="G36" s="21"/>
      <c r="H36" s="21"/>
      <c r="I36" s="21"/>
      <c r="J36" s="21"/>
      <c r="K36" s="195"/>
    </row>
    <row r="37" spans="1:11" x14ac:dyDescent="0.25">
      <c r="A37" s="21"/>
      <c r="B37" s="233"/>
      <c r="C37" s="21"/>
      <c r="D37" s="272"/>
      <c r="E37" s="171"/>
      <c r="F37" s="171"/>
      <c r="G37" s="181"/>
      <c r="H37" s="21"/>
      <c r="I37" s="178"/>
      <c r="J37" s="178"/>
      <c r="K37" s="179"/>
    </row>
    <row r="38" spans="1:11" x14ac:dyDescent="0.25">
      <c r="A38" s="232"/>
      <c r="B38" s="233"/>
      <c r="C38" s="21"/>
      <c r="D38" s="272"/>
      <c r="E38" s="171"/>
      <c r="F38" s="171"/>
      <c r="G38" s="219"/>
      <c r="H38" s="21"/>
      <c r="I38" s="186"/>
      <c r="J38" s="186"/>
      <c r="K38" s="220"/>
    </row>
    <row r="39" spans="1:11" x14ac:dyDescent="0.25">
      <c r="A39" s="232"/>
      <c r="B39" s="233"/>
      <c r="C39" s="21"/>
      <c r="D39" s="272"/>
      <c r="E39" s="171"/>
      <c r="F39" s="171"/>
      <c r="G39" s="21"/>
      <c r="H39" s="21"/>
      <c r="I39" s="21"/>
      <c r="J39" s="21"/>
      <c r="K39" s="174"/>
    </row>
    <row r="40" spans="1:11" x14ac:dyDescent="0.25">
      <c r="A40" s="232"/>
      <c r="B40" s="233"/>
      <c r="C40" s="21"/>
      <c r="D40" s="272"/>
      <c r="E40" s="171"/>
      <c r="F40" s="171"/>
      <c r="G40" s="21"/>
      <c r="H40" s="21"/>
      <c r="I40" s="21"/>
      <c r="J40" s="21"/>
      <c r="K40" s="174"/>
    </row>
    <row r="41" spans="1:11" x14ac:dyDescent="0.25">
      <c r="A41" s="232"/>
      <c r="B41" s="233"/>
      <c r="C41" s="21"/>
      <c r="D41" s="272"/>
      <c r="E41" s="171"/>
      <c r="F41" s="171"/>
      <c r="G41" s="21"/>
      <c r="H41" s="21"/>
      <c r="I41" s="21"/>
      <c r="J41" s="21"/>
      <c r="K41" s="195"/>
    </row>
    <row r="42" spans="1:11" x14ac:dyDescent="0.25">
      <c r="A42" s="232"/>
      <c r="B42" s="233"/>
      <c r="C42" s="21"/>
      <c r="D42" s="272"/>
      <c r="E42" s="171"/>
      <c r="F42" s="171"/>
      <c r="G42" s="181"/>
      <c r="H42" s="21"/>
      <c r="I42" s="178"/>
      <c r="J42" s="178"/>
      <c r="K42" s="179"/>
    </row>
    <row r="43" spans="1:11" x14ac:dyDescent="0.25">
      <c r="C43" s="21"/>
      <c r="D43" s="272"/>
      <c r="E43" s="171"/>
      <c r="F43" s="171"/>
      <c r="G43" s="21"/>
      <c r="H43" s="21"/>
      <c r="I43" s="21"/>
      <c r="J43" s="21"/>
      <c r="K43" s="174"/>
    </row>
    <row r="44" spans="1:11" x14ac:dyDescent="0.25">
      <c r="C44" s="21"/>
      <c r="D44" s="272"/>
      <c r="E44" s="171"/>
      <c r="F44" s="171"/>
      <c r="G44" s="21"/>
      <c r="H44" s="21"/>
      <c r="I44" s="21"/>
      <c r="J44" s="21"/>
      <c r="K44" s="174"/>
    </row>
    <row r="45" spans="1:11" x14ac:dyDescent="0.25">
      <c r="C45" s="21"/>
      <c r="D45" s="272"/>
      <c r="E45" s="171"/>
      <c r="F45" s="171"/>
      <c r="G45" s="21"/>
      <c r="H45" s="21"/>
      <c r="I45" s="21"/>
      <c r="J45" s="21"/>
      <c r="K45" s="195"/>
    </row>
    <row r="46" spans="1:11" x14ac:dyDescent="0.25">
      <c r="C46" s="21"/>
      <c r="D46" s="272"/>
      <c r="E46" s="171"/>
      <c r="F46" s="171"/>
      <c r="G46" s="181"/>
      <c r="H46" s="21"/>
      <c r="I46" s="178"/>
      <c r="J46" s="178"/>
      <c r="K46" s="179"/>
    </row>
    <row r="47" spans="1:11" x14ac:dyDescent="0.25">
      <c r="C47" s="21"/>
      <c r="D47" s="272"/>
      <c r="E47" s="171"/>
      <c r="F47" s="171"/>
      <c r="G47" s="21"/>
      <c r="H47" s="21"/>
      <c r="I47" s="21"/>
      <c r="J47" s="21"/>
      <c r="K47" s="174"/>
    </row>
    <row r="48" spans="1:11" x14ac:dyDescent="0.25">
      <c r="C48" s="21"/>
      <c r="D48" s="272"/>
      <c r="E48" s="171"/>
      <c r="F48" s="171"/>
      <c r="G48" s="21"/>
      <c r="H48" s="21"/>
      <c r="I48" s="21"/>
      <c r="J48" s="21"/>
      <c r="K48" s="174"/>
    </row>
    <row r="49" spans="3:11" x14ac:dyDescent="0.25">
      <c r="C49" s="21"/>
      <c r="D49" s="272"/>
      <c r="E49" s="171"/>
      <c r="F49" s="171"/>
      <c r="G49" s="21"/>
      <c r="H49" s="21"/>
      <c r="I49" s="21"/>
      <c r="J49" s="21"/>
      <c r="K49" s="195"/>
    </row>
    <row r="50" spans="3:11" x14ac:dyDescent="0.25">
      <c r="C50" s="21"/>
      <c r="D50" s="272"/>
      <c r="E50" s="171"/>
      <c r="F50" s="171"/>
      <c r="G50" s="181"/>
      <c r="H50" s="21"/>
      <c r="I50" s="178"/>
      <c r="J50" s="178"/>
      <c r="K50" s="179"/>
    </row>
  </sheetData>
  <mergeCells count="5">
    <mergeCell ref="A3:A6"/>
    <mergeCell ref="A7:A10"/>
    <mergeCell ref="A11:A16"/>
    <mergeCell ref="A17:A21"/>
    <mergeCell ref="A22:A26"/>
  </mergeCells>
  <pageMargins left="0.7" right="0.7" top="0.75" bottom="0.75" header="0.3" footer="0.3"/>
  <pageSetup scale="9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H10"/>
  <sheetViews>
    <sheetView workbookViewId="0">
      <selection sqref="A1:P10"/>
    </sheetView>
  </sheetViews>
  <sheetFormatPr defaultRowHeight="12.5" x14ac:dyDescent="0.25"/>
  <cols>
    <col min="1" max="1" width="9.36328125" customWidth="1"/>
    <col min="2" max="4" width="4.54296875" bestFit="1" customWidth="1"/>
    <col min="5" max="5" width="5" bestFit="1" customWidth="1"/>
    <col min="6" max="7" width="6" bestFit="1" customWidth="1"/>
    <col min="8" max="9" width="5.36328125" customWidth="1"/>
    <col min="10" max="12" width="5.453125" customWidth="1"/>
    <col min="13" max="13" width="5.36328125" customWidth="1"/>
    <col min="14" max="14" width="5.6328125" customWidth="1"/>
    <col min="15" max="15" width="5.54296875" customWidth="1"/>
    <col min="16" max="16" width="6" customWidth="1"/>
    <col min="18" max="18" width="30.6328125" bestFit="1" customWidth="1"/>
    <col min="19" max="26" width="4.54296875" bestFit="1" customWidth="1"/>
    <col min="27" max="27" width="4.08984375" hidden="1" customWidth="1"/>
    <col min="28" max="28" width="4.54296875" bestFit="1" customWidth="1"/>
    <col min="29" max="29" width="4.54296875" customWidth="1"/>
    <col min="30" max="34" width="4.54296875" bestFit="1" customWidth="1"/>
  </cols>
  <sheetData>
    <row r="1" spans="1:34" x14ac:dyDescent="0.25">
      <c r="A1" s="919" t="s">
        <v>287</v>
      </c>
      <c r="B1" s="918" t="s">
        <v>342</v>
      </c>
      <c r="C1" s="845"/>
      <c r="D1" s="845"/>
      <c r="E1" s="845"/>
      <c r="F1" s="845"/>
      <c r="G1" s="845"/>
      <c r="H1" s="845"/>
      <c r="I1" s="845"/>
      <c r="J1" s="845"/>
      <c r="K1" s="845"/>
      <c r="L1" s="845"/>
      <c r="M1" s="845"/>
      <c r="N1" s="845"/>
      <c r="O1" s="845"/>
      <c r="P1" s="845"/>
      <c r="R1" s="920" t="s">
        <v>289</v>
      </c>
      <c r="S1" s="921" t="s">
        <v>343</v>
      </c>
      <c r="T1" s="922"/>
      <c r="U1" s="922"/>
      <c r="V1" s="922"/>
      <c r="W1" s="922"/>
      <c r="X1" s="922"/>
      <c r="Y1" s="922"/>
      <c r="Z1" s="922"/>
      <c r="AA1" s="922"/>
      <c r="AB1" s="922"/>
      <c r="AC1" s="922"/>
      <c r="AD1" s="922"/>
      <c r="AE1" s="922"/>
      <c r="AF1" s="922"/>
      <c r="AG1" s="922"/>
      <c r="AH1" s="923"/>
    </row>
    <row r="2" spans="1:34" x14ac:dyDescent="0.25">
      <c r="A2" s="919"/>
      <c r="B2" s="84" t="s">
        <v>81</v>
      </c>
      <c r="C2" s="84" t="s">
        <v>82</v>
      </c>
      <c r="D2" s="84" t="s">
        <v>83</v>
      </c>
      <c r="E2" s="84" t="s">
        <v>84</v>
      </c>
      <c r="F2" s="84" t="s">
        <v>85</v>
      </c>
      <c r="G2" s="84" t="s">
        <v>86</v>
      </c>
      <c r="H2" s="84" t="s">
        <v>87</v>
      </c>
      <c r="I2" s="189" t="s">
        <v>87</v>
      </c>
      <c r="J2" s="84" t="s">
        <v>88</v>
      </c>
      <c r="K2" s="189" t="s">
        <v>88</v>
      </c>
      <c r="L2" s="189" t="s">
        <v>89</v>
      </c>
      <c r="M2" s="84" t="s">
        <v>89</v>
      </c>
      <c r="N2" s="84" t="s">
        <v>90</v>
      </c>
      <c r="O2" s="84" t="s">
        <v>91</v>
      </c>
      <c r="P2" s="84" t="s">
        <v>92</v>
      </c>
      <c r="R2" s="920"/>
      <c r="S2" s="159" t="s">
        <v>81</v>
      </c>
      <c r="T2" s="159" t="s">
        <v>82</v>
      </c>
      <c r="U2" s="159" t="s">
        <v>83</v>
      </c>
      <c r="V2" s="159" t="s">
        <v>84</v>
      </c>
      <c r="W2" s="159" t="s">
        <v>85</v>
      </c>
      <c r="X2" s="159" t="s">
        <v>86</v>
      </c>
      <c r="Y2" s="159" t="s">
        <v>87</v>
      </c>
      <c r="Z2" s="159" t="s">
        <v>87</v>
      </c>
      <c r="AA2" s="159" t="s">
        <v>88</v>
      </c>
      <c r="AB2" s="159" t="s">
        <v>88</v>
      </c>
      <c r="AC2" s="159" t="s">
        <v>88</v>
      </c>
      <c r="AD2" s="159" t="s">
        <v>89</v>
      </c>
      <c r="AE2" s="159" t="s">
        <v>89</v>
      </c>
      <c r="AF2" s="159" t="s">
        <v>90</v>
      </c>
      <c r="AG2" s="159" t="s">
        <v>91</v>
      </c>
      <c r="AH2" s="159" t="s">
        <v>92</v>
      </c>
    </row>
    <row r="3" spans="1:34" x14ac:dyDescent="0.25">
      <c r="A3" s="425" t="s">
        <v>296</v>
      </c>
      <c r="B3" s="924" t="s">
        <v>294</v>
      </c>
      <c r="C3" s="925"/>
      <c r="D3" s="926"/>
      <c r="E3" s="927" t="s">
        <v>295</v>
      </c>
      <c r="F3" s="928"/>
      <c r="G3" s="928"/>
      <c r="H3" s="928"/>
      <c r="I3" s="928"/>
      <c r="J3" s="928"/>
      <c r="K3" s="928"/>
      <c r="L3" s="928"/>
      <c r="M3" s="928"/>
      <c r="N3" s="928"/>
      <c r="O3" s="928"/>
      <c r="P3" s="929"/>
      <c r="R3" s="189" t="s">
        <v>321</v>
      </c>
      <c r="S3" s="81">
        <v>4</v>
      </c>
      <c r="T3" s="81">
        <v>5</v>
      </c>
      <c r="U3" s="81">
        <v>5</v>
      </c>
      <c r="V3" s="81">
        <v>6</v>
      </c>
      <c r="W3" s="84">
        <v>6</v>
      </c>
      <c r="X3" s="81">
        <v>5.5</v>
      </c>
      <c r="Y3" s="84">
        <v>5</v>
      </c>
      <c r="Z3" s="81">
        <v>6</v>
      </c>
      <c r="AA3" s="81"/>
      <c r="AB3" s="81">
        <v>4</v>
      </c>
      <c r="AC3" s="81">
        <v>5</v>
      </c>
      <c r="AD3" s="81">
        <v>5</v>
      </c>
      <c r="AE3" s="81">
        <v>5</v>
      </c>
      <c r="AF3" s="81">
        <v>4</v>
      </c>
      <c r="AG3" s="81">
        <v>4</v>
      </c>
      <c r="AH3" s="81">
        <v>5</v>
      </c>
    </row>
    <row r="4" spans="1:34" x14ac:dyDescent="0.25">
      <c r="A4" s="189" t="s">
        <v>303</v>
      </c>
      <c r="B4" s="423">
        <v>3.15</v>
      </c>
      <c r="C4" s="423">
        <v>2.73</v>
      </c>
      <c r="D4" s="423">
        <v>5.37</v>
      </c>
      <c r="E4" s="84">
        <v>7.4</v>
      </c>
      <c r="F4" s="84">
        <v>12.23</v>
      </c>
      <c r="G4" s="84">
        <v>18.7</v>
      </c>
      <c r="H4" s="431">
        <v>20.71</v>
      </c>
      <c r="I4" s="431">
        <v>22.42</v>
      </c>
      <c r="J4" s="431">
        <v>21.47</v>
      </c>
      <c r="K4" s="431">
        <v>21.4</v>
      </c>
      <c r="L4" s="431">
        <v>19.93</v>
      </c>
      <c r="M4" s="84">
        <v>17.899999999999999</v>
      </c>
      <c r="N4" s="84">
        <v>9.9</v>
      </c>
      <c r="O4" s="84">
        <v>7.2</v>
      </c>
      <c r="P4" s="84">
        <v>3.2</v>
      </c>
      <c r="R4" s="189" t="s">
        <v>320</v>
      </c>
      <c r="S4" s="81">
        <v>8.75</v>
      </c>
      <c r="T4" s="81">
        <v>10.75</v>
      </c>
      <c r="U4" s="81">
        <v>10.9</v>
      </c>
      <c r="V4" s="81">
        <v>10.9</v>
      </c>
      <c r="W4" s="84">
        <v>7</v>
      </c>
      <c r="X4" s="81">
        <v>11</v>
      </c>
      <c r="Y4" s="84">
        <v>10.9</v>
      </c>
      <c r="Z4" s="81">
        <v>11</v>
      </c>
      <c r="AA4" s="81"/>
      <c r="AB4" s="81">
        <v>10.6</v>
      </c>
      <c r="AC4" s="81">
        <v>10.85</v>
      </c>
      <c r="AD4" s="81">
        <v>10.6</v>
      </c>
      <c r="AE4" s="81">
        <v>10.5</v>
      </c>
      <c r="AF4" s="81">
        <v>10.4</v>
      </c>
      <c r="AG4" s="81">
        <v>10.5</v>
      </c>
      <c r="AH4" s="81">
        <v>10.199999999999999</v>
      </c>
    </row>
    <row r="5" spans="1:34" x14ac:dyDescent="0.25">
      <c r="A5" s="189" t="s">
        <v>304</v>
      </c>
      <c r="B5" s="423">
        <v>3.09</v>
      </c>
      <c r="C5" s="423">
        <v>2.7</v>
      </c>
      <c r="D5" s="423">
        <v>5.43</v>
      </c>
      <c r="E5" s="84">
        <v>7.5</v>
      </c>
      <c r="F5" s="84"/>
      <c r="G5" s="84">
        <v>18.93</v>
      </c>
      <c r="H5" s="431">
        <v>20.7</v>
      </c>
      <c r="I5" s="431">
        <v>22.39</v>
      </c>
      <c r="J5" s="431">
        <v>21.8</v>
      </c>
      <c r="K5" s="431">
        <v>21.5</v>
      </c>
      <c r="L5" s="431">
        <v>19.93</v>
      </c>
      <c r="M5" s="84">
        <v>17.899999999999999</v>
      </c>
      <c r="N5" s="84">
        <v>10</v>
      </c>
      <c r="O5" s="84">
        <v>7.4</v>
      </c>
      <c r="P5" s="84">
        <v>3</v>
      </c>
      <c r="R5" s="189" t="s">
        <v>317</v>
      </c>
      <c r="S5" s="81">
        <v>5</v>
      </c>
      <c r="T5" s="81">
        <v>4</v>
      </c>
      <c r="U5" s="81">
        <v>4</v>
      </c>
      <c r="V5" s="81">
        <v>5</v>
      </c>
      <c r="W5" s="84">
        <v>5</v>
      </c>
      <c r="X5" s="81">
        <v>4</v>
      </c>
      <c r="Y5" s="84">
        <v>4</v>
      </c>
      <c r="Z5" s="81">
        <v>5</v>
      </c>
      <c r="AA5" s="81"/>
      <c r="AB5" s="81">
        <v>3</v>
      </c>
      <c r="AC5" s="81">
        <v>5</v>
      </c>
      <c r="AD5" s="81">
        <v>6</v>
      </c>
      <c r="AE5" s="81">
        <v>6</v>
      </c>
      <c r="AF5" s="81">
        <v>6</v>
      </c>
      <c r="AG5" s="81">
        <v>6.5</v>
      </c>
      <c r="AH5" s="81">
        <v>7</v>
      </c>
    </row>
    <row r="6" spans="1:34" x14ac:dyDescent="0.25">
      <c r="A6" s="189" t="s">
        <v>305</v>
      </c>
      <c r="B6" s="423">
        <v>3.23</v>
      </c>
      <c r="C6" s="423">
        <v>2.87</v>
      </c>
      <c r="D6" s="423">
        <v>5.03</v>
      </c>
      <c r="E6" s="84">
        <v>7.3</v>
      </c>
      <c r="F6" s="84"/>
      <c r="G6" s="84">
        <v>18.8</v>
      </c>
      <c r="H6" s="431">
        <v>20.3</v>
      </c>
      <c r="I6" s="431">
        <v>22.44</v>
      </c>
      <c r="J6" s="431">
        <v>21.8</v>
      </c>
      <c r="K6" s="431">
        <v>21.4</v>
      </c>
      <c r="L6" s="431">
        <v>19.93</v>
      </c>
      <c r="M6" s="84">
        <v>18</v>
      </c>
      <c r="N6" s="84">
        <v>9.9</v>
      </c>
      <c r="O6" s="84">
        <v>7.2</v>
      </c>
      <c r="P6" s="84">
        <v>3</v>
      </c>
      <c r="R6" s="189" t="s">
        <v>318</v>
      </c>
      <c r="S6" s="81">
        <v>8.77</v>
      </c>
      <c r="T6" s="81">
        <v>7.43</v>
      </c>
      <c r="U6" s="81">
        <v>7.69</v>
      </c>
      <c r="V6" s="81">
        <v>8.69</v>
      </c>
      <c r="W6" s="84">
        <v>8.5399999999999991</v>
      </c>
      <c r="X6" s="431">
        <v>6</v>
      </c>
      <c r="Y6" s="84">
        <v>5.1100000000000003</v>
      </c>
      <c r="Z6" s="81">
        <v>6.96</v>
      </c>
      <c r="AA6" s="81"/>
      <c r="AB6" s="81">
        <v>3.58</v>
      </c>
      <c r="AC6" s="81">
        <v>6.57</v>
      </c>
      <c r="AD6" s="81">
        <v>7.86</v>
      </c>
      <c r="AE6" s="81">
        <v>6.51</v>
      </c>
      <c r="AF6" s="81">
        <v>8.33</v>
      </c>
      <c r="AG6" s="81">
        <v>7.32</v>
      </c>
      <c r="AH6" s="81">
        <v>10.56</v>
      </c>
    </row>
    <row r="7" spans="1:34" x14ac:dyDescent="0.25">
      <c r="A7" s="189" t="s">
        <v>306</v>
      </c>
      <c r="B7" s="423"/>
      <c r="C7" s="423"/>
      <c r="D7" s="423">
        <v>5.73</v>
      </c>
      <c r="E7" s="84">
        <v>7</v>
      </c>
      <c r="F7" s="84"/>
      <c r="G7" s="84">
        <v>19.100000000000001</v>
      </c>
      <c r="H7" s="431">
        <v>20.7</v>
      </c>
      <c r="I7" s="431">
        <v>22.49</v>
      </c>
      <c r="J7" s="431">
        <v>22</v>
      </c>
      <c r="K7" s="431">
        <v>21.8</v>
      </c>
      <c r="L7" s="431">
        <v>20.37</v>
      </c>
      <c r="M7" s="84">
        <v>18.3</v>
      </c>
      <c r="N7" s="84">
        <v>9.6999999999999993</v>
      </c>
      <c r="O7" s="84">
        <v>7.3</v>
      </c>
      <c r="P7" s="84">
        <v>3.3</v>
      </c>
      <c r="R7" s="189" t="s">
        <v>357</v>
      </c>
      <c r="S7" s="81">
        <v>10.53</v>
      </c>
      <c r="T7" s="81">
        <v>10.53</v>
      </c>
      <c r="U7" s="81">
        <v>9.8699999999999992</v>
      </c>
      <c r="V7" s="81">
        <v>8.6999999999999993</v>
      </c>
      <c r="W7" s="84">
        <v>8.57</v>
      </c>
      <c r="X7" s="431">
        <v>6.53</v>
      </c>
      <c r="Y7" s="84">
        <v>7.59</v>
      </c>
      <c r="Z7" s="81">
        <v>7.55</v>
      </c>
      <c r="AA7" s="81"/>
      <c r="AB7" s="81">
        <v>5.16</v>
      </c>
      <c r="AC7" s="81">
        <v>7.58</v>
      </c>
      <c r="AD7" s="81">
        <v>8.65</v>
      </c>
      <c r="AE7" s="81">
        <v>6.76</v>
      </c>
      <c r="AF7" s="81">
        <v>8.52</v>
      </c>
      <c r="AG7" s="81">
        <v>7.6</v>
      </c>
      <c r="AH7" s="81">
        <v>10.08</v>
      </c>
    </row>
    <row r="8" spans="1:34" x14ac:dyDescent="0.25">
      <c r="A8" s="189" t="s">
        <v>307</v>
      </c>
      <c r="B8" s="423"/>
      <c r="C8" s="423"/>
      <c r="D8" s="423">
        <v>5.27</v>
      </c>
      <c r="E8" s="84">
        <v>7.9</v>
      </c>
      <c r="F8" s="84"/>
      <c r="G8" s="84">
        <v>19.13</v>
      </c>
      <c r="H8" s="431">
        <v>21.22</v>
      </c>
      <c r="I8" s="431">
        <v>22.47</v>
      </c>
      <c r="J8" s="431">
        <v>22</v>
      </c>
      <c r="K8" s="431">
        <v>21.8</v>
      </c>
      <c r="L8" s="431">
        <v>20.399999999999999</v>
      </c>
      <c r="M8" s="84">
        <v>18.2</v>
      </c>
      <c r="N8" s="84">
        <v>10</v>
      </c>
      <c r="O8" s="84">
        <v>7.3</v>
      </c>
      <c r="P8" s="84">
        <v>3.3</v>
      </c>
      <c r="R8" s="189" t="s">
        <v>319</v>
      </c>
      <c r="S8" s="81">
        <v>9.85</v>
      </c>
      <c r="T8" s="81">
        <v>9.9</v>
      </c>
      <c r="U8" s="81">
        <v>9.7899999999999991</v>
      </c>
      <c r="V8" s="81">
        <v>8.6999999999999993</v>
      </c>
      <c r="W8" s="84">
        <v>8.58</v>
      </c>
      <c r="X8" s="431">
        <v>6.5</v>
      </c>
      <c r="Y8" s="84">
        <v>7.12</v>
      </c>
      <c r="Z8" s="81">
        <v>7.38</v>
      </c>
      <c r="AA8" s="81"/>
      <c r="AB8" s="81">
        <v>4.4800000000000004</v>
      </c>
      <c r="AC8" s="81">
        <v>7.31</v>
      </c>
      <c r="AD8" s="81">
        <v>8.2100000000000009</v>
      </c>
      <c r="AE8" s="81">
        <v>6.67</v>
      </c>
      <c r="AF8" s="81">
        <v>8.48</v>
      </c>
      <c r="AG8" s="81">
        <v>7.43</v>
      </c>
      <c r="AH8" s="81">
        <v>10.46</v>
      </c>
    </row>
    <row r="9" spans="1:34" x14ac:dyDescent="0.25">
      <c r="A9" s="426" t="s">
        <v>310</v>
      </c>
      <c r="B9">
        <v>9</v>
      </c>
      <c r="C9" s="448">
        <v>9</v>
      </c>
      <c r="D9" s="448">
        <v>9</v>
      </c>
    </row>
    <row r="10" spans="1:34" x14ac:dyDescent="0.25">
      <c r="A10" s="21" t="s">
        <v>309</v>
      </c>
      <c r="C10" s="448"/>
      <c r="D10" s="448"/>
      <c r="E10" s="221">
        <v>23.3</v>
      </c>
      <c r="F10" s="221">
        <v>23.3</v>
      </c>
      <c r="G10" s="221">
        <v>23.3</v>
      </c>
      <c r="H10" s="221">
        <v>23.3</v>
      </c>
      <c r="I10" s="221">
        <v>23.3</v>
      </c>
      <c r="J10" s="221">
        <v>23.3</v>
      </c>
      <c r="K10" s="221">
        <v>23.3</v>
      </c>
      <c r="L10" s="221">
        <v>23.3</v>
      </c>
      <c r="M10" s="221">
        <v>23.3</v>
      </c>
      <c r="N10" s="221">
        <v>23.3</v>
      </c>
      <c r="O10" s="221">
        <v>23.3</v>
      </c>
      <c r="P10" s="221">
        <v>23.3</v>
      </c>
    </row>
  </sheetData>
  <mergeCells count="6">
    <mergeCell ref="B1:P1"/>
    <mergeCell ref="A1:A2"/>
    <mergeCell ref="R1:R2"/>
    <mergeCell ref="S1:AH1"/>
    <mergeCell ref="B3:D3"/>
    <mergeCell ref="E3:P3"/>
  </mergeCell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78"/>
  <sheetViews>
    <sheetView workbookViewId="0">
      <selection activeCell="E22" sqref="E22"/>
    </sheetView>
  </sheetViews>
  <sheetFormatPr defaultRowHeight="12.5" x14ac:dyDescent="0.25"/>
  <cols>
    <col min="1" max="1" width="13.90625" bestFit="1" customWidth="1"/>
    <col min="2" max="2" width="16.90625" bestFit="1" customWidth="1"/>
    <col min="3" max="3" width="41.90625" customWidth="1"/>
    <col min="4" max="4" width="10.90625" bestFit="1" customWidth="1"/>
    <col min="5" max="5" width="16.90625" bestFit="1" customWidth="1"/>
  </cols>
  <sheetData>
    <row r="1" spans="1:4" ht="13.5" x14ac:dyDescent="0.3">
      <c r="A1" s="930" t="s">
        <v>314</v>
      </c>
      <c r="B1" s="930"/>
      <c r="C1" s="930"/>
      <c r="D1" s="451"/>
    </row>
    <row r="2" spans="1:4" ht="13.5" x14ac:dyDescent="0.3">
      <c r="A2" s="457" t="s">
        <v>311</v>
      </c>
      <c r="B2" s="126" t="s">
        <v>312</v>
      </c>
      <c r="C2" s="126" t="s">
        <v>11</v>
      </c>
    </row>
    <row r="3" spans="1:4" ht="13.5" x14ac:dyDescent="0.3">
      <c r="A3" s="452"/>
      <c r="B3" s="453"/>
      <c r="C3" s="84"/>
    </row>
    <row r="4" spans="1:4" ht="13.5" x14ac:dyDescent="0.3">
      <c r="A4" s="452"/>
      <c r="B4" s="453"/>
      <c r="C4" s="84"/>
    </row>
    <row r="5" spans="1:4" x14ac:dyDescent="0.25">
      <c r="A5" s="454"/>
      <c r="B5" s="453"/>
      <c r="C5" s="455"/>
    </row>
    <row r="6" spans="1:4" x14ac:dyDescent="0.25">
      <c r="A6" s="454"/>
      <c r="B6" s="453"/>
      <c r="C6" s="189"/>
    </row>
    <row r="7" spans="1:4" ht="13.5" x14ac:dyDescent="0.3">
      <c r="A7" s="452"/>
      <c r="B7" s="453"/>
      <c r="C7" s="84"/>
    </row>
    <row r="8" spans="1:4" x14ac:dyDescent="0.25">
      <c r="A8" s="454"/>
      <c r="B8" s="456"/>
      <c r="C8" s="84"/>
    </row>
    <row r="9" spans="1:4" x14ac:dyDescent="0.25">
      <c r="A9" s="454"/>
      <c r="B9" s="453"/>
      <c r="C9" s="189"/>
    </row>
    <row r="10" spans="1:4" x14ac:dyDescent="0.25">
      <c r="A10" s="450"/>
      <c r="B10" s="449"/>
    </row>
    <row r="11" spans="1:4" x14ac:dyDescent="0.25">
      <c r="B11" s="21" t="s">
        <v>764</v>
      </c>
      <c r="C11" s="21" t="s">
        <v>763</v>
      </c>
      <c r="D11" s="21" t="s">
        <v>313</v>
      </c>
    </row>
    <row r="12" spans="1:4" x14ac:dyDescent="0.25">
      <c r="A12" s="427">
        <v>40330</v>
      </c>
      <c r="B12" s="176">
        <v>0</v>
      </c>
      <c r="C12">
        <v>8.57</v>
      </c>
      <c r="D12">
        <v>6</v>
      </c>
    </row>
    <row r="13" spans="1:4" x14ac:dyDescent="0.25">
      <c r="A13" s="427">
        <v>40331</v>
      </c>
      <c r="B13" s="176">
        <v>0</v>
      </c>
      <c r="D13">
        <v>6</v>
      </c>
    </row>
    <row r="14" spans="1:4" x14ac:dyDescent="0.25">
      <c r="A14" s="427">
        <v>40332</v>
      </c>
      <c r="B14" s="176">
        <v>0</v>
      </c>
      <c r="D14">
        <v>6</v>
      </c>
    </row>
    <row r="15" spans="1:4" x14ac:dyDescent="0.25">
      <c r="A15" s="427">
        <v>40333</v>
      </c>
      <c r="B15" s="176">
        <v>0</v>
      </c>
      <c r="D15">
        <v>6</v>
      </c>
    </row>
    <row r="16" spans="1:4" x14ac:dyDescent="0.25">
      <c r="A16" s="427">
        <v>40334</v>
      </c>
      <c r="B16" s="176">
        <v>0</v>
      </c>
      <c r="D16">
        <v>6</v>
      </c>
    </row>
    <row r="17" spans="1:4" x14ac:dyDescent="0.25">
      <c r="A17" s="427">
        <v>40335</v>
      </c>
      <c r="B17" s="176">
        <v>0</v>
      </c>
      <c r="D17">
        <v>6</v>
      </c>
    </row>
    <row r="18" spans="1:4" x14ac:dyDescent="0.25">
      <c r="A18" s="427">
        <v>40336</v>
      </c>
      <c r="B18" s="176">
        <v>0</v>
      </c>
      <c r="D18">
        <v>6</v>
      </c>
    </row>
    <row r="19" spans="1:4" x14ac:dyDescent="0.25">
      <c r="A19" s="427">
        <v>40337</v>
      </c>
      <c r="B19" s="176">
        <v>0</v>
      </c>
      <c r="D19">
        <v>6</v>
      </c>
    </row>
    <row r="20" spans="1:4" x14ac:dyDescent="0.25">
      <c r="A20" s="427">
        <v>40338</v>
      </c>
      <c r="B20" s="176">
        <v>0</v>
      </c>
      <c r="D20">
        <v>6</v>
      </c>
    </row>
    <row r="21" spans="1:4" x14ac:dyDescent="0.25">
      <c r="A21" s="427">
        <v>40339</v>
      </c>
      <c r="B21" s="176">
        <v>0</v>
      </c>
      <c r="D21">
        <v>6</v>
      </c>
    </row>
    <row r="22" spans="1:4" x14ac:dyDescent="0.25">
      <c r="A22" s="427">
        <v>40340</v>
      </c>
      <c r="B22" s="176">
        <v>0</v>
      </c>
      <c r="D22">
        <v>6</v>
      </c>
    </row>
    <row r="23" spans="1:4" x14ac:dyDescent="0.25">
      <c r="A23" s="427">
        <v>40341</v>
      </c>
      <c r="B23" s="176">
        <v>0</v>
      </c>
      <c r="D23">
        <v>6</v>
      </c>
    </row>
    <row r="24" spans="1:4" x14ac:dyDescent="0.25">
      <c r="A24" s="427">
        <v>40342</v>
      </c>
      <c r="B24" s="176">
        <v>0</v>
      </c>
      <c r="D24">
        <v>6</v>
      </c>
    </row>
    <row r="25" spans="1:4" x14ac:dyDescent="0.25">
      <c r="A25" s="427">
        <v>40343</v>
      </c>
      <c r="B25" s="176">
        <v>0</v>
      </c>
      <c r="D25">
        <v>6</v>
      </c>
    </row>
    <row r="26" spans="1:4" x14ac:dyDescent="0.25">
      <c r="A26" s="427">
        <v>40344</v>
      </c>
      <c r="B26" s="176">
        <v>0</v>
      </c>
      <c r="C26">
        <v>8.6</v>
      </c>
      <c r="D26">
        <v>6</v>
      </c>
    </row>
    <row r="27" spans="1:4" x14ac:dyDescent="0.25">
      <c r="A27" s="427">
        <v>40345</v>
      </c>
      <c r="B27">
        <v>1</v>
      </c>
      <c r="D27">
        <v>6</v>
      </c>
    </row>
    <row r="28" spans="1:4" x14ac:dyDescent="0.25">
      <c r="A28" s="427">
        <v>40346</v>
      </c>
      <c r="B28">
        <v>1</v>
      </c>
      <c r="D28">
        <v>6</v>
      </c>
    </row>
    <row r="29" spans="1:4" x14ac:dyDescent="0.25">
      <c r="A29" s="427">
        <v>40347</v>
      </c>
      <c r="B29">
        <v>1</v>
      </c>
      <c r="D29">
        <v>6</v>
      </c>
    </row>
    <row r="30" spans="1:4" x14ac:dyDescent="0.25">
      <c r="A30" s="427">
        <v>40348</v>
      </c>
      <c r="B30">
        <v>1</v>
      </c>
      <c r="D30">
        <v>6</v>
      </c>
    </row>
    <row r="31" spans="1:4" x14ac:dyDescent="0.25">
      <c r="A31" s="427">
        <v>40349</v>
      </c>
      <c r="B31">
        <v>1</v>
      </c>
      <c r="D31">
        <v>6</v>
      </c>
    </row>
    <row r="32" spans="1:4" x14ac:dyDescent="0.25">
      <c r="A32" s="427">
        <v>40350</v>
      </c>
      <c r="B32">
        <v>1</v>
      </c>
      <c r="D32">
        <v>6</v>
      </c>
    </row>
    <row r="33" spans="1:4" x14ac:dyDescent="0.25">
      <c r="A33" s="427">
        <v>40351</v>
      </c>
      <c r="B33">
        <v>1</v>
      </c>
      <c r="D33">
        <v>6</v>
      </c>
    </row>
    <row r="34" spans="1:4" x14ac:dyDescent="0.25">
      <c r="A34" s="427">
        <v>40352</v>
      </c>
      <c r="B34">
        <v>1</v>
      </c>
      <c r="D34">
        <v>6</v>
      </c>
    </row>
    <row r="35" spans="1:4" x14ac:dyDescent="0.25">
      <c r="A35" s="427">
        <v>40353</v>
      </c>
      <c r="B35">
        <v>0</v>
      </c>
      <c r="C35">
        <v>7.8</v>
      </c>
      <c r="D35">
        <v>6</v>
      </c>
    </row>
    <row r="36" spans="1:4" x14ac:dyDescent="0.25">
      <c r="A36" s="427">
        <v>40354</v>
      </c>
      <c r="B36">
        <v>0</v>
      </c>
      <c r="D36">
        <v>6</v>
      </c>
    </row>
    <row r="37" spans="1:4" x14ac:dyDescent="0.25">
      <c r="A37" s="427">
        <v>40355</v>
      </c>
      <c r="B37">
        <v>0</v>
      </c>
      <c r="D37">
        <v>6</v>
      </c>
    </row>
    <row r="38" spans="1:4" x14ac:dyDescent="0.25">
      <c r="A38" s="427">
        <v>40356</v>
      </c>
      <c r="B38">
        <v>0</v>
      </c>
      <c r="D38">
        <v>6</v>
      </c>
    </row>
    <row r="39" spans="1:4" x14ac:dyDescent="0.25">
      <c r="A39" s="427">
        <v>40357</v>
      </c>
      <c r="B39">
        <v>0</v>
      </c>
      <c r="D39">
        <v>6</v>
      </c>
    </row>
    <row r="40" spans="1:4" x14ac:dyDescent="0.25">
      <c r="A40" s="427">
        <v>40358</v>
      </c>
      <c r="B40">
        <v>0</v>
      </c>
      <c r="C40">
        <v>6.53</v>
      </c>
      <c r="D40">
        <v>6</v>
      </c>
    </row>
    <row r="41" spans="1:4" x14ac:dyDescent="0.25">
      <c r="A41" s="427">
        <v>40359</v>
      </c>
      <c r="B41">
        <v>0</v>
      </c>
      <c r="D41">
        <v>6</v>
      </c>
    </row>
    <row r="42" spans="1:4" x14ac:dyDescent="0.25">
      <c r="A42" s="427">
        <v>40360</v>
      </c>
      <c r="B42">
        <v>0</v>
      </c>
      <c r="D42">
        <v>6</v>
      </c>
    </row>
    <row r="43" spans="1:4" x14ac:dyDescent="0.25">
      <c r="A43" s="427">
        <v>40361</v>
      </c>
      <c r="B43">
        <v>0</v>
      </c>
      <c r="D43">
        <v>6</v>
      </c>
    </row>
    <row r="44" spans="1:4" x14ac:dyDescent="0.25">
      <c r="A44" s="427">
        <v>40362</v>
      </c>
      <c r="B44">
        <v>0</v>
      </c>
      <c r="D44">
        <v>6</v>
      </c>
    </row>
    <row r="45" spans="1:4" x14ac:dyDescent="0.25">
      <c r="A45" s="427">
        <v>40363</v>
      </c>
      <c r="B45">
        <v>0</v>
      </c>
      <c r="D45">
        <v>6</v>
      </c>
    </row>
    <row r="46" spans="1:4" x14ac:dyDescent="0.25">
      <c r="A46" s="427">
        <v>40364</v>
      </c>
      <c r="B46">
        <v>0</v>
      </c>
      <c r="C46">
        <v>8.4</v>
      </c>
      <c r="D46">
        <v>6</v>
      </c>
    </row>
    <row r="47" spans="1:4" x14ac:dyDescent="0.25">
      <c r="A47" s="427">
        <v>40365</v>
      </c>
      <c r="B47">
        <v>1</v>
      </c>
      <c r="D47">
        <v>6</v>
      </c>
    </row>
    <row r="48" spans="1:4" x14ac:dyDescent="0.25">
      <c r="A48" s="427">
        <v>40366</v>
      </c>
      <c r="B48">
        <v>1</v>
      </c>
      <c r="D48">
        <v>6</v>
      </c>
    </row>
    <row r="49" spans="1:4" x14ac:dyDescent="0.25">
      <c r="A49" s="427">
        <v>40367</v>
      </c>
      <c r="B49">
        <v>1</v>
      </c>
      <c r="D49">
        <v>6</v>
      </c>
    </row>
    <row r="50" spans="1:4" x14ac:dyDescent="0.25">
      <c r="A50" s="427">
        <v>40368</v>
      </c>
      <c r="B50">
        <v>1</v>
      </c>
      <c r="D50">
        <v>6</v>
      </c>
    </row>
    <row r="51" spans="1:4" x14ac:dyDescent="0.25">
      <c r="A51" s="427">
        <v>40369</v>
      </c>
      <c r="B51">
        <v>1</v>
      </c>
      <c r="D51">
        <v>6</v>
      </c>
    </row>
    <row r="52" spans="1:4" x14ac:dyDescent="0.25">
      <c r="A52" s="427">
        <v>40370</v>
      </c>
      <c r="B52">
        <v>1</v>
      </c>
      <c r="D52">
        <v>6</v>
      </c>
    </row>
    <row r="53" spans="1:4" x14ac:dyDescent="0.25">
      <c r="A53" s="427">
        <v>40371</v>
      </c>
      <c r="B53">
        <v>1</v>
      </c>
      <c r="D53">
        <v>6</v>
      </c>
    </row>
    <row r="54" spans="1:4" x14ac:dyDescent="0.25">
      <c r="A54" s="427">
        <v>40372</v>
      </c>
      <c r="B54">
        <v>0</v>
      </c>
      <c r="C54">
        <v>7.59</v>
      </c>
      <c r="D54">
        <v>6</v>
      </c>
    </row>
    <row r="55" spans="1:4" x14ac:dyDescent="0.25">
      <c r="A55" s="427">
        <v>40373</v>
      </c>
      <c r="B55">
        <v>0</v>
      </c>
      <c r="D55">
        <v>6</v>
      </c>
    </row>
    <row r="56" spans="1:4" x14ac:dyDescent="0.25">
      <c r="A56" s="427">
        <v>40374</v>
      </c>
      <c r="B56">
        <v>0</v>
      </c>
      <c r="D56">
        <v>6</v>
      </c>
    </row>
    <row r="57" spans="1:4" x14ac:dyDescent="0.25">
      <c r="A57" s="427">
        <v>40375</v>
      </c>
      <c r="B57">
        <v>0</v>
      </c>
      <c r="D57">
        <v>6</v>
      </c>
    </row>
    <row r="58" spans="1:4" x14ac:dyDescent="0.25">
      <c r="A58" s="427">
        <v>40376</v>
      </c>
      <c r="B58">
        <v>0</v>
      </c>
      <c r="D58">
        <v>6</v>
      </c>
    </row>
    <row r="59" spans="1:4" x14ac:dyDescent="0.25">
      <c r="A59" s="427">
        <v>40377</v>
      </c>
      <c r="B59">
        <v>0</v>
      </c>
      <c r="D59">
        <v>6</v>
      </c>
    </row>
    <row r="60" spans="1:4" x14ac:dyDescent="0.25">
      <c r="A60" s="427">
        <v>40378</v>
      </c>
      <c r="B60">
        <v>0</v>
      </c>
      <c r="D60">
        <v>6</v>
      </c>
    </row>
    <row r="61" spans="1:4" x14ac:dyDescent="0.25">
      <c r="A61" s="427">
        <v>40379</v>
      </c>
      <c r="B61">
        <v>0</v>
      </c>
      <c r="D61">
        <v>6</v>
      </c>
    </row>
    <row r="62" spans="1:4" x14ac:dyDescent="0.25">
      <c r="A62" s="427">
        <v>40380</v>
      </c>
      <c r="B62">
        <v>0</v>
      </c>
      <c r="D62">
        <v>6</v>
      </c>
    </row>
    <row r="63" spans="1:4" x14ac:dyDescent="0.25">
      <c r="A63" s="427">
        <v>40381</v>
      </c>
      <c r="B63">
        <v>0</v>
      </c>
      <c r="D63">
        <v>6</v>
      </c>
    </row>
    <row r="64" spans="1:4" x14ac:dyDescent="0.25">
      <c r="A64" s="427">
        <v>40382</v>
      </c>
      <c r="B64">
        <v>0</v>
      </c>
      <c r="D64">
        <v>6</v>
      </c>
    </row>
    <row r="65" spans="1:5" x14ac:dyDescent="0.25">
      <c r="A65" s="427">
        <v>40383</v>
      </c>
      <c r="B65">
        <v>0</v>
      </c>
      <c r="D65">
        <v>6</v>
      </c>
    </row>
    <row r="66" spans="1:5" x14ac:dyDescent="0.25">
      <c r="A66" s="427">
        <v>40384</v>
      </c>
      <c r="B66">
        <v>0</v>
      </c>
      <c r="D66">
        <v>6</v>
      </c>
      <c r="E66" s="5">
        <v>28.635416666666668</v>
      </c>
    </row>
    <row r="67" spans="1:5" x14ac:dyDescent="0.25">
      <c r="A67" s="427">
        <v>40385</v>
      </c>
      <c r="B67">
        <v>1</v>
      </c>
      <c r="C67">
        <v>7.73</v>
      </c>
      <c r="D67">
        <v>6</v>
      </c>
      <c r="E67" s="5">
        <v>34.34375</v>
      </c>
    </row>
    <row r="68" spans="1:5" x14ac:dyDescent="0.25">
      <c r="A68" s="427">
        <v>40386</v>
      </c>
      <c r="B68">
        <v>1</v>
      </c>
      <c r="D68">
        <v>6</v>
      </c>
      <c r="E68" s="5">
        <v>28.989583333333332</v>
      </c>
    </row>
    <row r="69" spans="1:5" x14ac:dyDescent="0.25">
      <c r="A69" s="427">
        <v>40387</v>
      </c>
      <c r="B69">
        <v>1</v>
      </c>
      <c r="D69">
        <v>6</v>
      </c>
      <c r="E69" s="5">
        <v>21.197916666666668</v>
      </c>
    </row>
    <row r="70" spans="1:5" x14ac:dyDescent="0.25">
      <c r="A70" s="427">
        <v>40388</v>
      </c>
      <c r="B70">
        <v>1</v>
      </c>
      <c r="D70">
        <v>6</v>
      </c>
      <c r="E70" s="5">
        <v>18.833333333333332</v>
      </c>
    </row>
    <row r="71" spans="1:5" x14ac:dyDescent="0.25">
      <c r="A71" s="427">
        <v>40389</v>
      </c>
      <c r="B71">
        <v>1</v>
      </c>
      <c r="D71">
        <v>6</v>
      </c>
      <c r="E71" s="5">
        <v>14.947916666666666</v>
      </c>
    </row>
    <row r="72" spans="1:5" x14ac:dyDescent="0.25">
      <c r="A72" s="427">
        <v>40390</v>
      </c>
      <c r="B72">
        <v>1</v>
      </c>
      <c r="D72">
        <v>6</v>
      </c>
      <c r="E72" s="5">
        <v>14.239583333333334</v>
      </c>
    </row>
    <row r="73" spans="1:5" x14ac:dyDescent="0.25">
      <c r="A73" s="427">
        <v>40391</v>
      </c>
      <c r="B73">
        <v>1</v>
      </c>
      <c r="D73">
        <v>6</v>
      </c>
      <c r="E73" s="5">
        <v>13.197916666666666</v>
      </c>
    </row>
    <row r="74" spans="1:5" x14ac:dyDescent="0.25">
      <c r="A74" s="427">
        <v>40392</v>
      </c>
      <c r="B74">
        <v>1</v>
      </c>
      <c r="D74">
        <v>6</v>
      </c>
      <c r="E74" s="5">
        <v>13.604166666666666</v>
      </c>
    </row>
    <row r="75" spans="1:5" x14ac:dyDescent="0.25">
      <c r="A75" s="427">
        <v>40393</v>
      </c>
      <c r="B75">
        <v>1</v>
      </c>
      <c r="D75">
        <v>6</v>
      </c>
      <c r="E75" s="5">
        <v>11.177083333333337</v>
      </c>
    </row>
    <row r="76" spans="1:5" x14ac:dyDescent="0.25">
      <c r="A76" s="427">
        <v>40394</v>
      </c>
      <c r="B76">
        <v>1</v>
      </c>
      <c r="D76">
        <v>6</v>
      </c>
      <c r="E76" s="5">
        <v>10.95104166666666</v>
      </c>
    </row>
    <row r="77" spans="1:5" x14ac:dyDescent="0.25">
      <c r="A77" s="427">
        <v>40395</v>
      </c>
      <c r="B77">
        <v>1</v>
      </c>
      <c r="D77">
        <v>6</v>
      </c>
      <c r="E77" s="5">
        <v>10.675000000000002</v>
      </c>
    </row>
    <row r="78" spans="1:5" x14ac:dyDescent="0.25">
      <c r="A78" s="427">
        <v>40396</v>
      </c>
      <c r="B78">
        <v>1</v>
      </c>
      <c r="D78">
        <v>6</v>
      </c>
      <c r="E78" s="5">
        <v>11.105208333333332</v>
      </c>
    </row>
    <row r="79" spans="1:5" x14ac:dyDescent="0.25">
      <c r="A79" s="427">
        <v>40397</v>
      </c>
      <c r="B79">
        <v>1</v>
      </c>
      <c r="D79">
        <v>6</v>
      </c>
      <c r="E79" s="5">
        <v>13.65520833333334</v>
      </c>
    </row>
    <row r="80" spans="1:5" x14ac:dyDescent="0.25">
      <c r="A80" s="427">
        <v>40398</v>
      </c>
      <c r="B80">
        <v>1</v>
      </c>
      <c r="D80">
        <v>6</v>
      </c>
      <c r="E80" s="5">
        <v>26.53125</v>
      </c>
    </row>
    <row r="81" spans="1:5" x14ac:dyDescent="0.25">
      <c r="A81" s="427">
        <v>40399</v>
      </c>
      <c r="B81">
        <v>0</v>
      </c>
      <c r="C81">
        <v>5.56</v>
      </c>
      <c r="D81">
        <v>6</v>
      </c>
      <c r="E81" s="5">
        <v>39.802083333333336</v>
      </c>
    </row>
    <row r="82" spans="1:5" x14ac:dyDescent="0.25">
      <c r="A82" s="427">
        <v>40400</v>
      </c>
      <c r="B82">
        <v>0</v>
      </c>
      <c r="D82">
        <v>6</v>
      </c>
      <c r="E82" s="5">
        <v>34.708333333333336</v>
      </c>
    </row>
    <row r="83" spans="1:5" x14ac:dyDescent="0.25">
      <c r="A83" s="427">
        <v>40401</v>
      </c>
      <c r="B83">
        <v>0</v>
      </c>
      <c r="D83">
        <v>6</v>
      </c>
      <c r="E83" s="5">
        <v>26.708333333333332</v>
      </c>
    </row>
    <row r="84" spans="1:5" x14ac:dyDescent="0.25">
      <c r="A84" s="427">
        <v>40402</v>
      </c>
      <c r="B84">
        <v>0</v>
      </c>
      <c r="D84">
        <v>6</v>
      </c>
      <c r="E84" s="5">
        <v>40.510416666666664</v>
      </c>
    </row>
    <row r="85" spans="1:5" x14ac:dyDescent="0.25">
      <c r="A85" s="427">
        <v>40403</v>
      </c>
      <c r="B85">
        <v>0</v>
      </c>
      <c r="D85">
        <v>6</v>
      </c>
      <c r="E85" s="5">
        <v>34.59375</v>
      </c>
    </row>
    <row r="86" spans="1:5" x14ac:dyDescent="0.25">
      <c r="A86" s="427">
        <v>40404</v>
      </c>
      <c r="B86">
        <v>0</v>
      </c>
      <c r="D86">
        <v>6</v>
      </c>
      <c r="E86" s="5">
        <v>28.3125</v>
      </c>
    </row>
    <row r="87" spans="1:5" x14ac:dyDescent="0.25">
      <c r="A87" s="427">
        <v>40405</v>
      </c>
      <c r="B87">
        <v>0</v>
      </c>
      <c r="D87">
        <v>6</v>
      </c>
      <c r="E87" s="5">
        <v>25.166666666666668</v>
      </c>
    </row>
    <row r="88" spans="1:5" x14ac:dyDescent="0.25">
      <c r="A88" s="427">
        <v>40406</v>
      </c>
      <c r="B88">
        <v>0</v>
      </c>
      <c r="D88">
        <v>6</v>
      </c>
      <c r="E88" s="5">
        <v>16.947916666666668</v>
      </c>
    </row>
    <row r="89" spans="1:5" x14ac:dyDescent="0.25">
      <c r="A89" s="427">
        <v>40407</v>
      </c>
      <c r="B89">
        <v>0</v>
      </c>
      <c r="D89">
        <v>6</v>
      </c>
      <c r="E89" s="5">
        <v>14.760416666666666</v>
      </c>
    </row>
    <row r="90" spans="1:5" x14ac:dyDescent="0.25">
      <c r="A90" s="427">
        <v>40408</v>
      </c>
      <c r="B90">
        <v>0</v>
      </c>
      <c r="D90">
        <v>6</v>
      </c>
      <c r="E90" s="5">
        <v>12.697916666666666</v>
      </c>
    </row>
    <row r="91" spans="1:5" x14ac:dyDescent="0.25">
      <c r="A91" s="427">
        <v>40409</v>
      </c>
      <c r="B91">
        <v>0</v>
      </c>
      <c r="D91">
        <v>6</v>
      </c>
      <c r="E91" s="5">
        <v>13.458333333333334</v>
      </c>
    </row>
    <row r="92" spans="1:5" x14ac:dyDescent="0.25">
      <c r="A92" s="427">
        <v>40410</v>
      </c>
      <c r="B92">
        <v>0</v>
      </c>
      <c r="D92">
        <v>6</v>
      </c>
      <c r="E92" s="5">
        <v>12.135416666666666</v>
      </c>
    </row>
    <row r="93" spans="1:5" x14ac:dyDescent="0.25">
      <c r="A93" s="427">
        <v>40411</v>
      </c>
      <c r="B93">
        <v>0</v>
      </c>
      <c r="D93">
        <v>6</v>
      </c>
      <c r="E93" s="5">
        <v>9.3708333333333336</v>
      </c>
    </row>
    <row r="94" spans="1:5" x14ac:dyDescent="0.25">
      <c r="A94" s="427">
        <v>40412</v>
      </c>
      <c r="B94">
        <v>0</v>
      </c>
      <c r="D94">
        <v>6</v>
      </c>
      <c r="E94" s="5">
        <v>7.0750000000000091</v>
      </c>
    </row>
    <row r="95" spans="1:5" x14ac:dyDescent="0.25">
      <c r="A95" s="427">
        <v>40413</v>
      </c>
      <c r="B95">
        <v>0</v>
      </c>
      <c r="C95">
        <v>7.31</v>
      </c>
      <c r="D95">
        <v>6</v>
      </c>
      <c r="E95" s="5">
        <v>8.4375000000000036</v>
      </c>
    </row>
    <row r="96" spans="1:5" x14ac:dyDescent="0.25">
      <c r="A96" s="427">
        <v>40414</v>
      </c>
      <c r="B96">
        <v>0</v>
      </c>
      <c r="D96">
        <v>6</v>
      </c>
      <c r="E96" s="5">
        <v>7.6052083333333398</v>
      </c>
    </row>
    <row r="97" spans="1:5" x14ac:dyDescent="0.25">
      <c r="A97" s="427">
        <v>40415</v>
      </c>
      <c r="B97">
        <v>0</v>
      </c>
      <c r="D97">
        <v>6</v>
      </c>
      <c r="E97" s="5">
        <v>7.0218750000000023</v>
      </c>
    </row>
    <row r="98" spans="1:5" x14ac:dyDescent="0.25">
      <c r="A98" s="427">
        <v>40416</v>
      </c>
      <c r="B98">
        <v>1</v>
      </c>
      <c r="C98">
        <v>7.9</v>
      </c>
      <c r="D98">
        <v>6</v>
      </c>
      <c r="E98" s="5">
        <v>6.6281250000000034</v>
      </c>
    </row>
    <row r="99" spans="1:5" x14ac:dyDescent="0.25">
      <c r="A99" s="427">
        <v>40417</v>
      </c>
      <c r="B99">
        <v>1</v>
      </c>
      <c r="D99">
        <v>6</v>
      </c>
      <c r="E99" s="5">
        <v>7.1624999999999979</v>
      </c>
    </row>
    <row r="100" spans="1:5" x14ac:dyDescent="0.25">
      <c r="A100" s="427">
        <v>40418</v>
      </c>
      <c r="B100">
        <v>1</v>
      </c>
      <c r="D100">
        <v>6</v>
      </c>
      <c r="E100" s="5">
        <v>8.3656250000000032</v>
      </c>
    </row>
    <row r="101" spans="1:5" x14ac:dyDescent="0.25">
      <c r="A101" s="427">
        <v>40419</v>
      </c>
      <c r="B101">
        <v>1</v>
      </c>
      <c r="D101">
        <v>6</v>
      </c>
      <c r="E101" s="5">
        <v>8.3531249999999968</v>
      </c>
    </row>
    <row r="102" spans="1:5" x14ac:dyDescent="0.25">
      <c r="A102" s="427">
        <v>40420</v>
      </c>
      <c r="B102">
        <v>1</v>
      </c>
      <c r="D102">
        <v>6</v>
      </c>
      <c r="E102" s="5">
        <v>6.5937500000000027</v>
      </c>
    </row>
    <row r="103" spans="1:5" x14ac:dyDescent="0.25">
      <c r="A103" s="427">
        <v>40421</v>
      </c>
      <c r="B103">
        <v>1</v>
      </c>
      <c r="D103">
        <v>6</v>
      </c>
      <c r="E103" s="5">
        <v>10.765624999999998</v>
      </c>
    </row>
    <row r="104" spans="1:5" x14ac:dyDescent="0.25">
      <c r="A104" s="427">
        <v>40422</v>
      </c>
      <c r="B104">
        <v>1</v>
      </c>
      <c r="D104">
        <v>6</v>
      </c>
      <c r="E104" s="5">
        <v>10.123958333333334</v>
      </c>
    </row>
    <row r="105" spans="1:5" x14ac:dyDescent="0.25">
      <c r="A105" s="427">
        <v>40423</v>
      </c>
      <c r="B105">
        <v>1</v>
      </c>
      <c r="D105">
        <v>6</v>
      </c>
      <c r="E105" s="5">
        <v>6.2416666666666769</v>
      </c>
    </row>
    <row r="106" spans="1:5" x14ac:dyDescent="0.25">
      <c r="A106" s="427">
        <v>40424</v>
      </c>
      <c r="B106">
        <v>1</v>
      </c>
      <c r="D106">
        <v>6</v>
      </c>
      <c r="E106" s="5">
        <v>6.5822916666666664</v>
      </c>
    </row>
    <row r="107" spans="1:5" x14ac:dyDescent="0.25">
      <c r="A107" s="427">
        <v>40425</v>
      </c>
      <c r="B107">
        <v>1</v>
      </c>
      <c r="D107">
        <v>6</v>
      </c>
      <c r="E107" s="5">
        <v>6.387500000000002</v>
      </c>
    </row>
    <row r="108" spans="1:5" x14ac:dyDescent="0.25">
      <c r="A108" s="427">
        <v>40426</v>
      </c>
      <c r="B108">
        <v>1</v>
      </c>
      <c r="D108">
        <v>6</v>
      </c>
      <c r="E108" s="5">
        <v>5.9802083333333407</v>
      </c>
    </row>
    <row r="109" spans="1:5" x14ac:dyDescent="0.25">
      <c r="A109" s="427">
        <v>40427</v>
      </c>
      <c r="B109">
        <v>1</v>
      </c>
      <c r="D109">
        <v>6</v>
      </c>
      <c r="E109" s="5">
        <v>5.6000000000000094</v>
      </c>
    </row>
    <row r="110" spans="1:5" x14ac:dyDescent="0.25">
      <c r="A110" s="427">
        <v>40428</v>
      </c>
      <c r="B110">
        <v>0</v>
      </c>
      <c r="C110">
        <v>8.65</v>
      </c>
      <c r="D110">
        <v>6</v>
      </c>
      <c r="E110" s="5">
        <v>5.6520833333333416</v>
      </c>
    </row>
    <row r="111" spans="1:5" x14ac:dyDescent="0.25">
      <c r="A111" s="427">
        <v>40429</v>
      </c>
      <c r="B111">
        <v>0</v>
      </c>
      <c r="D111">
        <v>6</v>
      </c>
      <c r="E111" s="5">
        <v>7.728125000000003</v>
      </c>
    </row>
    <row r="112" spans="1:5" x14ac:dyDescent="0.25">
      <c r="A112" s="427">
        <v>40430</v>
      </c>
      <c r="B112">
        <v>0</v>
      </c>
      <c r="D112">
        <v>6</v>
      </c>
      <c r="E112" s="5">
        <v>7.0062499999999979</v>
      </c>
    </row>
    <row r="113" spans="1:5" x14ac:dyDescent="0.25">
      <c r="A113" s="427">
        <v>40431</v>
      </c>
      <c r="B113">
        <v>0</v>
      </c>
      <c r="D113">
        <v>6</v>
      </c>
      <c r="E113" s="5">
        <v>5.6333333333333435</v>
      </c>
    </row>
    <row r="114" spans="1:5" x14ac:dyDescent="0.25">
      <c r="A114" s="427">
        <v>40432</v>
      </c>
      <c r="B114">
        <v>0</v>
      </c>
      <c r="D114">
        <v>6</v>
      </c>
      <c r="E114" s="5">
        <v>5.6000000000000094</v>
      </c>
    </row>
    <row r="115" spans="1:5" x14ac:dyDescent="0.25">
      <c r="A115" s="427">
        <v>40433</v>
      </c>
      <c r="B115">
        <v>0</v>
      </c>
      <c r="D115">
        <v>6</v>
      </c>
      <c r="E115" s="5">
        <v>5.6000000000000094</v>
      </c>
    </row>
    <row r="116" spans="1:5" x14ac:dyDescent="0.25">
      <c r="A116" s="427">
        <v>40434</v>
      </c>
      <c r="B116">
        <v>0</v>
      </c>
      <c r="D116">
        <v>6</v>
      </c>
      <c r="E116" s="5">
        <v>6.0968750000000016</v>
      </c>
    </row>
    <row r="117" spans="1:5" x14ac:dyDescent="0.25">
      <c r="A117" s="427">
        <v>40435</v>
      </c>
      <c r="B117">
        <v>0</v>
      </c>
      <c r="D117">
        <v>6</v>
      </c>
      <c r="E117" s="5">
        <v>5.6500000000000101</v>
      </c>
    </row>
    <row r="118" spans="1:5" x14ac:dyDescent="0.25">
      <c r="A118" s="427">
        <v>40436</v>
      </c>
      <c r="B118">
        <v>0</v>
      </c>
      <c r="D118">
        <v>6</v>
      </c>
      <c r="E118" s="5">
        <v>5.3187500000000076</v>
      </c>
    </row>
    <row r="119" spans="1:5" x14ac:dyDescent="0.25">
      <c r="A119" s="427">
        <v>40437</v>
      </c>
      <c r="B119">
        <v>0</v>
      </c>
      <c r="D119">
        <v>6</v>
      </c>
      <c r="E119" s="5">
        <v>5.3000000000000078</v>
      </c>
    </row>
    <row r="120" spans="1:5" x14ac:dyDescent="0.25">
      <c r="A120" s="427">
        <v>40438</v>
      </c>
      <c r="B120">
        <v>0</v>
      </c>
      <c r="D120">
        <v>6</v>
      </c>
      <c r="E120" s="5">
        <v>5.3000000000000078</v>
      </c>
    </row>
    <row r="121" spans="1:5" x14ac:dyDescent="0.25">
      <c r="A121" s="427">
        <v>40439</v>
      </c>
      <c r="B121">
        <v>0</v>
      </c>
      <c r="D121">
        <v>6</v>
      </c>
      <c r="E121" s="5">
        <v>5.3000000000000078</v>
      </c>
    </row>
    <row r="122" spans="1:5" x14ac:dyDescent="0.25">
      <c r="A122" s="427">
        <v>40440</v>
      </c>
      <c r="B122">
        <v>0</v>
      </c>
      <c r="D122">
        <v>6</v>
      </c>
      <c r="E122" s="5">
        <v>5.3000000000000078</v>
      </c>
    </row>
    <row r="123" spans="1:5" x14ac:dyDescent="0.25">
      <c r="A123" s="427">
        <v>40441</v>
      </c>
      <c r="B123">
        <v>0</v>
      </c>
      <c r="D123">
        <v>6</v>
      </c>
      <c r="E123" s="5">
        <v>5.6812500000000021</v>
      </c>
    </row>
    <row r="124" spans="1:5" x14ac:dyDescent="0.25">
      <c r="A124" s="427">
        <v>40442</v>
      </c>
      <c r="B124">
        <v>0</v>
      </c>
      <c r="D124">
        <v>6</v>
      </c>
      <c r="E124" s="5">
        <v>6.4083333333333448</v>
      </c>
    </row>
    <row r="125" spans="1:5" x14ac:dyDescent="0.25">
      <c r="A125" s="427">
        <v>40443</v>
      </c>
      <c r="B125">
        <v>0</v>
      </c>
      <c r="D125">
        <v>6</v>
      </c>
      <c r="E125" s="5">
        <v>6.4312500000000021</v>
      </c>
    </row>
    <row r="126" spans="1:5" x14ac:dyDescent="0.25">
      <c r="A126" s="427">
        <v>40444</v>
      </c>
      <c r="B126">
        <v>0</v>
      </c>
      <c r="D126">
        <v>6</v>
      </c>
    </row>
    <row r="127" spans="1:5" x14ac:dyDescent="0.25">
      <c r="A127" s="427">
        <v>40445</v>
      </c>
      <c r="B127">
        <v>0</v>
      </c>
      <c r="D127">
        <v>6</v>
      </c>
    </row>
    <row r="128" spans="1:5" x14ac:dyDescent="0.25">
      <c r="A128" s="427">
        <v>40446</v>
      </c>
      <c r="B128">
        <v>0</v>
      </c>
      <c r="D128">
        <v>6</v>
      </c>
    </row>
    <row r="129" spans="1:4" x14ac:dyDescent="0.25">
      <c r="A129" s="427">
        <v>40447</v>
      </c>
      <c r="B129">
        <v>0</v>
      </c>
      <c r="D129">
        <v>6</v>
      </c>
    </row>
    <row r="130" spans="1:4" x14ac:dyDescent="0.25">
      <c r="A130" s="427">
        <v>40448</v>
      </c>
      <c r="B130">
        <v>0</v>
      </c>
      <c r="C130">
        <v>6.99</v>
      </c>
      <c r="D130">
        <v>6</v>
      </c>
    </row>
    <row r="131" spans="1:4" x14ac:dyDescent="0.25">
      <c r="A131" s="427">
        <v>40449</v>
      </c>
      <c r="B131">
        <v>0</v>
      </c>
      <c r="D131">
        <v>6</v>
      </c>
    </row>
    <row r="132" spans="1:4" x14ac:dyDescent="0.25">
      <c r="A132" s="427">
        <v>40450</v>
      </c>
      <c r="B132">
        <v>0</v>
      </c>
      <c r="D132">
        <v>6</v>
      </c>
    </row>
    <row r="133" spans="1:4" x14ac:dyDescent="0.25">
      <c r="A133" s="427">
        <v>40451</v>
      </c>
      <c r="B133">
        <v>0</v>
      </c>
      <c r="D133">
        <v>6</v>
      </c>
    </row>
    <row r="134" spans="1:4" x14ac:dyDescent="0.25">
      <c r="A134" s="427">
        <v>40452</v>
      </c>
      <c r="B134">
        <v>0</v>
      </c>
      <c r="D134">
        <v>6</v>
      </c>
    </row>
    <row r="135" spans="1:4" x14ac:dyDescent="0.25">
      <c r="A135" s="427">
        <v>40453</v>
      </c>
      <c r="B135">
        <v>0</v>
      </c>
      <c r="D135">
        <v>6</v>
      </c>
    </row>
    <row r="136" spans="1:4" x14ac:dyDescent="0.25">
      <c r="A136" s="427">
        <v>40454</v>
      </c>
      <c r="B136">
        <v>0</v>
      </c>
      <c r="D136">
        <v>6</v>
      </c>
    </row>
    <row r="137" spans="1:4" x14ac:dyDescent="0.25">
      <c r="A137" s="427">
        <v>40455</v>
      </c>
      <c r="B137">
        <v>0</v>
      </c>
      <c r="D137">
        <v>6</v>
      </c>
    </row>
    <row r="138" spans="1:4" x14ac:dyDescent="0.25">
      <c r="A138" s="427">
        <v>40456</v>
      </c>
      <c r="B138">
        <v>0</v>
      </c>
      <c r="D138">
        <v>6</v>
      </c>
    </row>
    <row r="139" spans="1:4" x14ac:dyDescent="0.25">
      <c r="A139" s="427">
        <v>40457</v>
      </c>
      <c r="B139">
        <v>0</v>
      </c>
      <c r="D139">
        <v>6</v>
      </c>
    </row>
    <row r="140" spans="1:4" x14ac:dyDescent="0.25">
      <c r="A140" s="427">
        <v>40458</v>
      </c>
      <c r="B140">
        <v>0</v>
      </c>
      <c r="D140">
        <v>6</v>
      </c>
    </row>
    <row r="141" spans="1:4" x14ac:dyDescent="0.25">
      <c r="A141" s="427">
        <v>40459</v>
      </c>
      <c r="B141">
        <v>0</v>
      </c>
      <c r="D141">
        <v>6</v>
      </c>
    </row>
    <row r="142" spans="1:4" x14ac:dyDescent="0.25">
      <c r="A142" s="427">
        <v>40460</v>
      </c>
      <c r="B142">
        <v>0</v>
      </c>
      <c r="D142">
        <v>6</v>
      </c>
    </row>
    <row r="143" spans="1:4" x14ac:dyDescent="0.25">
      <c r="A143" s="427">
        <v>40461</v>
      </c>
      <c r="B143">
        <v>0</v>
      </c>
      <c r="D143">
        <v>6</v>
      </c>
    </row>
    <row r="144" spans="1:4" x14ac:dyDescent="0.25">
      <c r="A144" s="427">
        <v>40462</v>
      </c>
      <c r="B144">
        <v>0</v>
      </c>
      <c r="D144">
        <v>6</v>
      </c>
    </row>
    <row r="145" spans="1:4" x14ac:dyDescent="0.25">
      <c r="A145" s="427">
        <v>40463</v>
      </c>
      <c r="B145">
        <v>0</v>
      </c>
      <c r="D145">
        <v>6</v>
      </c>
    </row>
    <row r="146" spans="1:4" x14ac:dyDescent="0.25">
      <c r="A146" s="427">
        <v>40464</v>
      </c>
      <c r="B146">
        <v>0</v>
      </c>
      <c r="D146">
        <v>6</v>
      </c>
    </row>
    <row r="147" spans="1:4" x14ac:dyDescent="0.25">
      <c r="A147" s="427">
        <v>40465</v>
      </c>
      <c r="B147">
        <v>0</v>
      </c>
      <c r="D147">
        <v>6</v>
      </c>
    </row>
    <row r="148" spans="1:4" x14ac:dyDescent="0.25">
      <c r="A148" s="427">
        <v>40466</v>
      </c>
      <c r="B148">
        <v>0</v>
      </c>
      <c r="D148">
        <v>6</v>
      </c>
    </row>
    <row r="149" spans="1:4" x14ac:dyDescent="0.25">
      <c r="A149" s="427">
        <v>40467</v>
      </c>
      <c r="B149">
        <v>0</v>
      </c>
      <c r="D149">
        <v>6</v>
      </c>
    </row>
    <row r="150" spans="1:4" x14ac:dyDescent="0.25">
      <c r="A150" s="427">
        <v>40468</v>
      </c>
      <c r="B150">
        <v>0</v>
      </c>
      <c r="D150">
        <v>6</v>
      </c>
    </row>
    <row r="151" spans="1:4" x14ac:dyDescent="0.25">
      <c r="A151" s="427">
        <v>40469</v>
      </c>
      <c r="B151">
        <v>0</v>
      </c>
      <c r="D151">
        <v>6</v>
      </c>
    </row>
    <row r="152" spans="1:4" x14ac:dyDescent="0.25">
      <c r="A152" s="427">
        <v>40470</v>
      </c>
      <c r="B152">
        <v>0</v>
      </c>
      <c r="D152">
        <v>6</v>
      </c>
    </row>
    <row r="153" spans="1:4" x14ac:dyDescent="0.25">
      <c r="A153" s="427">
        <v>40471</v>
      </c>
      <c r="B153">
        <v>0</v>
      </c>
      <c r="D153">
        <v>6</v>
      </c>
    </row>
    <row r="154" spans="1:4" x14ac:dyDescent="0.25">
      <c r="A154" s="427">
        <v>40472</v>
      </c>
      <c r="B154">
        <v>0</v>
      </c>
      <c r="D154">
        <v>6</v>
      </c>
    </row>
    <row r="155" spans="1:4" x14ac:dyDescent="0.25">
      <c r="A155" s="427">
        <v>40473</v>
      </c>
      <c r="B155">
        <v>0</v>
      </c>
      <c r="D155">
        <v>6</v>
      </c>
    </row>
    <row r="156" spans="1:4" x14ac:dyDescent="0.25">
      <c r="A156" s="427">
        <v>40474</v>
      </c>
      <c r="B156">
        <v>0</v>
      </c>
      <c r="D156">
        <v>6</v>
      </c>
    </row>
    <row r="157" spans="1:4" x14ac:dyDescent="0.25">
      <c r="A157" s="427">
        <v>40475</v>
      </c>
      <c r="B157">
        <v>0</v>
      </c>
      <c r="D157">
        <v>6</v>
      </c>
    </row>
    <row r="158" spans="1:4" x14ac:dyDescent="0.25">
      <c r="A158" s="427">
        <v>40476</v>
      </c>
      <c r="B158">
        <v>0</v>
      </c>
      <c r="C158">
        <v>8.48</v>
      </c>
      <c r="D158">
        <v>6</v>
      </c>
    </row>
    <row r="159" spans="1:4" x14ac:dyDescent="0.25">
      <c r="A159" s="427"/>
    </row>
    <row r="160" spans="1:4" x14ac:dyDescent="0.25">
      <c r="A160" s="427"/>
    </row>
    <row r="161" spans="1:1" x14ac:dyDescent="0.25">
      <c r="A161" s="427"/>
    </row>
    <row r="162" spans="1:1" x14ac:dyDescent="0.25">
      <c r="A162" s="427"/>
    </row>
    <row r="163" spans="1:1" x14ac:dyDescent="0.25">
      <c r="A163" s="427"/>
    </row>
    <row r="164" spans="1:1" x14ac:dyDescent="0.25">
      <c r="A164" s="427"/>
    </row>
    <row r="165" spans="1:1" x14ac:dyDescent="0.25">
      <c r="A165" s="427"/>
    </row>
    <row r="166" spans="1:1" x14ac:dyDescent="0.25">
      <c r="A166" s="427"/>
    </row>
    <row r="167" spans="1:1" x14ac:dyDescent="0.25">
      <c r="A167" s="427"/>
    </row>
    <row r="168" spans="1:1" x14ac:dyDescent="0.25">
      <c r="A168" s="427"/>
    </row>
    <row r="169" spans="1:1" x14ac:dyDescent="0.25">
      <c r="A169" s="427"/>
    </row>
    <row r="170" spans="1:1" x14ac:dyDescent="0.25">
      <c r="A170" s="427"/>
    </row>
    <row r="171" spans="1:1" x14ac:dyDescent="0.25">
      <c r="A171" s="427"/>
    </row>
    <row r="172" spans="1:1" x14ac:dyDescent="0.25">
      <c r="A172" s="427"/>
    </row>
    <row r="173" spans="1:1" x14ac:dyDescent="0.25">
      <c r="A173" s="427"/>
    </row>
    <row r="174" spans="1:1" x14ac:dyDescent="0.25">
      <c r="A174" s="427"/>
    </row>
    <row r="175" spans="1:1" x14ac:dyDescent="0.25">
      <c r="A175" s="427"/>
    </row>
    <row r="176" spans="1:1" x14ac:dyDescent="0.25">
      <c r="A176" s="427"/>
    </row>
    <row r="177" spans="1:1" x14ac:dyDescent="0.25">
      <c r="A177" s="427"/>
    </row>
    <row r="178" spans="1:1" x14ac:dyDescent="0.25">
      <c r="A178" s="427"/>
    </row>
  </sheetData>
  <mergeCells count="1">
    <mergeCell ref="A1:C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40"/>
  <sheetViews>
    <sheetView topLeftCell="G1" workbookViewId="0">
      <selection activeCell="S23" sqref="S23"/>
    </sheetView>
  </sheetViews>
  <sheetFormatPr defaultRowHeight="12.5" x14ac:dyDescent="0.25"/>
  <cols>
    <col min="1" max="1" width="20.36328125" style="21" bestFit="1" customWidth="1"/>
    <col min="2" max="2" width="5.453125" style="24" customWidth="1"/>
    <col min="3" max="3" width="7.54296875" style="24" customWidth="1"/>
    <col min="5" max="5" width="18.6328125" bestFit="1" customWidth="1"/>
  </cols>
  <sheetData>
    <row r="1" spans="1:24" ht="15.5" x14ac:dyDescent="0.35">
      <c r="A1" s="812" t="s">
        <v>63</v>
      </c>
      <c r="B1" s="812"/>
      <c r="C1" s="812"/>
      <c r="D1" s="812"/>
      <c r="E1" s="812"/>
      <c r="F1" s="812"/>
      <c r="G1" s="812"/>
    </row>
    <row r="2" spans="1:24" ht="13" x14ac:dyDescent="0.3">
      <c r="A2" s="1" t="s">
        <v>23</v>
      </c>
      <c r="B2" s="667" t="s">
        <v>62</v>
      </c>
      <c r="C2" s="667" t="s">
        <v>29</v>
      </c>
      <c r="D2" s="1"/>
      <c r="E2" s="1"/>
      <c r="F2" s="667" t="s">
        <v>62</v>
      </c>
      <c r="G2" s="667" t="s">
        <v>29</v>
      </c>
      <c r="T2" t="s">
        <v>106</v>
      </c>
      <c r="U2" t="s">
        <v>95</v>
      </c>
      <c r="V2" t="s">
        <v>124</v>
      </c>
      <c r="W2" t="s">
        <v>140</v>
      </c>
      <c r="X2" t="s">
        <v>141</v>
      </c>
    </row>
    <row r="3" spans="1:24" ht="13" x14ac:dyDescent="0.3">
      <c r="A3" s="19" t="s">
        <v>32</v>
      </c>
      <c r="B3" s="490">
        <v>1990</v>
      </c>
      <c r="C3" s="20">
        <v>773</v>
      </c>
      <c r="E3" s="82" t="s">
        <v>36</v>
      </c>
      <c r="F3" s="490">
        <v>1991</v>
      </c>
      <c r="G3" s="20">
        <v>442</v>
      </c>
      <c r="T3" s="5">
        <v>569.4</v>
      </c>
      <c r="U3" s="5">
        <v>1208</v>
      </c>
      <c r="V3" s="5">
        <v>600.16666666666663</v>
      </c>
      <c r="W3" s="5">
        <v>254.43333333333334</v>
      </c>
      <c r="X3" s="5">
        <v>111.83333333333333</v>
      </c>
    </row>
    <row r="4" spans="1:24" ht="13" x14ac:dyDescent="0.3">
      <c r="B4" s="490">
        <v>1991</v>
      </c>
      <c r="C4" s="20">
        <v>1078</v>
      </c>
      <c r="E4" s="21"/>
      <c r="F4" s="490">
        <v>1992</v>
      </c>
      <c r="G4" s="20">
        <v>288</v>
      </c>
      <c r="T4" s="5">
        <v>1296.4000000000001</v>
      </c>
      <c r="U4" s="5">
        <v>7833</v>
      </c>
      <c r="V4" s="5">
        <v>703.83333333333337</v>
      </c>
      <c r="W4" s="5"/>
      <c r="X4" s="5"/>
    </row>
    <row r="5" spans="1:24" ht="13" x14ac:dyDescent="0.3">
      <c r="B5" s="490">
        <v>1992</v>
      </c>
      <c r="C5" s="20">
        <v>931</v>
      </c>
      <c r="E5" s="21"/>
      <c r="F5" s="491">
        <v>1993</v>
      </c>
      <c r="G5" s="22">
        <v>504</v>
      </c>
      <c r="T5" s="5">
        <v>277.73333333333335</v>
      </c>
      <c r="U5" s="5">
        <v>973</v>
      </c>
      <c r="V5" s="5">
        <v>111.16666666666667</v>
      </c>
      <c r="W5" s="5"/>
      <c r="X5" s="5"/>
    </row>
    <row r="6" spans="1:24" x14ac:dyDescent="0.25">
      <c r="B6" s="491">
        <v>1993</v>
      </c>
      <c r="C6" s="22">
        <v>1253</v>
      </c>
      <c r="E6" s="21"/>
      <c r="F6" s="491">
        <v>1994</v>
      </c>
      <c r="G6" s="22">
        <v>382</v>
      </c>
      <c r="T6" s="5">
        <v>287.06666666666666</v>
      </c>
      <c r="U6" s="5">
        <v>1019</v>
      </c>
      <c r="V6" s="5">
        <v>111.66666666666667</v>
      </c>
      <c r="W6" s="5"/>
      <c r="X6" s="5"/>
    </row>
    <row r="7" spans="1:24" x14ac:dyDescent="0.25">
      <c r="B7" s="491">
        <v>1994</v>
      </c>
      <c r="C7" s="22">
        <v>1472</v>
      </c>
      <c r="E7" s="21"/>
      <c r="F7" s="492">
        <v>1995</v>
      </c>
      <c r="G7" s="22">
        <v>474</v>
      </c>
      <c r="T7" s="5">
        <v>221.8</v>
      </c>
      <c r="U7" s="5">
        <v>547</v>
      </c>
      <c r="V7" s="5">
        <v>112</v>
      </c>
      <c r="W7" s="5"/>
      <c r="X7" s="5"/>
    </row>
    <row r="8" spans="1:24" x14ac:dyDescent="0.25">
      <c r="B8" s="492">
        <v>1995</v>
      </c>
      <c r="C8" s="22">
        <v>1932</v>
      </c>
      <c r="E8" s="21"/>
      <c r="F8" s="492">
        <v>1996</v>
      </c>
      <c r="G8" s="23">
        <v>577.75</v>
      </c>
    </row>
    <row r="9" spans="1:24" x14ac:dyDescent="0.25">
      <c r="B9" s="492">
        <v>1996</v>
      </c>
      <c r="C9" s="23">
        <v>1367.4375</v>
      </c>
      <c r="E9" s="21"/>
      <c r="F9" s="492">
        <v>1997</v>
      </c>
      <c r="G9" s="22">
        <v>392.83071428571424</v>
      </c>
    </row>
    <row r="10" spans="1:24" x14ac:dyDescent="0.25">
      <c r="B10" s="492">
        <v>1997</v>
      </c>
      <c r="C10" s="22">
        <v>798.58375000000012</v>
      </c>
      <c r="E10" s="21"/>
      <c r="F10" s="492">
        <v>1998</v>
      </c>
      <c r="G10" s="22">
        <v>388</v>
      </c>
    </row>
    <row r="11" spans="1:24" x14ac:dyDescent="0.25">
      <c r="B11" s="492">
        <v>1998</v>
      </c>
      <c r="C11" s="22">
        <v>525</v>
      </c>
      <c r="E11" s="21"/>
      <c r="F11" s="492">
        <v>1999</v>
      </c>
      <c r="G11" s="22">
        <v>224</v>
      </c>
    </row>
    <row r="12" spans="1:24" x14ac:dyDescent="0.25">
      <c r="B12" s="492">
        <v>1999</v>
      </c>
      <c r="C12" s="22">
        <v>521</v>
      </c>
      <c r="E12" s="21"/>
      <c r="F12" s="492">
        <v>2000</v>
      </c>
      <c r="G12" s="22">
        <v>431</v>
      </c>
    </row>
    <row r="13" spans="1:24" x14ac:dyDescent="0.25">
      <c r="B13" s="492">
        <v>2000</v>
      </c>
      <c r="C13" s="22">
        <v>1483</v>
      </c>
      <c r="E13" s="21"/>
      <c r="F13" s="492">
        <v>2001</v>
      </c>
      <c r="G13" s="22">
        <v>401</v>
      </c>
    </row>
    <row r="14" spans="1:24" x14ac:dyDescent="0.25">
      <c r="B14" s="492">
        <v>2001</v>
      </c>
      <c r="C14" s="22">
        <v>974</v>
      </c>
      <c r="E14" s="21"/>
      <c r="F14" s="492">
        <v>2002</v>
      </c>
      <c r="G14" s="22">
        <v>289</v>
      </c>
    </row>
    <row r="15" spans="1:24" x14ac:dyDescent="0.25">
      <c r="B15" s="492">
        <v>2002</v>
      </c>
      <c r="C15" s="22">
        <v>4314</v>
      </c>
      <c r="F15" s="492">
        <v>2003</v>
      </c>
      <c r="G15" s="22">
        <v>268</v>
      </c>
    </row>
    <row r="16" spans="1:24" ht="13" x14ac:dyDescent="0.3">
      <c r="B16" s="492">
        <v>2003</v>
      </c>
      <c r="C16" s="24">
        <v>1757</v>
      </c>
      <c r="F16" s="493">
        <v>2004</v>
      </c>
      <c r="G16" s="22">
        <v>268</v>
      </c>
    </row>
    <row r="17" spans="1:7" x14ac:dyDescent="0.25">
      <c r="B17" s="492">
        <v>2004</v>
      </c>
      <c r="C17" s="24">
        <v>444</v>
      </c>
      <c r="F17" s="492">
        <v>2005</v>
      </c>
      <c r="G17" s="22">
        <v>186</v>
      </c>
    </row>
    <row r="18" spans="1:7" x14ac:dyDescent="0.25">
      <c r="B18" s="492">
        <v>2005</v>
      </c>
      <c r="C18" s="24">
        <v>1100</v>
      </c>
      <c r="F18" s="492">
        <v>2006</v>
      </c>
      <c r="G18" s="22">
        <v>158</v>
      </c>
    </row>
    <row r="19" spans="1:7" x14ac:dyDescent="0.25">
      <c r="B19" s="492">
        <v>2006</v>
      </c>
      <c r="C19" s="24">
        <v>1570</v>
      </c>
      <c r="F19" s="492">
        <v>2007</v>
      </c>
      <c r="G19" s="22">
        <v>222</v>
      </c>
    </row>
    <row r="20" spans="1:7" x14ac:dyDescent="0.25">
      <c r="B20" s="492">
        <v>2007</v>
      </c>
      <c r="C20" s="24">
        <v>747</v>
      </c>
      <c r="F20" s="492">
        <v>2008</v>
      </c>
      <c r="G20" s="22">
        <v>233</v>
      </c>
    </row>
    <row r="21" spans="1:7" x14ac:dyDescent="0.25">
      <c r="B21" s="492">
        <v>2008</v>
      </c>
      <c r="C21" s="24">
        <v>1093</v>
      </c>
      <c r="F21" s="492">
        <v>2009</v>
      </c>
      <c r="G21" s="22">
        <v>291</v>
      </c>
    </row>
    <row r="22" spans="1:7" x14ac:dyDescent="0.25">
      <c r="B22" s="492">
        <v>2009</v>
      </c>
      <c r="C22" s="24">
        <v>322</v>
      </c>
      <c r="F22" s="492">
        <v>2010</v>
      </c>
      <c r="G22" s="22">
        <v>287</v>
      </c>
    </row>
    <row r="23" spans="1:7" x14ac:dyDescent="0.25">
      <c r="B23" s="492">
        <v>2010</v>
      </c>
      <c r="C23" s="24">
        <v>1296</v>
      </c>
      <c r="F23" s="492"/>
    </row>
    <row r="24" spans="1:7" x14ac:dyDescent="0.25">
      <c r="B24" s="492"/>
      <c r="F24" s="492"/>
    </row>
    <row r="25" spans="1:7" ht="13" x14ac:dyDescent="0.3">
      <c r="A25" s="19" t="s">
        <v>34</v>
      </c>
      <c r="B25" s="490">
        <v>1992</v>
      </c>
      <c r="C25" s="20">
        <v>423</v>
      </c>
      <c r="E25" s="82" t="s">
        <v>37</v>
      </c>
      <c r="F25" s="490">
        <v>1991</v>
      </c>
      <c r="G25" s="20">
        <v>381</v>
      </c>
    </row>
    <row r="26" spans="1:7" ht="13" x14ac:dyDescent="0.3">
      <c r="B26" s="492">
        <v>1993</v>
      </c>
      <c r="C26" s="23">
        <v>528</v>
      </c>
      <c r="E26" s="21"/>
      <c r="F26" s="490">
        <v>1992</v>
      </c>
      <c r="G26" s="20">
        <v>282</v>
      </c>
    </row>
    <row r="27" spans="1:7" ht="13" x14ac:dyDescent="0.3">
      <c r="B27" s="490">
        <v>1994</v>
      </c>
      <c r="C27" s="20">
        <v>505</v>
      </c>
      <c r="E27" s="21"/>
      <c r="F27" s="491">
        <v>1993</v>
      </c>
      <c r="G27" s="22">
        <v>451</v>
      </c>
    </row>
    <row r="28" spans="1:7" x14ac:dyDescent="0.25">
      <c r="B28" s="492">
        <v>1995</v>
      </c>
      <c r="C28" s="22">
        <v>584</v>
      </c>
      <c r="E28" s="21"/>
      <c r="F28" s="491">
        <v>1994</v>
      </c>
      <c r="G28" s="22">
        <v>356</v>
      </c>
    </row>
    <row r="29" spans="1:7" x14ac:dyDescent="0.25">
      <c r="B29" s="492">
        <v>1996</v>
      </c>
      <c r="C29" s="22">
        <v>807</v>
      </c>
      <c r="E29" s="21"/>
      <c r="F29" s="492">
        <v>1995</v>
      </c>
      <c r="G29" s="22">
        <v>502</v>
      </c>
    </row>
    <row r="30" spans="1:7" x14ac:dyDescent="0.25">
      <c r="B30" s="492">
        <v>1997</v>
      </c>
      <c r="C30" s="22">
        <v>536</v>
      </c>
      <c r="E30" s="21"/>
      <c r="F30" s="492">
        <v>1996</v>
      </c>
      <c r="G30" s="23">
        <v>589.25</v>
      </c>
    </row>
    <row r="31" spans="1:7" x14ac:dyDescent="0.25">
      <c r="B31" s="492">
        <v>1998</v>
      </c>
      <c r="C31" s="22">
        <v>452</v>
      </c>
      <c r="E31" s="21"/>
      <c r="F31" s="492">
        <v>1997</v>
      </c>
      <c r="G31" s="22">
        <v>365.20642857142866</v>
      </c>
    </row>
    <row r="32" spans="1:7" x14ac:dyDescent="0.25">
      <c r="B32" s="492">
        <v>1999</v>
      </c>
      <c r="C32" s="22">
        <v>256</v>
      </c>
      <c r="E32" s="21"/>
      <c r="F32" s="492">
        <v>1998</v>
      </c>
      <c r="G32" s="22">
        <v>372</v>
      </c>
    </row>
    <row r="33" spans="1:7" x14ac:dyDescent="0.25">
      <c r="B33" s="492">
        <v>2000</v>
      </c>
      <c r="C33" s="22">
        <v>536</v>
      </c>
      <c r="E33" s="21"/>
      <c r="F33" s="492">
        <v>1999</v>
      </c>
      <c r="G33" s="22">
        <v>220</v>
      </c>
    </row>
    <row r="34" spans="1:7" x14ac:dyDescent="0.25">
      <c r="B34" s="492">
        <v>2001</v>
      </c>
      <c r="C34" s="22">
        <v>417</v>
      </c>
      <c r="E34" s="21"/>
      <c r="F34" s="492">
        <v>2000</v>
      </c>
      <c r="G34" s="22">
        <v>443</v>
      </c>
    </row>
    <row r="35" spans="1:7" x14ac:dyDescent="0.25">
      <c r="B35" s="492">
        <v>2002</v>
      </c>
      <c r="C35" s="24">
        <v>371</v>
      </c>
      <c r="E35" s="21"/>
      <c r="F35" s="492">
        <v>2001</v>
      </c>
      <c r="G35" s="22">
        <v>395</v>
      </c>
    </row>
    <row r="36" spans="1:7" x14ac:dyDescent="0.25">
      <c r="B36" s="492">
        <v>2003</v>
      </c>
      <c r="C36" s="24">
        <v>416</v>
      </c>
      <c r="E36" s="21"/>
      <c r="F36" s="492">
        <v>2002</v>
      </c>
      <c r="G36" s="22">
        <v>288</v>
      </c>
    </row>
    <row r="37" spans="1:7" x14ac:dyDescent="0.25">
      <c r="B37" s="492">
        <v>2004</v>
      </c>
      <c r="C37" s="24">
        <v>259</v>
      </c>
      <c r="F37" s="492">
        <v>2003</v>
      </c>
      <c r="G37" s="22">
        <v>271</v>
      </c>
    </row>
    <row r="38" spans="1:7" ht="13" x14ac:dyDescent="0.3">
      <c r="A38" s="19" t="s">
        <v>162</v>
      </c>
      <c r="B38" s="492">
        <v>2005</v>
      </c>
      <c r="C38" s="24">
        <v>375</v>
      </c>
      <c r="F38" s="493">
        <v>2004</v>
      </c>
      <c r="G38" s="22">
        <v>249</v>
      </c>
    </row>
    <row r="39" spans="1:7" ht="13" x14ac:dyDescent="0.3">
      <c r="B39" s="492">
        <v>2006</v>
      </c>
      <c r="C39" s="24">
        <v>435</v>
      </c>
      <c r="F39" s="493">
        <v>2005</v>
      </c>
      <c r="G39" s="22">
        <v>198</v>
      </c>
    </row>
    <row r="40" spans="1:7" ht="13" x14ac:dyDescent="0.3">
      <c r="B40" s="492">
        <v>2007</v>
      </c>
      <c r="C40" s="24">
        <v>314</v>
      </c>
      <c r="F40" s="493">
        <v>2006</v>
      </c>
      <c r="G40" s="22">
        <v>150</v>
      </c>
    </row>
    <row r="41" spans="1:7" ht="13" x14ac:dyDescent="0.3">
      <c r="B41" s="492">
        <v>2008</v>
      </c>
      <c r="F41" s="493">
        <v>2007</v>
      </c>
      <c r="G41" s="22">
        <v>233</v>
      </c>
    </row>
    <row r="42" spans="1:7" x14ac:dyDescent="0.25">
      <c r="B42" s="492">
        <v>2009</v>
      </c>
      <c r="F42" s="128"/>
    </row>
    <row r="43" spans="1:7" x14ac:dyDescent="0.25">
      <c r="B43" s="492">
        <v>2010</v>
      </c>
      <c r="F43" s="128"/>
    </row>
    <row r="44" spans="1:7" x14ac:dyDescent="0.25">
      <c r="B44" s="492"/>
      <c r="F44" s="128"/>
    </row>
    <row r="45" spans="1:7" ht="13" x14ac:dyDescent="0.3">
      <c r="A45" s="26" t="s">
        <v>31</v>
      </c>
      <c r="B45" s="490">
        <v>1990</v>
      </c>
      <c r="C45" s="20">
        <v>1121</v>
      </c>
      <c r="E45" s="82" t="s">
        <v>38</v>
      </c>
      <c r="F45" s="490">
        <v>1991</v>
      </c>
      <c r="G45" s="20">
        <v>341</v>
      </c>
    </row>
    <row r="46" spans="1:7" ht="13" x14ac:dyDescent="0.3">
      <c r="A46" s="25"/>
      <c r="B46" s="490">
        <v>1991</v>
      </c>
      <c r="C46" s="20">
        <v>1590</v>
      </c>
      <c r="E46" s="21"/>
      <c r="F46" s="490">
        <v>1992</v>
      </c>
      <c r="G46" s="20">
        <v>228</v>
      </c>
    </row>
    <row r="47" spans="1:7" ht="13" x14ac:dyDescent="0.3">
      <c r="A47" s="25"/>
      <c r="B47" s="490">
        <v>1992</v>
      </c>
      <c r="C47" s="20">
        <v>2941</v>
      </c>
      <c r="E47" s="21"/>
      <c r="F47" s="491">
        <v>1993</v>
      </c>
      <c r="G47" s="22">
        <v>332</v>
      </c>
    </row>
    <row r="48" spans="1:7" ht="13" x14ac:dyDescent="0.3">
      <c r="A48" s="25"/>
      <c r="B48" s="491">
        <v>1993</v>
      </c>
      <c r="C48" s="22">
        <v>1224</v>
      </c>
      <c r="E48" s="21"/>
      <c r="F48" s="491">
        <v>1994</v>
      </c>
      <c r="G48" s="22">
        <v>308</v>
      </c>
    </row>
    <row r="49" spans="1:7" ht="13" x14ac:dyDescent="0.3">
      <c r="A49" s="25"/>
      <c r="B49" s="491">
        <v>1994</v>
      </c>
      <c r="C49" s="22">
        <v>963</v>
      </c>
      <c r="E49" s="21"/>
      <c r="F49" s="492">
        <v>1995</v>
      </c>
      <c r="G49" s="22">
        <v>503</v>
      </c>
    </row>
    <row r="50" spans="1:7" ht="13" x14ac:dyDescent="0.3">
      <c r="A50" s="25"/>
      <c r="B50" s="492">
        <v>1995</v>
      </c>
      <c r="C50" s="22">
        <v>476</v>
      </c>
      <c r="E50" s="21"/>
      <c r="F50" s="492">
        <v>1996</v>
      </c>
      <c r="G50" s="23">
        <v>560.9375</v>
      </c>
    </row>
    <row r="51" spans="1:7" ht="13" x14ac:dyDescent="0.3">
      <c r="A51" s="25"/>
      <c r="B51" s="492">
        <v>1996</v>
      </c>
      <c r="C51" s="23">
        <v>618.3125</v>
      </c>
      <c r="E51" s="21"/>
      <c r="F51" s="492">
        <v>1997</v>
      </c>
      <c r="G51" s="22">
        <v>340.9935714285715</v>
      </c>
    </row>
    <row r="52" spans="1:7" ht="13" x14ac:dyDescent="0.3">
      <c r="A52" s="25"/>
      <c r="B52" s="492">
        <v>1997</v>
      </c>
      <c r="C52" s="22">
        <v>419.54062500000003</v>
      </c>
      <c r="E52" s="21"/>
      <c r="F52" s="492">
        <v>1998</v>
      </c>
      <c r="G52" s="22">
        <v>342</v>
      </c>
    </row>
    <row r="53" spans="1:7" ht="13" x14ac:dyDescent="0.3">
      <c r="A53" s="25"/>
      <c r="B53" s="492">
        <v>1998</v>
      </c>
      <c r="C53" s="22">
        <v>536</v>
      </c>
      <c r="E53" s="21"/>
      <c r="F53" s="492">
        <v>1999</v>
      </c>
      <c r="G53" s="22">
        <v>231</v>
      </c>
    </row>
    <row r="54" spans="1:7" ht="13" x14ac:dyDescent="0.3">
      <c r="A54" s="25"/>
      <c r="B54" s="492">
        <v>1999</v>
      </c>
      <c r="C54" s="22">
        <v>192</v>
      </c>
      <c r="E54" s="21"/>
      <c r="F54" s="492">
        <v>2000</v>
      </c>
      <c r="G54" s="22">
        <v>483</v>
      </c>
    </row>
    <row r="55" spans="1:7" ht="13" x14ac:dyDescent="0.3">
      <c r="A55" s="25"/>
      <c r="B55" s="492">
        <v>2000</v>
      </c>
      <c r="C55" s="22">
        <v>803</v>
      </c>
      <c r="E55" s="21"/>
      <c r="F55" s="492">
        <v>2001</v>
      </c>
      <c r="G55" s="22">
        <v>390</v>
      </c>
    </row>
    <row r="56" spans="1:7" ht="13" x14ac:dyDescent="0.3">
      <c r="A56" s="25"/>
      <c r="B56" s="492">
        <v>2001</v>
      </c>
      <c r="C56" s="22">
        <v>486</v>
      </c>
      <c r="E56" s="21"/>
      <c r="F56" s="492">
        <v>2002</v>
      </c>
      <c r="G56" s="22">
        <v>268</v>
      </c>
    </row>
    <row r="57" spans="1:7" ht="13" x14ac:dyDescent="0.3">
      <c r="A57" s="25"/>
      <c r="B57" s="492">
        <v>2002</v>
      </c>
      <c r="C57" s="22">
        <v>686</v>
      </c>
      <c r="F57" s="492">
        <v>2003</v>
      </c>
      <c r="G57" s="22">
        <v>259</v>
      </c>
    </row>
    <row r="58" spans="1:7" x14ac:dyDescent="0.25">
      <c r="B58" s="492">
        <v>2003</v>
      </c>
      <c r="C58" s="24">
        <v>764</v>
      </c>
      <c r="F58" s="492">
        <v>2004</v>
      </c>
      <c r="G58" s="22">
        <v>224</v>
      </c>
    </row>
    <row r="59" spans="1:7" x14ac:dyDescent="0.25">
      <c r="B59" s="492">
        <v>2004</v>
      </c>
      <c r="C59" s="24">
        <v>385</v>
      </c>
      <c r="F59" s="492">
        <v>2005</v>
      </c>
      <c r="G59" s="22">
        <v>210</v>
      </c>
    </row>
    <row r="60" spans="1:7" x14ac:dyDescent="0.25">
      <c r="B60" s="492">
        <v>2005</v>
      </c>
      <c r="C60" s="24">
        <v>481</v>
      </c>
      <c r="F60" s="492">
        <v>2006</v>
      </c>
      <c r="G60" s="22">
        <v>151</v>
      </c>
    </row>
    <row r="61" spans="1:7" x14ac:dyDescent="0.25">
      <c r="B61" s="492">
        <v>2006</v>
      </c>
      <c r="C61" s="24">
        <v>419</v>
      </c>
      <c r="F61" s="492">
        <v>2007</v>
      </c>
      <c r="G61" s="22">
        <v>232</v>
      </c>
    </row>
    <row r="62" spans="1:7" x14ac:dyDescent="0.25">
      <c r="B62" s="492">
        <v>2007</v>
      </c>
      <c r="C62" s="24">
        <v>410</v>
      </c>
      <c r="F62" s="492">
        <v>2008</v>
      </c>
      <c r="G62" s="22">
        <v>230</v>
      </c>
    </row>
    <row r="63" spans="1:7" x14ac:dyDescent="0.25">
      <c r="B63" s="492">
        <v>2008</v>
      </c>
      <c r="C63" s="24">
        <v>671</v>
      </c>
      <c r="F63" s="492">
        <v>2009</v>
      </c>
      <c r="G63" s="22">
        <v>244</v>
      </c>
    </row>
    <row r="64" spans="1:7" x14ac:dyDescent="0.25">
      <c r="B64" s="492">
        <v>2009</v>
      </c>
      <c r="C64" s="24">
        <v>1018</v>
      </c>
      <c r="F64" s="492">
        <v>2010</v>
      </c>
      <c r="G64" s="22">
        <v>222</v>
      </c>
    </row>
    <row r="65" spans="1:10" x14ac:dyDescent="0.25">
      <c r="B65" s="492">
        <v>2010</v>
      </c>
      <c r="C65" s="24">
        <v>569</v>
      </c>
    </row>
    <row r="66" spans="1:10" ht="15.5" x14ac:dyDescent="0.35">
      <c r="A66" s="812" t="s">
        <v>63</v>
      </c>
      <c r="B66" s="812"/>
      <c r="C66" s="812"/>
      <c r="D66" s="812"/>
      <c r="E66" s="812"/>
      <c r="F66" s="812"/>
      <c r="G66" s="812"/>
    </row>
    <row r="67" spans="1:10" ht="13" x14ac:dyDescent="0.3">
      <c r="B67" s="667" t="s">
        <v>62</v>
      </c>
      <c r="C67" s="667" t="s">
        <v>29</v>
      </c>
      <c r="F67" s="667" t="s">
        <v>62</v>
      </c>
      <c r="G67" s="667" t="s">
        <v>29</v>
      </c>
    </row>
    <row r="68" spans="1:10" ht="13" x14ac:dyDescent="0.3">
      <c r="A68" s="19" t="s">
        <v>30</v>
      </c>
      <c r="B68" s="492">
        <v>1990</v>
      </c>
      <c r="C68" s="22"/>
      <c r="E68" s="19" t="s">
        <v>40</v>
      </c>
      <c r="F68" s="490">
        <v>1991</v>
      </c>
      <c r="G68" s="20">
        <v>589</v>
      </c>
    </row>
    <row r="69" spans="1:10" ht="13" x14ac:dyDescent="0.3">
      <c r="B69" s="492">
        <v>1991</v>
      </c>
      <c r="C69" s="22">
        <f t="shared" ref="C69:C80" si="0">(G3+G25+G45)/3</f>
        <v>388</v>
      </c>
      <c r="E69" s="21"/>
      <c r="F69" s="490">
        <v>1992</v>
      </c>
      <c r="G69" s="20">
        <v>325</v>
      </c>
    </row>
    <row r="70" spans="1:10" x14ac:dyDescent="0.25">
      <c r="B70" s="492">
        <v>1992</v>
      </c>
      <c r="C70" s="22">
        <f t="shared" si="0"/>
        <v>266</v>
      </c>
      <c r="E70" s="21"/>
      <c r="F70" s="491">
        <v>1993</v>
      </c>
      <c r="G70" s="22">
        <v>431</v>
      </c>
    </row>
    <row r="71" spans="1:10" x14ac:dyDescent="0.25">
      <c r="B71" s="492">
        <v>1993</v>
      </c>
      <c r="C71" s="22">
        <f t="shared" si="0"/>
        <v>429</v>
      </c>
      <c r="E71" s="21"/>
      <c r="F71" s="491">
        <v>1994</v>
      </c>
      <c r="G71" s="22">
        <v>351</v>
      </c>
    </row>
    <row r="72" spans="1:10" x14ac:dyDescent="0.25">
      <c r="B72" s="492">
        <v>1994</v>
      </c>
      <c r="C72" s="22">
        <f t="shared" si="0"/>
        <v>348.66666666666669</v>
      </c>
      <c r="E72" s="21"/>
      <c r="F72" s="492">
        <v>1995</v>
      </c>
      <c r="G72" s="22">
        <v>491</v>
      </c>
    </row>
    <row r="73" spans="1:10" x14ac:dyDescent="0.25">
      <c r="B73" s="492">
        <v>1995</v>
      </c>
      <c r="C73" s="22">
        <f t="shared" si="0"/>
        <v>493</v>
      </c>
      <c r="E73" s="21"/>
      <c r="F73" s="492">
        <v>1996</v>
      </c>
      <c r="G73" s="23">
        <v>579.375</v>
      </c>
    </row>
    <row r="74" spans="1:10" x14ac:dyDescent="0.25">
      <c r="B74" s="492">
        <v>1996</v>
      </c>
      <c r="C74" s="22">
        <f t="shared" si="0"/>
        <v>575.97916666666663</v>
      </c>
      <c r="E74" s="21"/>
      <c r="F74" s="492">
        <v>1997</v>
      </c>
      <c r="G74" s="22">
        <v>520.40125</v>
      </c>
    </row>
    <row r="75" spans="1:10" x14ac:dyDescent="0.25">
      <c r="B75" s="492">
        <v>1997</v>
      </c>
      <c r="C75" s="22">
        <f t="shared" si="0"/>
        <v>366.34357142857152</v>
      </c>
      <c r="E75" s="21"/>
      <c r="F75" s="492">
        <v>1998</v>
      </c>
      <c r="G75" s="22">
        <v>405</v>
      </c>
    </row>
    <row r="76" spans="1:10" x14ac:dyDescent="0.25">
      <c r="B76" s="492">
        <v>1998</v>
      </c>
      <c r="C76" s="22">
        <f t="shared" si="0"/>
        <v>367.33333333333331</v>
      </c>
      <c r="E76" s="21"/>
      <c r="F76" s="492">
        <v>1999</v>
      </c>
      <c r="G76" s="22">
        <v>226</v>
      </c>
    </row>
    <row r="77" spans="1:10" x14ac:dyDescent="0.25">
      <c r="B77" s="492">
        <v>1999</v>
      </c>
      <c r="C77" s="22">
        <f t="shared" si="0"/>
        <v>225</v>
      </c>
      <c r="E77" s="21"/>
      <c r="F77" s="492">
        <v>2000</v>
      </c>
      <c r="G77" s="22">
        <v>437</v>
      </c>
    </row>
    <row r="78" spans="1:10" x14ac:dyDescent="0.25">
      <c r="B78" s="492">
        <v>2000</v>
      </c>
      <c r="C78" s="22">
        <f t="shared" si="0"/>
        <v>452.33333333333331</v>
      </c>
      <c r="D78" s="27"/>
      <c r="E78" s="21"/>
      <c r="F78" s="492">
        <v>2001</v>
      </c>
      <c r="G78" s="22">
        <v>388</v>
      </c>
      <c r="H78" s="27"/>
      <c r="I78" s="27"/>
      <c r="J78" s="27"/>
    </row>
    <row r="79" spans="1:10" x14ac:dyDescent="0.25">
      <c r="B79" s="492">
        <v>2001</v>
      </c>
      <c r="C79" s="22">
        <f t="shared" si="0"/>
        <v>395.33333333333331</v>
      </c>
      <c r="D79" s="27"/>
      <c r="E79" s="21"/>
      <c r="F79" s="492">
        <v>2002</v>
      </c>
      <c r="G79" s="22">
        <v>280</v>
      </c>
      <c r="H79" s="27"/>
      <c r="I79" s="27"/>
      <c r="J79" s="27"/>
    </row>
    <row r="80" spans="1:10" x14ac:dyDescent="0.25">
      <c r="B80" s="492">
        <v>2002</v>
      </c>
      <c r="C80" s="22">
        <f t="shared" si="0"/>
        <v>281.66666666666669</v>
      </c>
      <c r="D80" s="27"/>
      <c r="E80" s="27"/>
      <c r="F80" s="492">
        <v>2003</v>
      </c>
      <c r="G80" s="22">
        <v>268</v>
      </c>
      <c r="H80" s="27"/>
      <c r="I80" s="27"/>
      <c r="J80" s="27"/>
    </row>
    <row r="81" spans="1:10" x14ac:dyDescent="0.25">
      <c r="B81" s="492">
        <v>2003</v>
      </c>
      <c r="C81" s="24">
        <v>268</v>
      </c>
      <c r="D81" s="27"/>
      <c r="E81" s="27"/>
      <c r="F81" s="494">
        <v>2004</v>
      </c>
      <c r="G81" s="23">
        <v>247</v>
      </c>
      <c r="H81" s="27"/>
      <c r="I81" s="27"/>
      <c r="J81" s="27"/>
    </row>
    <row r="82" spans="1:10" x14ac:dyDescent="0.25">
      <c r="B82" s="492">
        <v>2004</v>
      </c>
      <c r="C82" s="24">
        <v>247</v>
      </c>
      <c r="D82" s="27"/>
      <c r="E82" s="27"/>
      <c r="F82" s="494">
        <v>2005</v>
      </c>
      <c r="G82" s="23">
        <v>233</v>
      </c>
      <c r="H82" s="27"/>
      <c r="I82" s="27"/>
      <c r="J82" s="27"/>
    </row>
    <row r="83" spans="1:10" x14ac:dyDescent="0.25">
      <c r="B83" s="492">
        <v>2005</v>
      </c>
      <c r="C83" s="24">
        <v>207</v>
      </c>
      <c r="D83" s="27"/>
      <c r="E83" s="27"/>
      <c r="F83" s="494">
        <v>2006</v>
      </c>
      <c r="G83" s="23">
        <v>196</v>
      </c>
      <c r="H83" s="27"/>
      <c r="I83" s="27"/>
      <c r="J83" s="27"/>
    </row>
    <row r="84" spans="1:10" x14ac:dyDescent="0.25">
      <c r="B84" s="492">
        <v>2006</v>
      </c>
      <c r="C84" s="24">
        <v>153</v>
      </c>
      <c r="D84" s="27"/>
      <c r="E84" s="27"/>
      <c r="F84" s="494">
        <v>2007</v>
      </c>
      <c r="G84" s="23">
        <v>261</v>
      </c>
      <c r="H84" s="27"/>
      <c r="I84" s="27"/>
      <c r="J84" s="27"/>
    </row>
    <row r="85" spans="1:10" x14ac:dyDescent="0.25">
      <c r="B85" s="492">
        <v>2007</v>
      </c>
      <c r="C85" s="24">
        <v>229</v>
      </c>
      <c r="D85" s="27"/>
      <c r="E85" s="27"/>
      <c r="F85" s="494">
        <v>2008</v>
      </c>
      <c r="G85" s="23">
        <v>220</v>
      </c>
      <c r="H85" s="27"/>
      <c r="I85" s="27"/>
      <c r="J85" s="27"/>
    </row>
    <row r="86" spans="1:10" x14ac:dyDescent="0.25">
      <c r="B86" s="492">
        <v>2008</v>
      </c>
      <c r="C86" s="24">
        <v>232</v>
      </c>
      <c r="D86" s="27"/>
      <c r="E86" s="27"/>
      <c r="F86" s="494">
        <v>2009</v>
      </c>
      <c r="G86" s="23">
        <v>280</v>
      </c>
      <c r="H86" s="27"/>
      <c r="I86" s="27"/>
      <c r="J86" s="27"/>
    </row>
    <row r="87" spans="1:10" x14ac:dyDescent="0.25">
      <c r="B87" s="492">
        <v>2009</v>
      </c>
      <c r="C87" s="24">
        <v>267</v>
      </c>
      <c r="D87" s="27"/>
      <c r="E87" s="27"/>
      <c r="F87" s="744">
        <v>2010</v>
      </c>
      <c r="G87" s="23">
        <v>278</v>
      </c>
      <c r="H87" s="27"/>
      <c r="I87" s="27"/>
      <c r="J87" s="27"/>
    </row>
    <row r="88" spans="1:10" x14ac:dyDescent="0.25">
      <c r="B88" s="492">
        <v>2010</v>
      </c>
      <c r="C88" s="24">
        <v>254</v>
      </c>
      <c r="D88" s="27"/>
      <c r="E88" s="27"/>
      <c r="F88" s="495"/>
      <c r="G88" s="27"/>
      <c r="H88" s="27"/>
      <c r="I88" s="27"/>
      <c r="J88" s="27"/>
    </row>
    <row r="89" spans="1:10" ht="13" x14ac:dyDescent="0.3">
      <c r="A89" s="19" t="s">
        <v>65</v>
      </c>
      <c r="B89" s="492">
        <v>1990</v>
      </c>
      <c r="C89" s="22"/>
      <c r="D89" s="27"/>
      <c r="E89" s="19" t="s">
        <v>64</v>
      </c>
      <c r="F89" s="490">
        <v>1991</v>
      </c>
      <c r="G89" s="22">
        <f t="shared" ref="G89:G108" si="1">C90-G68</f>
        <v>745</v>
      </c>
      <c r="H89" s="27"/>
      <c r="I89" s="27"/>
      <c r="J89" s="27"/>
    </row>
    <row r="90" spans="1:10" ht="13" x14ac:dyDescent="0.3">
      <c r="B90" s="492">
        <v>1991</v>
      </c>
      <c r="C90" s="22">
        <f t="shared" ref="C90:C109" si="2">(C4+C46)/2</f>
        <v>1334</v>
      </c>
      <c r="D90" s="27"/>
      <c r="E90" s="21"/>
      <c r="F90" s="490">
        <v>1992</v>
      </c>
      <c r="G90" s="22">
        <f t="shared" si="1"/>
        <v>1611</v>
      </c>
      <c r="H90" s="27"/>
      <c r="I90" s="27"/>
      <c r="J90" s="27"/>
    </row>
    <row r="91" spans="1:10" x14ac:dyDescent="0.25">
      <c r="B91" s="492">
        <v>1992</v>
      </c>
      <c r="C91" s="22">
        <f t="shared" si="2"/>
        <v>1936</v>
      </c>
      <c r="D91" s="27"/>
      <c r="E91" s="21"/>
      <c r="F91" s="491">
        <v>1993</v>
      </c>
      <c r="G91" s="22">
        <f t="shared" si="1"/>
        <v>807.5</v>
      </c>
      <c r="H91" s="27"/>
      <c r="I91" s="27"/>
      <c r="J91" s="27"/>
    </row>
    <row r="92" spans="1:10" x14ac:dyDescent="0.25">
      <c r="B92" s="492">
        <v>1993</v>
      </c>
      <c r="C92" s="22">
        <f t="shared" si="2"/>
        <v>1238.5</v>
      </c>
      <c r="D92" s="27"/>
      <c r="E92" s="21"/>
      <c r="F92" s="491">
        <v>1994</v>
      </c>
      <c r="G92" s="22">
        <f t="shared" si="1"/>
        <v>866.5</v>
      </c>
      <c r="H92" s="27"/>
      <c r="I92" s="27"/>
      <c r="J92" s="27"/>
    </row>
    <row r="93" spans="1:10" x14ac:dyDescent="0.25">
      <c r="B93" s="492">
        <v>1994</v>
      </c>
      <c r="C93" s="22">
        <f t="shared" si="2"/>
        <v>1217.5</v>
      </c>
      <c r="D93" s="27"/>
      <c r="E93" s="21"/>
      <c r="F93" s="492">
        <v>1995</v>
      </c>
      <c r="G93" s="22">
        <f t="shared" si="1"/>
        <v>713</v>
      </c>
      <c r="H93" s="27"/>
      <c r="I93" s="27"/>
      <c r="J93" s="27"/>
    </row>
    <row r="94" spans="1:10" x14ac:dyDescent="0.25">
      <c r="B94" s="492">
        <v>1995</v>
      </c>
      <c r="C94" s="22">
        <f t="shared" si="2"/>
        <v>1204</v>
      </c>
      <c r="D94" s="27"/>
      <c r="E94" s="21"/>
      <c r="F94" s="492">
        <v>1996</v>
      </c>
      <c r="G94" s="22">
        <f t="shared" si="1"/>
        <v>413.5</v>
      </c>
      <c r="H94" s="27"/>
      <c r="I94" s="27"/>
      <c r="J94" s="27"/>
    </row>
    <row r="95" spans="1:10" x14ac:dyDescent="0.25">
      <c r="B95" s="492">
        <v>1996</v>
      </c>
      <c r="C95" s="22">
        <f t="shared" si="2"/>
        <v>992.875</v>
      </c>
      <c r="D95" s="27"/>
      <c r="E95" s="21"/>
      <c r="F95" s="492">
        <v>1997</v>
      </c>
      <c r="G95" s="22">
        <f t="shared" si="1"/>
        <v>88.660937500000045</v>
      </c>
      <c r="H95" s="27"/>
      <c r="I95" s="27"/>
      <c r="J95" s="27"/>
    </row>
    <row r="96" spans="1:10" x14ac:dyDescent="0.25">
      <c r="B96" s="492">
        <v>1997</v>
      </c>
      <c r="C96" s="22">
        <f t="shared" si="2"/>
        <v>609.06218750000005</v>
      </c>
      <c r="E96" s="21"/>
      <c r="F96" s="492">
        <v>1998</v>
      </c>
      <c r="G96" s="22">
        <f t="shared" si="1"/>
        <v>125.5</v>
      </c>
    </row>
    <row r="97" spans="2:7" x14ac:dyDescent="0.25">
      <c r="B97" s="492">
        <v>1998</v>
      </c>
      <c r="C97" s="22">
        <f t="shared" si="2"/>
        <v>530.5</v>
      </c>
      <c r="E97" s="21"/>
      <c r="F97" s="492">
        <v>1999</v>
      </c>
      <c r="G97" s="22">
        <f t="shared" si="1"/>
        <v>130.5</v>
      </c>
    </row>
    <row r="98" spans="2:7" x14ac:dyDescent="0.25">
      <c r="B98" s="492">
        <v>1999</v>
      </c>
      <c r="C98" s="22">
        <f t="shared" si="2"/>
        <v>356.5</v>
      </c>
      <c r="E98" s="21"/>
      <c r="F98" s="492">
        <v>2000</v>
      </c>
      <c r="G98" s="22">
        <f t="shared" si="1"/>
        <v>706</v>
      </c>
    </row>
    <row r="99" spans="2:7" x14ac:dyDescent="0.25">
      <c r="B99" s="492">
        <v>2000</v>
      </c>
      <c r="C99" s="22">
        <f t="shared" si="2"/>
        <v>1143</v>
      </c>
      <c r="E99" s="21"/>
      <c r="F99" s="492">
        <v>2001</v>
      </c>
      <c r="G99" s="22">
        <f t="shared" si="1"/>
        <v>342</v>
      </c>
    </row>
    <row r="100" spans="2:7" x14ac:dyDescent="0.25">
      <c r="B100" s="492">
        <v>2001</v>
      </c>
      <c r="C100" s="22">
        <f t="shared" si="2"/>
        <v>730</v>
      </c>
      <c r="E100" s="21"/>
      <c r="F100" s="492">
        <v>2002</v>
      </c>
      <c r="G100" s="22">
        <f t="shared" si="1"/>
        <v>2220</v>
      </c>
    </row>
    <row r="101" spans="2:7" x14ac:dyDescent="0.25">
      <c r="B101" s="492">
        <v>2002</v>
      </c>
      <c r="C101" s="22">
        <f t="shared" si="2"/>
        <v>2500</v>
      </c>
      <c r="F101" s="492">
        <v>2003</v>
      </c>
      <c r="G101" s="22">
        <f t="shared" si="1"/>
        <v>992.5</v>
      </c>
    </row>
    <row r="102" spans="2:7" x14ac:dyDescent="0.25">
      <c r="B102" s="492">
        <v>2003</v>
      </c>
      <c r="C102" s="22">
        <f t="shared" si="2"/>
        <v>1260.5</v>
      </c>
      <c r="F102" s="492">
        <v>2004</v>
      </c>
      <c r="G102" s="22">
        <f t="shared" si="1"/>
        <v>167.5</v>
      </c>
    </row>
    <row r="103" spans="2:7" x14ac:dyDescent="0.25">
      <c r="B103" s="492">
        <v>2004</v>
      </c>
      <c r="C103" s="22">
        <f t="shared" si="2"/>
        <v>414.5</v>
      </c>
      <c r="F103" s="492">
        <v>2005</v>
      </c>
      <c r="G103" s="22">
        <f t="shared" si="1"/>
        <v>557.5</v>
      </c>
    </row>
    <row r="104" spans="2:7" x14ac:dyDescent="0.25">
      <c r="B104" s="492">
        <v>2005</v>
      </c>
      <c r="C104" s="22">
        <f t="shared" si="2"/>
        <v>790.5</v>
      </c>
      <c r="F104" s="492">
        <v>2006</v>
      </c>
      <c r="G104" s="22">
        <f t="shared" si="1"/>
        <v>798.5</v>
      </c>
    </row>
    <row r="105" spans="2:7" x14ac:dyDescent="0.25">
      <c r="B105" s="492">
        <v>2006</v>
      </c>
      <c r="C105" s="22">
        <f t="shared" si="2"/>
        <v>994.5</v>
      </c>
      <c r="F105" s="492">
        <v>2007</v>
      </c>
      <c r="G105" s="22">
        <f t="shared" si="1"/>
        <v>317.5</v>
      </c>
    </row>
    <row r="106" spans="2:7" x14ac:dyDescent="0.25">
      <c r="B106" s="492">
        <v>2007</v>
      </c>
      <c r="C106" s="22">
        <f t="shared" si="2"/>
        <v>578.5</v>
      </c>
      <c r="F106" s="492">
        <v>2008</v>
      </c>
      <c r="G106" s="22">
        <f t="shared" si="1"/>
        <v>662</v>
      </c>
    </row>
    <row r="107" spans="2:7" x14ac:dyDescent="0.25">
      <c r="B107" s="492">
        <v>2008</v>
      </c>
      <c r="C107" s="22">
        <f t="shared" si="2"/>
        <v>882</v>
      </c>
      <c r="F107" s="492">
        <v>2009</v>
      </c>
      <c r="G107" s="22">
        <f t="shared" si="1"/>
        <v>390</v>
      </c>
    </row>
    <row r="108" spans="2:7" x14ac:dyDescent="0.25">
      <c r="B108" s="492">
        <v>2009</v>
      </c>
      <c r="C108" s="22">
        <f t="shared" si="2"/>
        <v>670</v>
      </c>
      <c r="F108" s="492">
        <v>2010</v>
      </c>
      <c r="G108" s="22">
        <f t="shared" si="1"/>
        <v>654.5</v>
      </c>
    </row>
    <row r="109" spans="2:7" x14ac:dyDescent="0.25">
      <c r="B109" s="492">
        <v>2010</v>
      </c>
      <c r="C109" s="22">
        <f t="shared" si="2"/>
        <v>932.5</v>
      </c>
    </row>
    <row r="134" spans="4:4" x14ac:dyDescent="0.25">
      <c r="D134" s="5"/>
    </row>
    <row r="135" spans="4:4" x14ac:dyDescent="0.25">
      <c r="D135" s="5"/>
    </row>
    <row r="136" spans="4:4" x14ac:dyDescent="0.25">
      <c r="D136" s="5"/>
    </row>
    <row r="137" spans="4:4" x14ac:dyDescent="0.25">
      <c r="D137" s="5"/>
    </row>
    <row r="138" spans="4:4" x14ac:dyDescent="0.25">
      <c r="D138" s="5"/>
    </row>
    <row r="139" spans="4:4" x14ac:dyDescent="0.25">
      <c r="D139" s="5"/>
    </row>
    <row r="140" spans="4:4" x14ac:dyDescent="0.25">
      <c r="D140" s="5"/>
    </row>
  </sheetData>
  <mergeCells count="2">
    <mergeCell ref="A1:G1"/>
    <mergeCell ref="A66:G66"/>
  </mergeCells>
  <phoneticPr fontId="8" type="noConversion"/>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47"/>
  <sheetViews>
    <sheetView workbookViewId="0">
      <selection activeCell="P44" sqref="P44"/>
    </sheetView>
  </sheetViews>
  <sheetFormatPr defaultRowHeight="12.5" x14ac:dyDescent="0.25"/>
  <cols>
    <col min="1" max="1" width="21.6328125" bestFit="1" customWidth="1"/>
    <col min="3" max="3" width="10" bestFit="1" customWidth="1"/>
  </cols>
  <sheetData>
    <row r="1" spans="1:7" ht="14.5" x14ac:dyDescent="0.35">
      <c r="A1" s="458"/>
    </row>
    <row r="2" spans="1:7" x14ac:dyDescent="0.25">
      <c r="A2" t="s">
        <v>871</v>
      </c>
    </row>
    <row r="3" spans="1:7" ht="13" thickBot="1" x14ac:dyDescent="0.3"/>
    <row r="4" spans="1:7" ht="13.5" thickTop="1" x14ac:dyDescent="0.25">
      <c r="A4" s="935" t="s">
        <v>872</v>
      </c>
      <c r="B4" s="938" t="s">
        <v>873</v>
      </c>
      <c r="C4" s="787"/>
      <c r="D4" s="941">
        <v>2010</v>
      </c>
      <c r="E4" s="941"/>
      <c r="F4" s="941"/>
      <c r="G4" s="941"/>
    </row>
    <row r="5" spans="1:7" ht="13" thickBot="1" x14ac:dyDescent="0.3">
      <c r="A5" s="936"/>
      <c r="B5" s="939"/>
      <c r="C5" s="943" t="s">
        <v>172</v>
      </c>
      <c r="D5" s="942"/>
      <c r="E5" s="942"/>
      <c r="F5" s="942"/>
      <c r="G5" s="942"/>
    </row>
    <row r="6" spans="1:7" ht="26.5" thickTop="1" x14ac:dyDescent="0.25">
      <c r="A6" s="937"/>
      <c r="B6" s="940"/>
      <c r="C6" s="944"/>
      <c r="D6" s="788" t="s">
        <v>874</v>
      </c>
      <c r="E6" s="789" t="s">
        <v>875</v>
      </c>
      <c r="F6" s="790" t="s">
        <v>876</v>
      </c>
      <c r="G6" s="791" t="s">
        <v>877</v>
      </c>
    </row>
    <row r="7" spans="1:7" ht="13" x14ac:dyDescent="0.3">
      <c r="A7" s="792"/>
      <c r="B7" s="934">
        <v>23</v>
      </c>
      <c r="C7" s="793" t="s">
        <v>878</v>
      </c>
      <c r="D7" s="794">
        <v>210</v>
      </c>
      <c r="E7" s="794">
        <v>53</v>
      </c>
      <c r="F7" s="794">
        <v>149</v>
      </c>
      <c r="G7" s="795">
        <v>54</v>
      </c>
    </row>
    <row r="8" spans="1:7" ht="13" x14ac:dyDescent="0.3">
      <c r="A8" s="792"/>
      <c r="B8" s="934"/>
      <c r="C8" s="796" t="s">
        <v>879</v>
      </c>
      <c r="D8" s="797">
        <v>0</v>
      </c>
      <c r="E8" s="797">
        <v>0</v>
      </c>
      <c r="F8" s="797">
        <v>150</v>
      </c>
      <c r="G8" s="798">
        <v>94</v>
      </c>
    </row>
    <row r="9" spans="1:7" ht="13" x14ac:dyDescent="0.3">
      <c r="A9" s="792" t="s">
        <v>880</v>
      </c>
      <c r="B9" s="934"/>
      <c r="C9" s="799" t="s">
        <v>881</v>
      </c>
      <c r="D9" s="797">
        <v>150</v>
      </c>
      <c r="E9" s="797">
        <v>94</v>
      </c>
      <c r="F9" s="797" t="s">
        <v>882</v>
      </c>
      <c r="G9" s="798" t="s">
        <v>882</v>
      </c>
    </row>
    <row r="10" spans="1:7" ht="13" x14ac:dyDescent="0.3">
      <c r="A10" s="792" t="s">
        <v>883</v>
      </c>
      <c r="B10" s="934"/>
      <c r="C10" s="796"/>
      <c r="D10" s="797"/>
      <c r="E10" s="797"/>
      <c r="F10" s="797"/>
      <c r="G10" s="798"/>
    </row>
    <row r="11" spans="1:7" ht="13" x14ac:dyDescent="0.3">
      <c r="A11" s="792"/>
      <c r="B11" s="934"/>
      <c r="C11" s="800" t="s">
        <v>884</v>
      </c>
      <c r="D11" s="801">
        <f>D7+D9</f>
        <v>360</v>
      </c>
      <c r="E11" s="801">
        <f>E7+E8</f>
        <v>53</v>
      </c>
      <c r="F11" s="801">
        <f>F7+F8</f>
        <v>299</v>
      </c>
      <c r="G11" s="801">
        <f>G7+G8</f>
        <v>148</v>
      </c>
    </row>
    <row r="12" spans="1:7" x14ac:dyDescent="0.25">
      <c r="A12" s="931" t="s">
        <v>885</v>
      </c>
      <c r="B12" s="934">
        <v>33</v>
      </c>
      <c r="C12" s="793" t="s">
        <v>878</v>
      </c>
      <c r="D12" s="794">
        <v>536</v>
      </c>
      <c r="E12" s="794">
        <v>43</v>
      </c>
      <c r="F12" s="794">
        <v>332</v>
      </c>
      <c r="G12" s="795">
        <v>42</v>
      </c>
    </row>
    <row r="13" spans="1:7" x14ac:dyDescent="0.25">
      <c r="A13" s="932"/>
      <c r="B13" s="934"/>
      <c r="C13" s="796" t="s">
        <v>879</v>
      </c>
      <c r="D13" s="797">
        <v>71</v>
      </c>
      <c r="E13" s="797">
        <v>17</v>
      </c>
      <c r="F13" s="797">
        <v>75</v>
      </c>
      <c r="G13" s="798">
        <v>32</v>
      </c>
    </row>
    <row r="14" spans="1:7" x14ac:dyDescent="0.25">
      <c r="A14" s="932"/>
      <c r="B14" s="934"/>
      <c r="C14" s="799" t="s">
        <v>881</v>
      </c>
      <c r="D14" s="797" t="s">
        <v>882</v>
      </c>
      <c r="E14" s="797" t="s">
        <v>882</v>
      </c>
      <c r="F14" s="797" t="s">
        <v>882</v>
      </c>
      <c r="G14" s="798" t="s">
        <v>882</v>
      </c>
    </row>
    <row r="15" spans="1:7" x14ac:dyDescent="0.25">
      <c r="A15" s="932"/>
      <c r="B15" s="934"/>
      <c r="C15" s="796"/>
      <c r="D15" s="797"/>
      <c r="E15" s="797"/>
      <c r="F15" s="797"/>
      <c r="G15" s="798"/>
    </row>
    <row r="16" spans="1:7" x14ac:dyDescent="0.25">
      <c r="A16" s="933"/>
      <c r="B16" s="934"/>
      <c r="C16" s="800" t="s">
        <v>884</v>
      </c>
      <c r="D16" s="801">
        <f>D12+D13</f>
        <v>607</v>
      </c>
      <c r="E16" s="801">
        <f>E12+E13</f>
        <v>60</v>
      </c>
      <c r="F16" s="801">
        <f>F12+F13</f>
        <v>407</v>
      </c>
      <c r="G16" s="801">
        <f>G12+G13</f>
        <v>74</v>
      </c>
    </row>
    <row r="17" spans="1:7" x14ac:dyDescent="0.25">
      <c r="A17" s="931" t="s">
        <v>886</v>
      </c>
      <c r="B17" s="934">
        <v>34</v>
      </c>
      <c r="C17" s="793" t="s">
        <v>878</v>
      </c>
      <c r="D17" s="794">
        <v>376</v>
      </c>
      <c r="E17" s="794">
        <v>62</v>
      </c>
      <c r="F17" s="794">
        <v>188</v>
      </c>
      <c r="G17" s="795">
        <v>62</v>
      </c>
    </row>
    <row r="18" spans="1:7" x14ac:dyDescent="0.25">
      <c r="A18" s="932"/>
      <c r="B18" s="934"/>
      <c r="C18" s="796" t="s">
        <v>879</v>
      </c>
      <c r="D18" s="797">
        <v>42</v>
      </c>
      <c r="E18" s="797">
        <v>9</v>
      </c>
      <c r="F18" s="797">
        <v>33</v>
      </c>
      <c r="G18" s="798">
        <v>9</v>
      </c>
    </row>
    <row r="19" spans="1:7" x14ac:dyDescent="0.25">
      <c r="A19" s="932"/>
      <c r="B19" s="934"/>
      <c r="C19" s="802" t="s">
        <v>881</v>
      </c>
      <c r="D19" s="797" t="s">
        <v>882</v>
      </c>
      <c r="E19" s="797" t="s">
        <v>882</v>
      </c>
      <c r="F19" s="797" t="s">
        <v>882</v>
      </c>
      <c r="G19" s="798" t="s">
        <v>882</v>
      </c>
    </row>
    <row r="20" spans="1:7" x14ac:dyDescent="0.25">
      <c r="A20" s="932"/>
      <c r="B20" s="934"/>
      <c r="C20" s="796"/>
      <c r="D20" s="945" t="s">
        <v>887</v>
      </c>
      <c r="E20" s="946"/>
      <c r="F20" s="946"/>
      <c r="G20" s="947"/>
    </row>
    <row r="21" spans="1:7" x14ac:dyDescent="0.25">
      <c r="A21" s="933"/>
      <c r="B21" s="934"/>
      <c r="C21" s="800" t="s">
        <v>884</v>
      </c>
      <c r="D21" s="801">
        <f>D17+D18</f>
        <v>418</v>
      </c>
      <c r="E21" s="801">
        <f>E17+E18</f>
        <v>71</v>
      </c>
      <c r="F21" s="801">
        <f>F17+F18</f>
        <v>221</v>
      </c>
      <c r="G21" s="801">
        <f>G17+G18</f>
        <v>71</v>
      </c>
    </row>
    <row r="22" spans="1:7" x14ac:dyDescent="0.25">
      <c r="A22" s="931" t="s">
        <v>888</v>
      </c>
      <c r="B22" s="934">
        <v>32</v>
      </c>
      <c r="C22" s="793" t="s">
        <v>878</v>
      </c>
      <c r="D22" s="794">
        <v>941</v>
      </c>
      <c r="E22" s="794">
        <v>102</v>
      </c>
      <c r="F22" s="794">
        <v>462</v>
      </c>
      <c r="G22" s="795">
        <v>101</v>
      </c>
    </row>
    <row r="23" spans="1:7" x14ac:dyDescent="0.25">
      <c r="A23" s="932"/>
      <c r="B23" s="934"/>
      <c r="C23" s="796" t="s">
        <v>879</v>
      </c>
      <c r="D23" s="797">
        <v>520</v>
      </c>
      <c r="E23" s="797">
        <v>48</v>
      </c>
      <c r="F23" s="797">
        <v>248</v>
      </c>
      <c r="G23" s="798">
        <v>48</v>
      </c>
    </row>
    <row r="24" spans="1:7" x14ac:dyDescent="0.25">
      <c r="A24" s="932"/>
      <c r="B24" s="934"/>
      <c r="C24" s="799" t="s">
        <v>881</v>
      </c>
      <c r="D24" s="797" t="s">
        <v>882</v>
      </c>
      <c r="E24" s="797" t="s">
        <v>882</v>
      </c>
      <c r="F24" s="797" t="s">
        <v>882</v>
      </c>
      <c r="G24" s="798" t="s">
        <v>882</v>
      </c>
    </row>
    <row r="25" spans="1:7" x14ac:dyDescent="0.25">
      <c r="A25" s="932"/>
      <c r="B25" s="934"/>
      <c r="C25" s="796"/>
      <c r="D25" s="797"/>
      <c r="E25" s="797"/>
      <c r="F25" s="797"/>
      <c r="G25" s="798"/>
    </row>
    <row r="26" spans="1:7" x14ac:dyDescent="0.25">
      <c r="A26" s="933"/>
      <c r="B26" s="934"/>
      <c r="C26" s="800" t="s">
        <v>884</v>
      </c>
      <c r="D26" s="801">
        <f>D22+D23</f>
        <v>1461</v>
      </c>
      <c r="E26" s="801">
        <f>E22+E23</f>
        <v>150</v>
      </c>
      <c r="F26" s="801">
        <f>F22+F23</f>
        <v>710</v>
      </c>
      <c r="G26" s="801">
        <f>G22+G23</f>
        <v>149</v>
      </c>
    </row>
    <row r="27" spans="1:7" x14ac:dyDescent="0.25">
      <c r="A27" s="931" t="s">
        <v>889</v>
      </c>
      <c r="B27" s="934">
        <v>31</v>
      </c>
      <c r="C27" s="793" t="s">
        <v>878</v>
      </c>
      <c r="D27" s="794">
        <v>1550</v>
      </c>
      <c r="E27" s="794">
        <v>160</v>
      </c>
      <c r="F27" s="794">
        <v>1058</v>
      </c>
      <c r="G27" s="795">
        <v>152</v>
      </c>
    </row>
    <row r="28" spans="1:7" x14ac:dyDescent="0.25">
      <c r="A28" s="932"/>
      <c r="B28" s="934"/>
      <c r="C28" s="796" t="s">
        <v>879</v>
      </c>
      <c r="D28" s="797">
        <v>50</v>
      </c>
      <c r="E28" s="797">
        <v>13</v>
      </c>
      <c r="F28" s="797">
        <v>50</v>
      </c>
      <c r="G28" s="798">
        <v>13</v>
      </c>
    </row>
    <row r="29" spans="1:7" x14ac:dyDescent="0.25">
      <c r="A29" s="932"/>
      <c r="B29" s="934"/>
      <c r="C29" s="799" t="s">
        <v>881</v>
      </c>
      <c r="D29" s="797" t="s">
        <v>882</v>
      </c>
      <c r="E29" s="797" t="s">
        <v>882</v>
      </c>
      <c r="F29" s="797" t="s">
        <v>882</v>
      </c>
      <c r="G29" s="798" t="s">
        <v>882</v>
      </c>
    </row>
    <row r="30" spans="1:7" x14ac:dyDescent="0.25">
      <c r="A30" s="932"/>
      <c r="B30" s="934"/>
      <c r="C30" s="796"/>
      <c r="D30" s="797"/>
      <c r="E30" s="797"/>
      <c r="F30" s="797"/>
      <c r="G30" s="798"/>
    </row>
    <row r="31" spans="1:7" x14ac:dyDescent="0.25">
      <c r="A31" s="933"/>
      <c r="B31" s="934"/>
      <c r="C31" s="800" t="s">
        <v>884</v>
      </c>
      <c r="D31" s="801">
        <f>D27+D28</f>
        <v>1600</v>
      </c>
      <c r="E31" s="801">
        <f>E27+E28</f>
        <v>173</v>
      </c>
      <c r="F31" s="801">
        <f>F27+F28</f>
        <v>1108</v>
      </c>
      <c r="G31" s="801">
        <f>G27+G28</f>
        <v>165</v>
      </c>
    </row>
    <row r="32" spans="1:7" x14ac:dyDescent="0.25">
      <c r="A32" s="931" t="s">
        <v>890</v>
      </c>
      <c r="B32" s="934">
        <v>29</v>
      </c>
      <c r="C32" s="793" t="s">
        <v>878</v>
      </c>
      <c r="D32" s="794">
        <v>1328</v>
      </c>
      <c r="E32" s="794">
        <v>170</v>
      </c>
      <c r="F32" s="794">
        <v>781</v>
      </c>
      <c r="G32" s="795">
        <v>164</v>
      </c>
    </row>
    <row r="33" spans="1:7" x14ac:dyDescent="0.25">
      <c r="A33" s="932"/>
      <c r="B33" s="934"/>
      <c r="C33" s="796" t="s">
        <v>879</v>
      </c>
      <c r="D33" s="797">
        <v>124</v>
      </c>
      <c r="E33" s="797">
        <v>22</v>
      </c>
      <c r="F33" s="797">
        <v>95</v>
      </c>
      <c r="G33" s="798">
        <v>21</v>
      </c>
    </row>
    <row r="34" spans="1:7" x14ac:dyDescent="0.25">
      <c r="A34" s="932"/>
      <c r="B34" s="934"/>
      <c r="C34" s="799" t="s">
        <v>881</v>
      </c>
      <c r="D34" s="797" t="s">
        <v>882</v>
      </c>
      <c r="E34" s="797" t="s">
        <v>882</v>
      </c>
      <c r="F34" s="797" t="s">
        <v>882</v>
      </c>
      <c r="G34" s="798" t="s">
        <v>882</v>
      </c>
    </row>
    <row r="35" spans="1:7" x14ac:dyDescent="0.25">
      <c r="A35" s="932"/>
      <c r="B35" s="934"/>
      <c r="C35" s="796"/>
      <c r="D35" s="797"/>
      <c r="E35" s="797"/>
      <c r="F35" s="797"/>
      <c r="G35" s="798"/>
    </row>
    <row r="36" spans="1:7" x14ac:dyDescent="0.25">
      <c r="A36" s="933"/>
      <c r="B36" s="934"/>
      <c r="C36" s="800" t="s">
        <v>884</v>
      </c>
      <c r="D36" s="801">
        <f>D32+D33</f>
        <v>1452</v>
      </c>
      <c r="E36" s="801">
        <f>E32+E33</f>
        <v>192</v>
      </c>
      <c r="F36" s="801">
        <f>F32+F33</f>
        <v>876</v>
      </c>
      <c r="G36" s="801">
        <f>G32+G33</f>
        <v>185</v>
      </c>
    </row>
    <row r="37" spans="1:7" x14ac:dyDescent="0.25">
      <c r="A37" s="931" t="s">
        <v>891</v>
      </c>
      <c r="B37" s="934">
        <v>25</v>
      </c>
      <c r="C37" s="793" t="s">
        <v>878</v>
      </c>
      <c r="D37" s="794">
        <v>1224</v>
      </c>
      <c r="E37" s="794">
        <v>156</v>
      </c>
      <c r="F37" s="794">
        <v>768</v>
      </c>
      <c r="G37" s="795">
        <v>152</v>
      </c>
    </row>
    <row r="38" spans="1:7" x14ac:dyDescent="0.25">
      <c r="A38" s="932"/>
      <c r="B38" s="934"/>
      <c r="C38" s="796" t="s">
        <v>879</v>
      </c>
      <c r="D38" s="797">
        <v>61</v>
      </c>
      <c r="E38" s="797">
        <v>7</v>
      </c>
      <c r="F38" s="797">
        <v>38</v>
      </c>
      <c r="G38" s="798">
        <v>8</v>
      </c>
    </row>
    <row r="39" spans="1:7" x14ac:dyDescent="0.25">
      <c r="A39" s="932"/>
      <c r="B39" s="934"/>
      <c r="C39" s="799" t="s">
        <v>881</v>
      </c>
      <c r="D39" s="797" t="s">
        <v>882</v>
      </c>
      <c r="E39" s="797" t="s">
        <v>882</v>
      </c>
      <c r="F39" s="797" t="s">
        <v>882</v>
      </c>
      <c r="G39" s="798" t="s">
        <v>882</v>
      </c>
    </row>
    <row r="40" spans="1:7" x14ac:dyDescent="0.25">
      <c r="A40" s="932"/>
      <c r="B40" s="934"/>
      <c r="C40" s="796"/>
      <c r="D40" s="797"/>
      <c r="E40" s="797"/>
      <c r="F40" s="797"/>
      <c r="G40" s="798"/>
    </row>
    <row r="41" spans="1:7" x14ac:dyDescent="0.25">
      <c r="A41" s="933"/>
      <c r="B41" s="934"/>
      <c r="C41" s="800" t="s">
        <v>884</v>
      </c>
      <c r="D41" s="801">
        <f>D37+D38</f>
        <v>1285</v>
      </c>
      <c r="E41" s="801">
        <f>E37+E38</f>
        <v>163</v>
      </c>
      <c r="F41" s="801">
        <f>F37+F38</f>
        <v>806</v>
      </c>
      <c r="G41" s="801">
        <f>G37+G38</f>
        <v>160</v>
      </c>
    </row>
    <row r="42" spans="1:7" x14ac:dyDescent="0.25">
      <c r="A42" s="931" t="s">
        <v>892</v>
      </c>
      <c r="B42" s="934">
        <v>30</v>
      </c>
      <c r="C42" s="793" t="s">
        <v>878</v>
      </c>
      <c r="D42" s="794">
        <v>752</v>
      </c>
      <c r="E42" s="794">
        <v>86</v>
      </c>
      <c r="F42" s="794">
        <v>398</v>
      </c>
      <c r="G42" s="795">
        <v>84</v>
      </c>
    </row>
    <row r="43" spans="1:7" x14ac:dyDescent="0.25">
      <c r="A43" s="932"/>
      <c r="B43" s="934"/>
      <c r="C43" s="796" t="s">
        <v>879</v>
      </c>
      <c r="D43" s="797">
        <v>92</v>
      </c>
      <c r="E43" s="797">
        <v>14</v>
      </c>
      <c r="F43" s="797">
        <v>73</v>
      </c>
      <c r="G43" s="798">
        <v>14</v>
      </c>
    </row>
    <row r="44" spans="1:7" x14ac:dyDescent="0.25">
      <c r="A44" s="932"/>
      <c r="B44" s="934"/>
      <c r="C44" s="799" t="s">
        <v>881</v>
      </c>
      <c r="D44" s="797" t="s">
        <v>882</v>
      </c>
      <c r="E44" s="797" t="s">
        <v>882</v>
      </c>
      <c r="F44" s="797" t="s">
        <v>882</v>
      </c>
      <c r="G44" s="798" t="s">
        <v>882</v>
      </c>
    </row>
    <row r="45" spans="1:7" x14ac:dyDescent="0.25">
      <c r="A45" s="932"/>
      <c r="B45" s="934"/>
      <c r="C45" s="796"/>
      <c r="D45" s="797"/>
      <c r="E45" s="797"/>
      <c r="F45" s="797"/>
      <c r="G45" s="798"/>
    </row>
    <row r="46" spans="1:7" ht="13" thickBot="1" x14ac:dyDescent="0.3">
      <c r="A46" s="948"/>
      <c r="B46" s="949"/>
      <c r="C46" s="803" t="s">
        <v>884</v>
      </c>
      <c r="D46" s="801">
        <f>D42+D43</f>
        <v>844</v>
      </c>
      <c r="E46" s="801">
        <f>E42+E43</f>
        <v>100</v>
      </c>
      <c r="F46" s="801">
        <f>F42+F43</f>
        <v>471</v>
      </c>
      <c r="G46" s="801">
        <f>G42+G43</f>
        <v>98</v>
      </c>
    </row>
    <row r="47" spans="1:7" ht="13" thickTop="1" x14ac:dyDescent="0.25"/>
  </sheetData>
  <mergeCells count="20">
    <mergeCell ref="A32:A36"/>
    <mergeCell ref="B32:B36"/>
    <mergeCell ref="A37:A41"/>
    <mergeCell ref="B37:B41"/>
    <mergeCell ref="A42:A46"/>
    <mergeCell ref="B42:B46"/>
    <mergeCell ref="A27:A31"/>
    <mergeCell ref="B27:B31"/>
    <mergeCell ref="A4:A6"/>
    <mergeCell ref="B4:B6"/>
    <mergeCell ref="D4:G5"/>
    <mergeCell ref="C5:C6"/>
    <mergeCell ref="B7:B11"/>
    <mergeCell ref="A12:A16"/>
    <mergeCell ref="B12:B16"/>
    <mergeCell ref="A17:A21"/>
    <mergeCell ref="B17:B21"/>
    <mergeCell ref="D20:G20"/>
    <mergeCell ref="A22:A26"/>
    <mergeCell ref="B22:B26"/>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7"/>
  <sheetViews>
    <sheetView workbookViewId="0">
      <selection activeCell="H12" sqref="H12"/>
    </sheetView>
  </sheetViews>
  <sheetFormatPr defaultRowHeight="12.5" x14ac:dyDescent="0.25"/>
  <cols>
    <col min="1" max="1" width="12.08984375" bestFit="1" customWidth="1"/>
    <col min="4" max="4" width="9.36328125" bestFit="1" customWidth="1"/>
  </cols>
  <sheetData>
    <row r="1" spans="1:5" x14ac:dyDescent="0.25">
      <c r="B1" s="155">
        <v>40266</v>
      </c>
      <c r="C1" s="155"/>
      <c r="D1" s="155"/>
      <c r="E1" s="155">
        <v>40294</v>
      </c>
    </row>
    <row r="2" spans="1:5" ht="14" x14ac:dyDescent="0.3">
      <c r="B2" s="209" t="s">
        <v>347</v>
      </c>
      <c r="C2" s="209" t="s">
        <v>369</v>
      </c>
      <c r="D2" s="209" t="s">
        <v>370</v>
      </c>
      <c r="E2" s="209" t="s">
        <v>347</v>
      </c>
    </row>
    <row r="3" spans="1:5" ht="13" x14ac:dyDescent="0.3">
      <c r="A3" s="94" t="s">
        <v>238</v>
      </c>
      <c r="B3" s="431">
        <v>1.96</v>
      </c>
      <c r="C3" s="431">
        <v>0.78400000000000003</v>
      </c>
      <c r="D3" s="527">
        <f>C3/B3</f>
        <v>0.4</v>
      </c>
      <c r="E3" s="84">
        <v>1.1100000000000001</v>
      </c>
    </row>
    <row r="4" spans="1:5" ht="13" x14ac:dyDescent="0.3">
      <c r="A4" s="94" t="s">
        <v>239</v>
      </c>
      <c r="B4" s="431">
        <v>2.63</v>
      </c>
      <c r="C4" s="431">
        <v>1.0840000000000001</v>
      </c>
      <c r="D4" s="527">
        <f>C4/B4</f>
        <v>0.4121673003802282</v>
      </c>
      <c r="E4" s="84">
        <v>1.03</v>
      </c>
    </row>
    <row r="5" spans="1:5" ht="13" x14ac:dyDescent="0.3">
      <c r="A5" s="94" t="s">
        <v>240</v>
      </c>
      <c r="B5" s="431">
        <v>2.12</v>
      </c>
      <c r="C5" s="526">
        <v>0.57899999999999996</v>
      </c>
      <c r="D5" s="527">
        <f>C5/B5</f>
        <v>0.27311320754716978</v>
      </c>
      <c r="E5" s="84">
        <v>0.95</v>
      </c>
    </row>
    <row r="6" spans="1:5" ht="13" x14ac:dyDescent="0.3">
      <c r="A6" s="94" t="s">
        <v>229</v>
      </c>
      <c r="B6" s="517"/>
      <c r="C6" s="517"/>
      <c r="D6" s="517"/>
      <c r="E6" s="84"/>
    </row>
    <row r="7" spans="1:5" ht="13" x14ac:dyDescent="0.3">
      <c r="A7" s="126" t="s">
        <v>192</v>
      </c>
      <c r="B7" s="431">
        <v>2.83</v>
      </c>
      <c r="C7" s="431">
        <v>0.59299999999999997</v>
      </c>
      <c r="D7" s="527">
        <f>C7/B7</f>
        <v>0.20954063604240281</v>
      </c>
      <c r="E7" s="84">
        <v>0.9</v>
      </c>
    </row>
    <row r="8" spans="1:5" ht="13" x14ac:dyDescent="0.3">
      <c r="A8" s="126" t="s">
        <v>193</v>
      </c>
      <c r="B8" s="431">
        <v>2.62</v>
      </c>
      <c r="C8" s="431"/>
      <c r="D8" s="527"/>
      <c r="E8" s="84">
        <v>0.79</v>
      </c>
    </row>
    <row r="9" spans="1:5" ht="13" x14ac:dyDescent="0.3">
      <c r="A9" s="126" t="s">
        <v>194</v>
      </c>
      <c r="B9" s="431">
        <v>2.46</v>
      </c>
      <c r="C9" s="431"/>
      <c r="D9" s="527"/>
      <c r="E9" s="84">
        <v>0.74</v>
      </c>
    </row>
    <row r="10" spans="1:5" ht="13" x14ac:dyDescent="0.3">
      <c r="A10" s="126" t="s">
        <v>195</v>
      </c>
      <c r="B10" s="431">
        <v>2.4</v>
      </c>
      <c r="C10" s="431"/>
      <c r="D10" s="431"/>
      <c r="E10" s="84">
        <v>0.71</v>
      </c>
    </row>
    <row r="11" spans="1:5" ht="13" x14ac:dyDescent="0.3">
      <c r="A11" s="126" t="s">
        <v>196</v>
      </c>
      <c r="B11" s="431">
        <v>2.3199999999999998</v>
      </c>
      <c r="C11" s="431"/>
      <c r="D11" s="431"/>
      <c r="E11" s="84">
        <v>0.68</v>
      </c>
    </row>
    <row r="12" spans="1:5" ht="13" x14ac:dyDescent="0.3">
      <c r="A12" s="126" t="s">
        <v>197</v>
      </c>
      <c r="B12" s="431">
        <v>2.23</v>
      </c>
      <c r="C12" s="431"/>
      <c r="D12" s="431"/>
      <c r="E12" s="84">
        <v>0.67</v>
      </c>
    </row>
    <row r="13" spans="1:5" ht="13" x14ac:dyDescent="0.3">
      <c r="A13" s="126" t="s">
        <v>198</v>
      </c>
      <c r="B13" s="431">
        <v>2.16</v>
      </c>
      <c r="C13" s="431"/>
      <c r="D13" s="431"/>
      <c r="E13" s="84">
        <v>0.66</v>
      </c>
    </row>
    <row r="14" spans="1:5" ht="13" x14ac:dyDescent="0.3">
      <c r="A14" s="126" t="s">
        <v>199</v>
      </c>
      <c r="B14" s="431">
        <v>2.09</v>
      </c>
      <c r="C14" s="431"/>
      <c r="D14" s="431"/>
      <c r="E14" s="84">
        <v>0.65</v>
      </c>
    </row>
    <row r="15" spans="1:5" ht="13" x14ac:dyDescent="0.3">
      <c r="A15" s="126" t="s">
        <v>200</v>
      </c>
      <c r="B15" s="431">
        <v>1.91</v>
      </c>
      <c r="C15" s="431">
        <v>0.34799999999999998</v>
      </c>
      <c r="D15" s="527">
        <f>C15/B15</f>
        <v>0.18219895287958116</v>
      </c>
      <c r="E15" s="84">
        <v>0.65</v>
      </c>
    </row>
    <row r="16" spans="1:5" ht="13" x14ac:dyDescent="0.3">
      <c r="A16" s="126" t="s">
        <v>227</v>
      </c>
      <c r="B16" s="431">
        <v>1.63</v>
      </c>
      <c r="C16" s="431"/>
      <c r="D16" s="431"/>
      <c r="E16" s="84">
        <v>0.64</v>
      </c>
    </row>
    <row r="17" spans="2:5" x14ac:dyDescent="0.25">
      <c r="B17" s="431">
        <v>1.57</v>
      </c>
      <c r="C17" s="431"/>
      <c r="D17" s="431"/>
      <c r="E17" s="84">
        <v>0.63</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BI50"/>
  <sheetViews>
    <sheetView topLeftCell="AN25" workbookViewId="0">
      <selection activeCell="AO44" sqref="AO44"/>
    </sheetView>
  </sheetViews>
  <sheetFormatPr defaultRowHeight="12.5" x14ac:dyDescent="0.25"/>
  <cols>
    <col min="1" max="1" width="11.90625" customWidth="1"/>
    <col min="2" max="2" width="9.08984375" bestFit="1" customWidth="1"/>
    <col min="3" max="3" width="7" bestFit="1" customWidth="1"/>
    <col min="4" max="4" width="10.54296875" bestFit="1" customWidth="1"/>
    <col min="5" max="5" width="6.54296875" customWidth="1"/>
    <col min="6" max="6" width="7.90625" customWidth="1"/>
    <col min="7" max="7" width="10.54296875" bestFit="1" customWidth="1"/>
    <col min="8" max="8" width="6.6328125" customWidth="1"/>
    <col min="9" max="9" width="7" bestFit="1" customWidth="1"/>
    <col min="10" max="10" width="10.54296875" bestFit="1" customWidth="1"/>
    <col min="11" max="11" width="7" customWidth="1"/>
    <col min="15" max="15" width="19.453125" customWidth="1"/>
    <col min="21" max="21" width="6.54296875" bestFit="1" customWidth="1"/>
    <col min="22" max="22" width="7" bestFit="1" customWidth="1"/>
    <col min="23" max="23" width="6.08984375" customWidth="1"/>
    <col min="24" max="25" width="5.54296875" customWidth="1"/>
    <col min="26" max="26" width="20.08984375" bestFit="1" customWidth="1"/>
    <col min="28" max="28" width="5.453125" customWidth="1"/>
    <col min="31" max="31" width="7.08984375" customWidth="1"/>
    <col min="33" max="33" width="12.90625" style="93" customWidth="1"/>
    <col min="35" max="35" width="21.08984375" customWidth="1"/>
    <col min="36" max="36" width="20.08984375" bestFit="1" customWidth="1"/>
    <col min="37" max="37" width="16.08984375" bestFit="1" customWidth="1"/>
    <col min="40" max="40" width="21.90625" bestFit="1" customWidth="1"/>
    <col min="41" max="41" width="15.90625" customWidth="1"/>
    <col min="42" max="42" width="13.36328125" customWidth="1"/>
    <col min="43" max="43" width="17.36328125" customWidth="1"/>
    <col min="44" max="44" width="17.6328125" customWidth="1"/>
    <col min="50" max="50" width="9.453125" bestFit="1" customWidth="1"/>
    <col min="51" max="51" width="14.54296875" bestFit="1" customWidth="1"/>
    <col min="52" max="52" width="13.90625" bestFit="1" customWidth="1"/>
    <col min="61" max="61" width="18.453125" bestFit="1" customWidth="1"/>
  </cols>
  <sheetData>
    <row r="1" spans="1:61" x14ac:dyDescent="0.25">
      <c r="A1" s="21" t="s">
        <v>779</v>
      </c>
      <c r="Z1" s="155"/>
    </row>
    <row r="2" spans="1:61" ht="13" x14ac:dyDescent="0.3">
      <c r="A2" s="21" t="s">
        <v>709</v>
      </c>
      <c r="B2" s="155">
        <v>40568</v>
      </c>
      <c r="AN2" s="966" t="s">
        <v>23</v>
      </c>
      <c r="AO2" s="965">
        <v>40477</v>
      </c>
      <c r="AP2" s="965"/>
      <c r="AQ2" s="965"/>
      <c r="AR2" s="965"/>
      <c r="AW2" s="1" t="s">
        <v>825</v>
      </c>
      <c r="AX2" s="1" t="s">
        <v>824</v>
      </c>
      <c r="AY2" s="748" t="s">
        <v>823</v>
      </c>
      <c r="AZ2" s="748" t="s">
        <v>822</v>
      </c>
      <c r="BA2" s="1" t="s">
        <v>424</v>
      </c>
      <c r="BB2" s="1" t="s">
        <v>821</v>
      </c>
      <c r="BC2" s="1" t="s">
        <v>820</v>
      </c>
      <c r="BD2" s="30" t="s">
        <v>819</v>
      </c>
      <c r="BE2" s="170" t="s">
        <v>819</v>
      </c>
      <c r="BF2" s="1" t="s">
        <v>818</v>
      </c>
      <c r="BG2" s="1" t="s">
        <v>817</v>
      </c>
      <c r="BH2" s="8" t="s">
        <v>816</v>
      </c>
      <c r="BI2" s="748" t="s">
        <v>815</v>
      </c>
    </row>
    <row r="3" spans="1:61" ht="24" customHeight="1" x14ac:dyDescent="0.3">
      <c r="A3" s="951" t="s">
        <v>378</v>
      </c>
      <c r="B3" s="859"/>
      <c r="C3" s="952"/>
      <c r="D3" s="954" t="s">
        <v>379</v>
      </c>
      <c r="E3" s="954"/>
      <c r="F3" s="954"/>
      <c r="G3" s="951" t="s">
        <v>380</v>
      </c>
      <c r="H3" s="859"/>
      <c r="I3" s="952"/>
      <c r="J3" s="951" t="s">
        <v>381</v>
      </c>
      <c r="K3" s="859"/>
      <c r="L3" s="952"/>
      <c r="Z3" s="597" t="s">
        <v>620</v>
      </c>
      <c r="AA3" s="601" t="s">
        <v>184</v>
      </c>
      <c r="AB3" s="601" t="s">
        <v>623</v>
      </c>
      <c r="AC3" s="601" t="s">
        <v>188</v>
      </c>
      <c r="AD3" s="601" t="s">
        <v>622</v>
      </c>
      <c r="AE3" s="601" t="s">
        <v>621</v>
      </c>
      <c r="AF3" s="601" t="s">
        <v>625</v>
      </c>
      <c r="AG3" s="601" t="s">
        <v>624</v>
      </c>
      <c r="AN3" s="967"/>
      <c r="AO3" s="652" t="s">
        <v>761</v>
      </c>
      <c r="AP3" s="652" t="s">
        <v>762</v>
      </c>
      <c r="AQ3" s="652" t="s">
        <v>79</v>
      </c>
      <c r="AR3" s="656" t="s">
        <v>756</v>
      </c>
      <c r="AW3" s="21" t="s">
        <v>814</v>
      </c>
      <c r="AX3" s="272">
        <v>52</v>
      </c>
      <c r="AY3" s="749">
        <v>40498</v>
      </c>
      <c r="AZ3" s="749">
        <v>40498</v>
      </c>
      <c r="BA3" s="21" t="s">
        <v>222</v>
      </c>
      <c r="BB3" s="21" t="s">
        <v>799</v>
      </c>
      <c r="BC3" s="21" t="s">
        <v>803</v>
      </c>
      <c r="BD3" s="174">
        <v>324</v>
      </c>
      <c r="BE3" s="173">
        <v>324</v>
      </c>
      <c r="BF3" s="174"/>
      <c r="BG3" s="21" t="s">
        <v>797</v>
      </c>
      <c r="BH3" s="176">
        <v>2</v>
      </c>
      <c r="BI3" s="197">
        <v>40500</v>
      </c>
    </row>
    <row r="4" spans="1:61" ht="15.5" x14ac:dyDescent="0.35">
      <c r="A4" s="436" t="s">
        <v>184</v>
      </c>
      <c r="B4" s="955"/>
      <c r="C4" s="956"/>
      <c r="D4" s="436" t="s">
        <v>184</v>
      </c>
      <c r="E4" s="955"/>
      <c r="F4" s="956"/>
      <c r="G4" s="537" t="s">
        <v>184</v>
      </c>
      <c r="H4" s="953"/>
      <c r="I4" s="953"/>
      <c r="J4" s="537" t="s">
        <v>184</v>
      </c>
      <c r="K4" s="891"/>
      <c r="L4" s="892"/>
      <c r="Z4" s="905">
        <v>40323</v>
      </c>
      <c r="AA4" s="905"/>
      <c r="AB4" s="905"/>
      <c r="AC4" s="905"/>
      <c r="AD4" s="905"/>
      <c r="AE4" s="905"/>
      <c r="AF4" s="905"/>
      <c r="AG4" s="905"/>
      <c r="AN4" s="469" t="s">
        <v>395</v>
      </c>
      <c r="AO4" s="651">
        <v>197</v>
      </c>
      <c r="AP4" s="651">
        <v>43</v>
      </c>
      <c r="AQ4" s="651">
        <v>43</v>
      </c>
      <c r="AR4" s="651">
        <v>4</v>
      </c>
      <c r="AW4" s="21" t="s">
        <v>814</v>
      </c>
      <c r="AX4" s="272">
        <v>52</v>
      </c>
      <c r="AY4" s="749">
        <v>40498</v>
      </c>
      <c r="AZ4" s="749">
        <v>40498</v>
      </c>
      <c r="BA4" s="21" t="s">
        <v>216</v>
      </c>
      <c r="BB4" s="21" t="s">
        <v>799</v>
      </c>
      <c r="BC4" s="750" t="s">
        <v>802</v>
      </c>
      <c r="BD4" s="174">
        <v>7</v>
      </c>
      <c r="BE4" s="173">
        <v>7</v>
      </c>
      <c r="BF4" s="21"/>
      <c r="BG4" s="21" t="s">
        <v>797</v>
      </c>
      <c r="BH4" s="176">
        <v>2</v>
      </c>
      <c r="BI4" s="197">
        <v>40504</v>
      </c>
    </row>
    <row r="5" spans="1:61" ht="15.5" x14ac:dyDescent="0.35">
      <c r="A5" s="436" t="s">
        <v>202</v>
      </c>
      <c r="B5" s="957"/>
      <c r="C5" s="958"/>
      <c r="D5" s="436" t="s">
        <v>202</v>
      </c>
      <c r="E5" s="957"/>
      <c r="F5" s="958"/>
      <c r="G5" s="537" t="s">
        <v>202</v>
      </c>
      <c r="H5" s="902"/>
      <c r="I5" s="902"/>
      <c r="J5" s="537" t="s">
        <v>202</v>
      </c>
      <c r="K5" s="891"/>
      <c r="L5" s="892"/>
      <c r="Z5" s="304" t="s">
        <v>395</v>
      </c>
      <c r="AA5" s="603">
        <v>0.53194444444444444</v>
      </c>
      <c r="AB5" s="604">
        <v>12.5</v>
      </c>
      <c r="AC5" s="604">
        <v>8.35</v>
      </c>
      <c r="AD5" s="604">
        <v>0.82</v>
      </c>
      <c r="AE5" s="604">
        <v>8.57</v>
      </c>
      <c r="AF5" s="604">
        <v>1.31</v>
      </c>
      <c r="AG5" s="371">
        <v>10</v>
      </c>
      <c r="AN5" s="469" t="s">
        <v>396</v>
      </c>
      <c r="AO5" s="651">
        <v>94</v>
      </c>
      <c r="AP5" s="651">
        <v>32</v>
      </c>
      <c r="AQ5" s="651">
        <v>6</v>
      </c>
      <c r="AR5" s="651">
        <v>9</v>
      </c>
      <c r="AW5" s="21" t="s">
        <v>814</v>
      </c>
      <c r="AX5" s="272">
        <v>52</v>
      </c>
      <c r="AY5" s="749">
        <v>40498</v>
      </c>
      <c r="AZ5" s="749">
        <v>40498</v>
      </c>
      <c r="BA5" s="181" t="s">
        <v>217</v>
      </c>
      <c r="BB5" s="21" t="s">
        <v>799</v>
      </c>
      <c r="BC5" s="750" t="s">
        <v>802</v>
      </c>
      <c r="BD5" s="179">
        <v>7</v>
      </c>
      <c r="BE5" s="194">
        <v>7</v>
      </c>
      <c r="BF5" s="747"/>
      <c r="BG5" s="21" t="s">
        <v>797</v>
      </c>
      <c r="BH5" s="220">
        <v>2</v>
      </c>
      <c r="BI5" s="197">
        <v>40504</v>
      </c>
    </row>
    <row r="6" spans="1:61" ht="15.5" x14ac:dyDescent="0.3">
      <c r="A6" s="440" t="s">
        <v>203</v>
      </c>
      <c r="B6" s="884"/>
      <c r="C6" s="885"/>
      <c r="D6" s="440" t="s">
        <v>203</v>
      </c>
      <c r="E6" s="881"/>
      <c r="F6" s="881"/>
      <c r="G6" s="538" t="s">
        <v>203</v>
      </c>
      <c r="H6" s="881"/>
      <c r="I6" s="881"/>
      <c r="J6" s="538" t="s">
        <v>203</v>
      </c>
      <c r="K6" s="891"/>
      <c r="L6" s="892"/>
      <c r="Z6" s="304" t="s">
        <v>396</v>
      </c>
      <c r="AA6" s="603">
        <v>0.54236111111111118</v>
      </c>
      <c r="AB6" s="604">
        <v>14.6</v>
      </c>
      <c r="AC6" s="604">
        <v>8.31</v>
      </c>
      <c r="AD6" s="604">
        <v>0.82</v>
      </c>
      <c r="AE6" s="604">
        <v>8.1199999999999992</v>
      </c>
      <c r="AF6" s="604">
        <v>1.01</v>
      </c>
      <c r="AG6" s="371">
        <v>6</v>
      </c>
      <c r="AN6" s="469" t="s">
        <v>613</v>
      </c>
      <c r="AO6" s="651">
        <v>225</v>
      </c>
      <c r="AP6" s="651">
        <v>42</v>
      </c>
      <c r="AQ6" s="651">
        <v>22</v>
      </c>
      <c r="AR6" s="651">
        <v>3</v>
      </c>
      <c r="AW6" s="21" t="s">
        <v>814</v>
      </c>
      <c r="AX6" s="272">
        <v>52</v>
      </c>
      <c r="AY6" s="749">
        <v>40498</v>
      </c>
      <c r="AZ6" s="749">
        <v>40498</v>
      </c>
      <c r="BA6" s="21" t="s">
        <v>426</v>
      </c>
      <c r="BB6" s="21" t="s">
        <v>799</v>
      </c>
      <c r="BC6" s="750" t="s">
        <v>804</v>
      </c>
      <c r="BD6" s="179">
        <v>8</v>
      </c>
      <c r="BE6" s="194">
        <v>8</v>
      </c>
      <c r="BF6" s="747"/>
      <c r="BG6" s="21" t="s">
        <v>797</v>
      </c>
      <c r="BH6" s="220">
        <v>3</v>
      </c>
      <c r="BI6" s="197">
        <v>40499</v>
      </c>
    </row>
    <row r="7" spans="1:61" ht="35" x14ac:dyDescent="0.3">
      <c r="A7" s="433" t="s">
        <v>204</v>
      </c>
      <c r="B7" s="433" t="s">
        <v>205</v>
      </c>
      <c r="C7" s="434" t="s">
        <v>206</v>
      </c>
      <c r="D7" s="433" t="s">
        <v>204</v>
      </c>
      <c r="E7" s="433" t="s">
        <v>205</v>
      </c>
      <c r="F7" s="434" t="s">
        <v>206</v>
      </c>
      <c r="G7" s="433" t="s">
        <v>204</v>
      </c>
      <c r="H7" s="433" t="s">
        <v>205</v>
      </c>
      <c r="I7" s="434" t="s">
        <v>206</v>
      </c>
      <c r="J7" s="433" t="s">
        <v>204</v>
      </c>
      <c r="K7" s="433" t="s">
        <v>205</v>
      </c>
      <c r="L7" s="434" t="s">
        <v>206</v>
      </c>
      <c r="O7" s="21" t="s">
        <v>383</v>
      </c>
      <c r="Z7" s="304" t="s">
        <v>613</v>
      </c>
      <c r="AA7" s="603">
        <v>0.55208333333333337</v>
      </c>
      <c r="AB7" s="604">
        <v>14.9</v>
      </c>
      <c r="AC7" s="604">
        <v>8.24</v>
      </c>
      <c r="AD7" s="604">
        <v>0.8</v>
      </c>
      <c r="AE7" s="604">
        <v>7.74</v>
      </c>
      <c r="AF7" s="604">
        <v>0.96</v>
      </c>
      <c r="AG7" s="371">
        <v>5</v>
      </c>
      <c r="AN7" s="469" t="s">
        <v>397</v>
      </c>
      <c r="AO7" s="651">
        <v>61</v>
      </c>
      <c r="AP7" s="651">
        <v>37</v>
      </c>
      <c r="AQ7" s="651">
        <v>37</v>
      </c>
      <c r="AR7" s="651">
        <v>10</v>
      </c>
      <c r="AW7" s="21" t="s">
        <v>813</v>
      </c>
      <c r="AX7" s="272">
        <v>53</v>
      </c>
      <c r="AY7" s="749">
        <v>40498</v>
      </c>
      <c r="AZ7" s="749">
        <v>40498</v>
      </c>
      <c r="BA7" s="21" t="s">
        <v>222</v>
      </c>
      <c r="BB7" s="21" t="s">
        <v>799</v>
      </c>
      <c r="BC7" s="21" t="s">
        <v>803</v>
      </c>
      <c r="BD7" s="174">
        <v>204</v>
      </c>
      <c r="BE7" s="173">
        <v>204</v>
      </c>
      <c r="BF7" s="174"/>
      <c r="BG7" s="21" t="s">
        <v>797</v>
      </c>
      <c r="BH7" s="176">
        <v>2</v>
      </c>
      <c r="BI7" s="197">
        <v>40500</v>
      </c>
    </row>
    <row r="8" spans="1:61" ht="15.5" x14ac:dyDescent="0.35">
      <c r="A8" s="160">
        <v>1</v>
      </c>
      <c r="B8" s="138"/>
      <c r="C8" s="477"/>
      <c r="D8" s="160">
        <v>1</v>
      </c>
      <c r="E8" s="138"/>
      <c r="F8" s="84"/>
      <c r="G8" s="160">
        <v>1</v>
      </c>
      <c r="H8" s="138"/>
      <c r="I8" s="84"/>
      <c r="J8" s="160">
        <v>1</v>
      </c>
      <c r="K8" s="138"/>
      <c r="L8" s="84"/>
      <c r="O8" s="210" t="s">
        <v>23</v>
      </c>
      <c r="P8" s="534">
        <v>40323</v>
      </c>
      <c r="Q8" s="534">
        <v>40351</v>
      </c>
      <c r="R8" s="534">
        <v>40379</v>
      </c>
      <c r="S8" s="534">
        <v>40414</v>
      </c>
      <c r="T8" s="534">
        <v>40449</v>
      </c>
      <c r="U8" s="534">
        <v>40477</v>
      </c>
      <c r="V8" s="534">
        <v>40497</v>
      </c>
      <c r="W8" s="534">
        <v>40520</v>
      </c>
      <c r="X8" s="534"/>
      <c r="Y8" s="534"/>
      <c r="Z8" s="304" t="s">
        <v>397</v>
      </c>
      <c r="AA8" s="603">
        <v>0.54861111111111105</v>
      </c>
      <c r="AB8" s="604">
        <v>15.2</v>
      </c>
      <c r="AC8" s="604">
        <v>8.09</v>
      </c>
      <c r="AD8" s="604">
        <v>0.88</v>
      </c>
      <c r="AE8" s="604">
        <v>7.64</v>
      </c>
      <c r="AF8" s="604">
        <v>0.94</v>
      </c>
      <c r="AG8" s="371">
        <v>12</v>
      </c>
      <c r="AO8" s="880" t="s">
        <v>826</v>
      </c>
      <c r="AP8" s="880"/>
      <c r="AQ8" s="880"/>
      <c r="AR8" s="880"/>
      <c r="AW8" s="21" t="s">
        <v>813</v>
      </c>
      <c r="AX8" s="272">
        <v>53</v>
      </c>
      <c r="AY8" s="749">
        <v>40498</v>
      </c>
      <c r="AZ8" s="749">
        <v>40498</v>
      </c>
      <c r="BA8" s="21" t="s">
        <v>216</v>
      </c>
      <c r="BB8" s="21" t="s">
        <v>799</v>
      </c>
      <c r="BC8" s="750" t="s">
        <v>802</v>
      </c>
      <c r="BD8" s="174">
        <v>9</v>
      </c>
      <c r="BE8" s="173">
        <v>9</v>
      </c>
      <c r="BF8" s="174"/>
      <c r="BG8" s="21" t="s">
        <v>797</v>
      </c>
      <c r="BH8" s="176">
        <v>2</v>
      </c>
      <c r="BI8" s="197">
        <v>40504</v>
      </c>
    </row>
    <row r="9" spans="1:61" ht="15.5" x14ac:dyDescent="0.35">
      <c r="A9" s="160">
        <v>2</v>
      </c>
      <c r="B9" s="138"/>
      <c r="C9" s="477"/>
      <c r="D9" s="160">
        <v>2</v>
      </c>
      <c r="E9" s="138"/>
      <c r="F9" s="138"/>
      <c r="G9" s="160">
        <v>2</v>
      </c>
      <c r="H9" s="138"/>
      <c r="I9" s="138"/>
      <c r="J9" s="160">
        <v>2</v>
      </c>
      <c r="K9" s="138"/>
      <c r="L9" s="138"/>
      <c r="O9" s="210" t="s">
        <v>395</v>
      </c>
      <c r="P9" s="423">
        <v>3</v>
      </c>
      <c r="Q9" s="423">
        <v>1.36</v>
      </c>
      <c r="R9" s="423">
        <v>0.7</v>
      </c>
      <c r="S9" s="423">
        <v>0.81</v>
      </c>
      <c r="T9" s="423">
        <v>0.34</v>
      </c>
      <c r="U9" s="653">
        <v>0.72</v>
      </c>
      <c r="V9" s="653">
        <v>0.52</v>
      </c>
      <c r="W9" s="653">
        <v>0.65</v>
      </c>
      <c r="X9" s="653"/>
      <c r="Y9" s="653"/>
      <c r="Z9" s="905">
        <v>40351</v>
      </c>
      <c r="AA9" s="905"/>
      <c r="AB9" s="905"/>
      <c r="AC9" s="905"/>
      <c r="AD9" s="905"/>
      <c r="AE9" s="905"/>
      <c r="AF9" s="905"/>
      <c r="AG9" s="905"/>
      <c r="AN9" s="209" t="s">
        <v>395</v>
      </c>
      <c r="AO9" s="423">
        <f>AO4*0.002723*U47</f>
        <v>23.74273646136</v>
      </c>
      <c r="AP9" s="423">
        <f>AP4*0.002723*U47</f>
        <v>5.1824247098400003</v>
      </c>
      <c r="AQ9" s="423">
        <f>AQ4*0.002723*U47</f>
        <v>5.1824247098400003</v>
      </c>
      <c r="AR9" s="423">
        <f>AR4*0.002723*U47</f>
        <v>0.48208601952000002</v>
      </c>
      <c r="AW9" s="21" t="s">
        <v>813</v>
      </c>
      <c r="AX9" s="272">
        <v>53</v>
      </c>
      <c r="AY9" s="749">
        <v>40498</v>
      </c>
      <c r="AZ9" s="749">
        <v>40498</v>
      </c>
      <c r="BA9" s="181" t="s">
        <v>217</v>
      </c>
      <c r="BB9" s="21" t="s">
        <v>799</v>
      </c>
      <c r="BC9" s="750" t="s">
        <v>802</v>
      </c>
      <c r="BD9" s="179">
        <v>5</v>
      </c>
      <c r="BE9" s="194">
        <v>5</v>
      </c>
      <c r="BF9" s="747"/>
      <c r="BG9" s="21" t="s">
        <v>797</v>
      </c>
      <c r="BH9" s="220">
        <v>2</v>
      </c>
      <c r="BI9" s="197">
        <v>40504</v>
      </c>
    </row>
    <row r="10" spans="1:61" ht="15.5" x14ac:dyDescent="0.35">
      <c r="A10" s="160" t="s">
        <v>187</v>
      </c>
      <c r="B10" s="138"/>
      <c r="C10" s="477"/>
      <c r="D10" s="160" t="s">
        <v>187</v>
      </c>
      <c r="E10" s="138"/>
      <c r="F10" s="138"/>
      <c r="G10" s="160" t="s">
        <v>187</v>
      </c>
      <c r="H10" s="138"/>
      <c r="I10" s="138"/>
      <c r="J10" s="160" t="s">
        <v>187</v>
      </c>
      <c r="K10" s="138"/>
      <c r="L10" s="138"/>
      <c r="O10" s="210" t="s">
        <v>396</v>
      </c>
      <c r="P10" s="423">
        <v>2.1</v>
      </c>
      <c r="Q10" s="423">
        <v>1.1499999999999999</v>
      </c>
      <c r="R10" s="423">
        <v>0.44</v>
      </c>
      <c r="S10" s="423">
        <v>0.71</v>
      </c>
      <c r="T10" s="423">
        <v>0.32</v>
      </c>
      <c r="U10" s="653">
        <v>0.69</v>
      </c>
      <c r="V10" s="653">
        <v>0.43</v>
      </c>
      <c r="W10" s="653">
        <v>0.6</v>
      </c>
      <c r="X10" s="653"/>
      <c r="Y10" s="653"/>
      <c r="Z10" s="304" t="s">
        <v>395</v>
      </c>
      <c r="AA10" s="603">
        <v>0.55555555555555558</v>
      </c>
      <c r="AB10" s="604">
        <v>17.899999999999999</v>
      </c>
      <c r="AC10" s="604">
        <v>8.3800000000000008</v>
      </c>
      <c r="AD10" s="604">
        <v>0.83</v>
      </c>
      <c r="AE10" s="604">
        <v>7.48</v>
      </c>
      <c r="AF10" s="604">
        <v>2.13</v>
      </c>
      <c r="AG10" s="371">
        <v>40</v>
      </c>
      <c r="AJ10">
        <v>40</v>
      </c>
      <c r="AN10" s="209" t="s">
        <v>396</v>
      </c>
      <c r="AO10" s="423">
        <f>AO5*0.002723*U48</f>
        <v>10.856978897939999</v>
      </c>
      <c r="AP10" s="423">
        <f>AP5*0.002723*U48</f>
        <v>3.6959928163199995</v>
      </c>
      <c r="AQ10" s="423">
        <f>AQ5*0.002723*U48</f>
        <v>0.69299865305999997</v>
      </c>
      <c r="AR10" s="423">
        <f>AR5*0.002723*U48</f>
        <v>1.0394979795899999</v>
      </c>
      <c r="AW10" s="21" t="s">
        <v>813</v>
      </c>
      <c r="AX10" s="272">
        <v>53</v>
      </c>
      <c r="AY10" s="749">
        <v>40498</v>
      </c>
      <c r="AZ10" s="749">
        <v>40498</v>
      </c>
      <c r="BA10" s="21" t="s">
        <v>426</v>
      </c>
      <c r="BB10" s="21" t="s">
        <v>799</v>
      </c>
      <c r="BC10" s="750" t="s">
        <v>804</v>
      </c>
      <c r="BD10" s="179">
        <v>8</v>
      </c>
      <c r="BE10" s="194">
        <v>8</v>
      </c>
      <c r="BF10" s="747"/>
      <c r="BG10" s="21" t="s">
        <v>797</v>
      </c>
      <c r="BH10" s="220">
        <v>3</v>
      </c>
      <c r="BI10" s="197">
        <v>40499</v>
      </c>
    </row>
    <row r="11" spans="1:61" ht="15.5" x14ac:dyDescent="0.35">
      <c r="A11" s="160" t="s">
        <v>188</v>
      </c>
      <c r="B11" s="138"/>
      <c r="C11" s="477"/>
      <c r="D11" s="160" t="s">
        <v>188</v>
      </c>
      <c r="E11" s="138"/>
      <c r="F11" s="138"/>
      <c r="G11" s="160" t="s">
        <v>188</v>
      </c>
      <c r="H11" s="138"/>
      <c r="I11" s="138"/>
      <c r="J11" s="160" t="s">
        <v>188</v>
      </c>
      <c r="K11" s="138"/>
      <c r="L11" s="138"/>
      <c r="O11" s="210" t="s">
        <v>613</v>
      </c>
      <c r="P11" s="423">
        <v>1.5</v>
      </c>
      <c r="Q11" s="423">
        <v>0.56999999999999995</v>
      </c>
      <c r="R11" s="423">
        <v>0.21</v>
      </c>
      <c r="S11" s="423">
        <v>0.7</v>
      </c>
      <c r="T11" s="423">
        <v>0.3</v>
      </c>
      <c r="U11" s="653">
        <v>0.32</v>
      </c>
      <c r="V11" s="653">
        <v>0.42</v>
      </c>
      <c r="W11" s="653">
        <v>0.42</v>
      </c>
      <c r="X11" s="653"/>
      <c r="Y11" s="653"/>
      <c r="Z11" s="304" t="s">
        <v>396</v>
      </c>
      <c r="AA11" s="603">
        <v>0.56597222222222221</v>
      </c>
      <c r="AB11" s="604">
        <v>19</v>
      </c>
      <c r="AC11" s="604">
        <v>8.3000000000000007</v>
      </c>
      <c r="AD11" s="604">
        <v>0.83</v>
      </c>
      <c r="AE11" s="604">
        <v>7.23</v>
      </c>
      <c r="AF11" s="604">
        <v>2.15</v>
      </c>
      <c r="AG11" s="371">
        <v>40</v>
      </c>
      <c r="AJ11">
        <v>40</v>
      </c>
      <c r="AN11" s="209" t="s">
        <v>613</v>
      </c>
      <c r="AO11" s="423">
        <f>AO6*0.002723*U49</f>
        <v>12.052150488000002</v>
      </c>
      <c r="AP11" s="423">
        <f>AP6*0.002723*U49</f>
        <v>2.2497347577600002</v>
      </c>
      <c r="AQ11" s="423">
        <f>AQ6*0.002723*U49</f>
        <v>1.17843249216</v>
      </c>
      <c r="AR11" s="423">
        <f>AR6*0.002723*U49</f>
        <v>0.16069533984000001</v>
      </c>
      <c r="AW11" s="751" t="s">
        <v>812</v>
      </c>
      <c r="AX11" s="272">
        <v>54</v>
      </c>
      <c r="AY11" s="749">
        <v>40498</v>
      </c>
      <c r="AZ11" s="749">
        <v>40498</v>
      </c>
      <c r="BA11" s="21" t="s">
        <v>222</v>
      </c>
      <c r="BB11" s="21" t="s">
        <v>799</v>
      </c>
      <c r="BC11" s="21" t="s">
        <v>803</v>
      </c>
      <c r="BD11" s="174">
        <v>360</v>
      </c>
      <c r="BE11" s="173">
        <v>360</v>
      </c>
      <c r="BF11" s="174"/>
      <c r="BG11" s="21" t="s">
        <v>797</v>
      </c>
      <c r="BH11" s="176">
        <v>2</v>
      </c>
      <c r="BI11" s="197">
        <v>40500</v>
      </c>
    </row>
    <row r="12" spans="1:61" ht="15.5" x14ac:dyDescent="0.35">
      <c r="A12" s="160" t="s">
        <v>185</v>
      </c>
      <c r="B12" s="84"/>
      <c r="C12" s="84"/>
      <c r="D12" s="160" t="s">
        <v>185</v>
      </c>
      <c r="E12" s="84"/>
      <c r="F12" s="84"/>
      <c r="G12" s="160" t="s">
        <v>185</v>
      </c>
      <c r="H12" s="84"/>
      <c r="I12" s="84"/>
      <c r="J12" s="160" t="s">
        <v>185</v>
      </c>
      <c r="K12" s="84"/>
      <c r="L12" s="84"/>
      <c r="O12" s="210" t="s">
        <v>397</v>
      </c>
      <c r="P12" s="423">
        <v>0.3</v>
      </c>
      <c r="Q12" s="423">
        <v>0.42</v>
      </c>
      <c r="R12" s="423">
        <v>0.15</v>
      </c>
      <c r="S12" s="423">
        <v>0.54</v>
      </c>
      <c r="T12" s="423">
        <v>0.03</v>
      </c>
      <c r="U12" s="653">
        <v>0.14000000000000001</v>
      </c>
      <c r="V12" s="653">
        <v>0.1</v>
      </c>
      <c r="W12" s="653">
        <v>0.3</v>
      </c>
      <c r="X12" s="653"/>
      <c r="Y12" s="653"/>
      <c r="Z12" s="304" t="s">
        <v>613</v>
      </c>
      <c r="AA12" s="603">
        <v>0.57638888888888895</v>
      </c>
      <c r="AB12" s="604">
        <v>19.100000000000001</v>
      </c>
      <c r="AC12" s="604">
        <v>8.24</v>
      </c>
      <c r="AD12" s="604">
        <v>0.81</v>
      </c>
      <c r="AE12" s="604">
        <v>6.63</v>
      </c>
      <c r="AF12" s="604">
        <v>2.0699999999999998</v>
      </c>
      <c r="AG12" s="371" t="s">
        <v>749</v>
      </c>
      <c r="AH12" s="21">
        <v>90</v>
      </c>
      <c r="AI12" s="641">
        <v>76</v>
      </c>
      <c r="AJ12" s="5">
        <f>GEOMEAN(AH12:AI12)</f>
        <v>82.704292512541329</v>
      </c>
      <c r="AN12" s="209" t="s">
        <v>397</v>
      </c>
      <c r="AO12" s="423">
        <f>AO7*0.002723*U50</f>
        <v>1.4295189606600001</v>
      </c>
      <c r="AP12" s="423">
        <f>AP7*0.002723*U50</f>
        <v>0.86708527122000012</v>
      </c>
      <c r="AQ12" s="423">
        <f>AQ7*0.002723*U50</f>
        <v>0.86708527122000012</v>
      </c>
      <c r="AR12" s="423">
        <f>AR7*0.002723*U50</f>
        <v>0.23434737060000002</v>
      </c>
      <c r="AW12" s="751" t="s">
        <v>812</v>
      </c>
      <c r="AX12" s="272">
        <v>54</v>
      </c>
      <c r="AY12" s="749">
        <v>40498</v>
      </c>
      <c r="AZ12" s="749">
        <v>40498</v>
      </c>
      <c r="BA12" s="21" t="s">
        <v>216</v>
      </c>
      <c r="BB12" s="21" t="s">
        <v>799</v>
      </c>
      <c r="BC12" s="750" t="s">
        <v>802</v>
      </c>
      <c r="BD12" s="174">
        <v>23</v>
      </c>
      <c r="BE12" s="173">
        <v>23</v>
      </c>
      <c r="BF12" s="21"/>
      <c r="BG12" s="21" t="s">
        <v>797</v>
      </c>
      <c r="BH12" s="176">
        <v>2</v>
      </c>
      <c r="BI12" s="197">
        <v>40504</v>
      </c>
    </row>
    <row r="13" spans="1:61" ht="15.5" x14ac:dyDescent="0.35">
      <c r="A13" s="160" t="s">
        <v>186</v>
      </c>
      <c r="B13" s="84"/>
      <c r="C13" s="84"/>
      <c r="D13" s="160" t="s">
        <v>186</v>
      </c>
      <c r="E13" s="84"/>
      <c r="F13" s="84"/>
      <c r="G13" s="160" t="s">
        <v>186</v>
      </c>
      <c r="H13" s="84"/>
      <c r="I13" s="84"/>
      <c r="J13" s="160" t="s">
        <v>186</v>
      </c>
      <c r="K13" s="84"/>
      <c r="L13" s="84"/>
      <c r="Z13" s="304" t="s">
        <v>397</v>
      </c>
      <c r="AA13" s="603">
        <v>0.57291666666666663</v>
      </c>
      <c r="AB13" s="604">
        <v>21.2</v>
      </c>
      <c r="AC13" s="604">
        <v>8.2200000000000006</v>
      </c>
      <c r="AD13" s="604">
        <v>0.86</v>
      </c>
      <c r="AE13" s="604">
        <v>6.79</v>
      </c>
      <c r="AF13" s="604">
        <v>2.13</v>
      </c>
      <c r="AG13" s="371">
        <v>38</v>
      </c>
      <c r="AJ13">
        <v>38</v>
      </c>
      <c r="AN13" s="966" t="s">
        <v>23</v>
      </c>
      <c r="AO13" s="965">
        <v>40498</v>
      </c>
      <c r="AP13" s="965"/>
      <c r="AQ13" s="965"/>
      <c r="AR13" s="965"/>
      <c r="AW13" s="751" t="s">
        <v>812</v>
      </c>
      <c r="AX13" s="638">
        <v>54</v>
      </c>
      <c r="AY13" s="749">
        <v>40498</v>
      </c>
      <c r="AZ13" s="749">
        <v>40498</v>
      </c>
      <c r="BA13" s="181" t="s">
        <v>217</v>
      </c>
      <c r="BB13" s="21" t="s">
        <v>799</v>
      </c>
      <c r="BC13" s="750" t="s">
        <v>802</v>
      </c>
      <c r="BD13" s="179">
        <v>6</v>
      </c>
      <c r="BE13" s="194">
        <v>6</v>
      </c>
      <c r="BF13" s="747"/>
      <c r="BG13" s="21" t="s">
        <v>797</v>
      </c>
      <c r="BH13" s="220">
        <v>2</v>
      </c>
      <c r="BI13" s="197">
        <v>40504</v>
      </c>
    </row>
    <row r="14" spans="1:61" ht="26" x14ac:dyDescent="0.3">
      <c r="A14" s="21" t="s">
        <v>383</v>
      </c>
      <c r="D14" t="s">
        <v>403</v>
      </c>
      <c r="F14" t="s">
        <v>405</v>
      </c>
      <c r="Z14" s="905">
        <v>40379</v>
      </c>
      <c r="AA14" s="905"/>
      <c r="AB14" s="905"/>
      <c r="AC14" s="905"/>
      <c r="AD14" s="905"/>
      <c r="AE14" s="905"/>
      <c r="AF14" s="905"/>
      <c r="AG14" s="905"/>
      <c r="AJ14" s="21" t="s">
        <v>707</v>
      </c>
      <c r="AN14" s="967"/>
      <c r="AO14" s="707" t="s">
        <v>761</v>
      </c>
      <c r="AP14" s="707" t="s">
        <v>762</v>
      </c>
      <c r="AQ14" s="707" t="s">
        <v>79</v>
      </c>
      <c r="AR14" s="656" t="s">
        <v>756</v>
      </c>
      <c r="AW14" s="751" t="s">
        <v>812</v>
      </c>
      <c r="AX14" s="638">
        <v>54</v>
      </c>
      <c r="AY14" s="749">
        <v>40498</v>
      </c>
      <c r="AZ14" s="749">
        <v>40498</v>
      </c>
      <c r="BA14" s="21" t="s">
        <v>426</v>
      </c>
      <c r="BB14" s="21" t="s">
        <v>799</v>
      </c>
      <c r="BC14" s="750" t="s">
        <v>804</v>
      </c>
      <c r="BD14" s="179">
        <v>9</v>
      </c>
      <c r="BE14" s="194">
        <v>9</v>
      </c>
      <c r="BF14" s="747"/>
      <c r="BG14" s="21" t="s">
        <v>797</v>
      </c>
      <c r="BH14" s="220">
        <v>3</v>
      </c>
      <c r="BI14" s="197">
        <v>40499</v>
      </c>
    </row>
    <row r="15" spans="1:61" ht="14.5" x14ac:dyDescent="0.3">
      <c r="A15" s="21" t="s">
        <v>382</v>
      </c>
      <c r="B15" s="155">
        <v>40351</v>
      </c>
      <c r="D15" t="s">
        <v>404</v>
      </c>
      <c r="Z15" s="304" t="s">
        <v>395</v>
      </c>
      <c r="AA15" s="599">
        <v>0.56458333333333333</v>
      </c>
      <c r="AB15" s="600">
        <v>15.47</v>
      </c>
      <c r="AC15" s="600">
        <v>7.51</v>
      </c>
      <c r="AD15" s="600">
        <v>0.84799999999999998</v>
      </c>
      <c r="AE15" s="600">
        <v>8.09</v>
      </c>
      <c r="AF15" s="304"/>
      <c r="AG15" s="651" t="s">
        <v>750</v>
      </c>
      <c r="AH15" s="602">
        <v>80</v>
      </c>
      <c r="AI15">
        <v>128</v>
      </c>
      <c r="AJ15" s="5">
        <f>GEOMEAN(AH15:AI15)</f>
        <v>101.19288512538814</v>
      </c>
      <c r="AN15" s="469" t="s">
        <v>395</v>
      </c>
      <c r="AO15" s="706">
        <v>324</v>
      </c>
      <c r="AP15" s="706">
        <v>8</v>
      </c>
      <c r="AQ15" s="706">
        <v>7</v>
      </c>
      <c r="AR15" s="706">
        <v>7</v>
      </c>
      <c r="AW15" s="21" t="s">
        <v>811</v>
      </c>
      <c r="AX15" s="272">
        <v>55</v>
      </c>
      <c r="AY15" s="749">
        <v>40498</v>
      </c>
      <c r="AZ15" s="749">
        <v>40498</v>
      </c>
      <c r="BA15" s="21" t="s">
        <v>222</v>
      </c>
      <c r="BB15" s="21" t="s">
        <v>799</v>
      </c>
      <c r="BC15" s="21" t="s">
        <v>803</v>
      </c>
      <c r="BD15" s="174">
        <v>86</v>
      </c>
      <c r="BE15" s="173">
        <v>86</v>
      </c>
      <c r="BF15" s="174"/>
      <c r="BG15" s="21" t="s">
        <v>797</v>
      </c>
      <c r="BH15" s="176">
        <v>2</v>
      </c>
      <c r="BI15" s="197">
        <v>40500</v>
      </c>
    </row>
    <row r="16" spans="1:61" ht="14.5" x14ac:dyDescent="0.3">
      <c r="A16" s="951" t="s">
        <v>378</v>
      </c>
      <c r="B16" s="859"/>
      <c r="C16" s="952"/>
      <c r="D16" s="954" t="s">
        <v>379</v>
      </c>
      <c r="E16" s="954"/>
      <c r="F16" s="954"/>
      <c r="G16" s="951" t="s">
        <v>380</v>
      </c>
      <c r="H16" s="859"/>
      <c r="I16" s="952"/>
      <c r="J16" s="951" t="s">
        <v>381</v>
      </c>
      <c r="K16" s="859"/>
      <c r="L16" s="952"/>
      <c r="Z16" s="304" t="s">
        <v>396</v>
      </c>
      <c r="AA16" s="599">
        <v>0.55694444444444446</v>
      </c>
      <c r="AB16" s="600">
        <v>16.16</v>
      </c>
      <c r="AC16" s="600">
        <v>7.64</v>
      </c>
      <c r="AD16" s="600">
        <v>0.84799999999999998</v>
      </c>
      <c r="AE16" s="600">
        <v>7.73</v>
      </c>
      <c r="AF16" s="304"/>
      <c r="AG16" s="651" t="s">
        <v>751</v>
      </c>
      <c r="AH16" s="602">
        <v>48</v>
      </c>
      <c r="AI16">
        <v>160</v>
      </c>
      <c r="AJ16" s="5">
        <f>GEOMEAN(AH16:AI16)</f>
        <v>87.635609200826579</v>
      </c>
      <c r="AN16" s="469" t="s">
        <v>396</v>
      </c>
      <c r="AO16" s="706">
        <v>204</v>
      </c>
      <c r="AP16" s="706">
        <v>8</v>
      </c>
      <c r="AQ16" s="706">
        <v>9</v>
      </c>
      <c r="AR16" s="706">
        <v>5</v>
      </c>
      <c r="AW16" s="21" t="s">
        <v>811</v>
      </c>
      <c r="AX16" s="272">
        <v>55</v>
      </c>
      <c r="AY16" s="749">
        <v>40498</v>
      </c>
      <c r="AZ16" s="749">
        <v>40498</v>
      </c>
      <c r="BA16" s="21" t="s">
        <v>216</v>
      </c>
      <c r="BB16" s="21" t="s">
        <v>799</v>
      </c>
      <c r="BC16" s="750" t="s">
        <v>802</v>
      </c>
      <c r="BD16" s="174">
        <v>118</v>
      </c>
      <c r="BE16" s="173">
        <v>118</v>
      </c>
      <c r="BF16" s="21"/>
      <c r="BG16" s="21" t="s">
        <v>797</v>
      </c>
      <c r="BH16" s="176">
        <v>2</v>
      </c>
      <c r="BI16" s="197">
        <v>40504</v>
      </c>
    </row>
    <row r="17" spans="1:61" ht="15.5" x14ac:dyDescent="0.35">
      <c r="A17" s="436" t="s">
        <v>184</v>
      </c>
      <c r="B17" s="955">
        <v>5.486111111111111E-2</v>
      </c>
      <c r="C17" s="956"/>
      <c r="D17" s="436" t="s">
        <v>184</v>
      </c>
      <c r="E17" s="955">
        <v>6.5972222222222224E-2</v>
      </c>
      <c r="F17" s="956"/>
      <c r="G17" s="537" t="s">
        <v>184</v>
      </c>
      <c r="H17" s="953">
        <v>7.7083333333333337E-2</v>
      </c>
      <c r="I17" s="953"/>
      <c r="J17" s="537" t="s">
        <v>184</v>
      </c>
      <c r="K17" s="959">
        <v>7.1527777777777787E-2</v>
      </c>
      <c r="L17" s="892"/>
      <c r="Z17" s="304" t="s">
        <v>613</v>
      </c>
      <c r="AA17" s="599">
        <v>0.54861111111111105</v>
      </c>
      <c r="AB17" s="600">
        <v>16.829999999999998</v>
      </c>
      <c r="AC17" s="600">
        <v>7.9</v>
      </c>
      <c r="AD17" s="600">
        <v>0.82899999999999996</v>
      </c>
      <c r="AE17" s="600">
        <v>7.32</v>
      </c>
      <c r="AF17" s="304"/>
      <c r="AG17" s="651" t="s">
        <v>752</v>
      </c>
      <c r="AH17" s="602">
        <v>128</v>
      </c>
      <c r="AI17">
        <v>280</v>
      </c>
      <c r="AJ17" s="5">
        <f>GEOMEAN(AH17:AI17)</f>
        <v>189.31455305918772</v>
      </c>
      <c r="AN17" s="469" t="s">
        <v>613</v>
      </c>
      <c r="AO17" s="706">
        <v>360</v>
      </c>
      <c r="AP17" s="706">
        <v>9</v>
      </c>
      <c r="AQ17" s="706">
        <v>23</v>
      </c>
      <c r="AR17" s="706">
        <v>6</v>
      </c>
      <c r="AW17" s="21" t="s">
        <v>811</v>
      </c>
      <c r="AX17" s="272">
        <v>55</v>
      </c>
      <c r="AY17" s="749">
        <v>40498</v>
      </c>
      <c r="AZ17" s="749">
        <v>40498</v>
      </c>
      <c r="BA17" s="181" t="s">
        <v>217</v>
      </c>
      <c r="BB17" s="21" t="s">
        <v>799</v>
      </c>
      <c r="BC17" s="750" t="s">
        <v>802</v>
      </c>
      <c r="BD17" s="179">
        <v>3</v>
      </c>
      <c r="BE17" s="194">
        <v>3</v>
      </c>
      <c r="BF17" s="747"/>
      <c r="BG17" s="21" t="s">
        <v>797</v>
      </c>
      <c r="BH17" s="220">
        <v>2</v>
      </c>
      <c r="BI17" s="197">
        <v>40504</v>
      </c>
    </row>
    <row r="18" spans="1:61" ht="15.5" x14ac:dyDescent="0.35">
      <c r="A18" s="436" t="s">
        <v>202</v>
      </c>
      <c r="B18" s="957">
        <v>34</v>
      </c>
      <c r="C18" s="958"/>
      <c r="D18" s="436" t="s">
        <v>202</v>
      </c>
      <c r="E18" s="957" t="s">
        <v>406</v>
      </c>
      <c r="F18" s="958"/>
      <c r="G18" s="537" t="s">
        <v>202</v>
      </c>
      <c r="H18" s="902" t="s">
        <v>400</v>
      </c>
      <c r="I18" s="902"/>
      <c r="J18" s="537" t="s">
        <v>202</v>
      </c>
      <c r="K18" s="891" t="s">
        <v>390</v>
      </c>
      <c r="L18" s="892"/>
      <c r="Z18" s="304" t="s">
        <v>397</v>
      </c>
      <c r="AA18" s="599">
        <v>0.55277777777777781</v>
      </c>
      <c r="AB18" s="600">
        <v>19.190000000000001</v>
      </c>
      <c r="AC18" s="600">
        <v>7.56</v>
      </c>
      <c r="AD18" s="600">
        <v>0.90500000000000003</v>
      </c>
      <c r="AE18" s="600">
        <v>7.08</v>
      </c>
      <c r="AF18" s="304"/>
      <c r="AG18" s="651" t="s">
        <v>753</v>
      </c>
      <c r="AH18" s="602">
        <v>40</v>
      </c>
      <c r="AI18">
        <v>64</v>
      </c>
      <c r="AJ18" s="5">
        <f>GEOMEAN(AH18:AI18)</f>
        <v>50.596442562694072</v>
      </c>
      <c r="AN18" s="469" t="s">
        <v>397</v>
      </c>
      <c r="AO18" s="706">
        <v>9</v>
      </c>
      <c r="AP18" s="706">
        <v>11</v>
      </c>
      <c r="AQ18" s="706">
        <v>118</v>
      </c>
      <c r="AR18" s="706">
        <v>3</v>
      </c>
      <c r="AW18" s="21" t="s">
        <v>811</v>
      </c>
      <c r="AX18" s="272">
        <v>55</v>
      </c>
      <c r="AY18" s="749">
        <v>40498</v>
      </c>
      <c r="AZ18" s="749">
        <v>40498</v>
      </c>
      <c r="BA18" s="21" t="s">
        <v>426</v>
      </c>
      <c r="BB18" s="21" t="s">
        <v>799</v>
      </c>
      <c r="BC18" s="750" t="s">
        <v>804</v>
      </c>
      <c r="BD18" s="179">
        <v>11</v>
      </c>
      <c r="BE18" s="173">
        <v>11</v>
      </c>
      <c r="BF18" s="21"/>
      <c r="BG18" s="21" t="s">
        <v>797</v>
      </c>
      <c r="BH18" s="176">
        <v>3</v>
      </c>
      <c r="BI18" s="197">
        <v>40499</v>
      </c>
    </row>
    <row r="19" spans="1:61" ht="15.5" x14ac:dyDescent="0.3">
      <c r="A19" s="440" t="s">
        <v>203</v>
      </c>
      <c r="B19" s="884" t="s">
        <v>398</v>
      </c>
      <c r="C19" s="885"/>
      <c r="D19" s="440" t="s">
        <v>203</v>
      </c>
      <c r="E19" s="881" t="s">
        <v>399</v>
      </c>
      <c r="F19" s="881"/>
      <c r="G19" s="538" t="s">
        <v>203</v>
      </c>
      <c r="H19" s="881" t="s">
        <v>401</v>
      </c>
      <c r="I19" s="881"/>
      <c r="J19" s="538" t="s">
        <v>203</v>
      </c>
      <c r="K19" s="891" t="s">
        <v>402</v>
      </c>
      <c r="L19" s="892"/>
      <c r="Z19" s="905">
        <v>40414</v>
      </c>
      <c r="AA19" s="905"/>
      <c r="AB19" s="905"/>
      <c r="AC19" s="905"/>
      <c r="AD19" s="905"/>
      <c r="AE19" s="905"/>
      <c r="AF19" s="905"/>
      <c r="AG19" s="905"/>
      <c r="AO19" s="880" t="s">
        <v>760</v>
      </c>
      <c r="AP19" s="880"/>
      <c r="AQ19" s="880"/>
      <c r="AR19" s="880"/>
      <c r="AW19" s="21"/>
      <c r="AX19" s="272"/>
      <c r="AY19" s="749"/>
      <c r="AZ19" s="749"/>
      <c r="BA19" s="21"/>
      <c r="BB19" s="21"/>
      <c r="BC19" s="21"/>
      <c r="BD19" s="195"/>
      <c r="BE19" s="196"/>
      <c r="BF19" s="21"/>
      <c r="BG19" s="21"/>
      <c r="BH19" s="176"/>
      <c r="BI19" s="197"/>
    </row>
    <row r="20" spans="1:61" ht="35.5" x14ac:dyDescent="0.35">
      <c r="A20" s="433" t="s">
        <v>204</v>
      </c>
      <c r="B20" s="433" t="s">
        <v>205</v>
      </c>
      <c r="C20" s="434" t="s">
        <v>206</v>
      </c>
      <c r="D20" s="433" t="s">
        <v>204</v>
      </c>
      <c r="E20" s="433" t="s">
        <v>205</v>
      </c>
      <c r="F20" s="434" t="s">
        <v>206</v>
      </c>
      <c r="G20" s="433" t="s">
        <v>204</v>
      </c>
      <c r="H20" s="433" t="s">
        <v>205</v>
      </c>
      <c r="I20" s="434" t="s">
        <v>206</v>
      </c>
      <c r="J20" s="433" t="s">
        <v>204</v>
      </c>
      <c r="K20" s="433" t="s">
        <v>205</v>
      </c>
      <c r="L20" s="434" t="s">
        <v>206</v>
      </c>
      <c r="Z20" s="304" t="s">
        <v>395</v>
      </c>
      <c r="AA20" s="605">
        <v>0.4680555555555555</v>
      </c>
      <c r="AB20" s="304">
        <v>12.7</v>
      </c>
      <c r="AC20" s="304">
        <v>8.57</v>
      </c>
      <c r="AD20" s="304">
        <v>0.84</v>
      </c>
      <c r="AE20" s="304">
        <v>10.29</v>
      </c>
      <c r="AF20" s="304"/>
      <c r="AG20" s="324">
        <v>52</v>
      </c>
      <c r="AJ20" s="968" t="s">
        <v>708</v>
      </c>
      <c r="AK20" s="968"/>
      <c r="AN20" s="209" t="s">
        <v>395</v>
      </c>
      <c r="AO20" s="423">
        <f>AO15*0.002723*V47</f>
        <v>27.292289169600004</v>
      </c>
      <c r="AP20" s="423">
        <f>AP15*0.002723*V47</f>
        <v>0.67388368320000014</v>
      </c>
      <c r="AQ20" s="423">
        <f>AQ15*0.002723*V47</f>
        <v>0.58964822280000007</v>
      </c>
      <c r="AR20" s="423">
        <f>AR15*0.002723*V47</f>
        <v>0.58964822280000007</v>
      </c>
      <c r="AW20" s="21" t="s">
        <v>810</v>
      </c>
      <c r="AX20" s="21" t="s">
        <v>809</v>
      </c>
      <c r="AY20" s="171">
        <v>40477</v>
      </c>
      <c r="AZ20" s="171">
        <v>40477</v>
      </c>
      <c r="BA20" s="21" t="s">
        <v>423</v>
      </c>
      <c r="BB20" s="21" t="s">
        <v>799</v>
      </c>
      <c r="BC20" s="21" t="s">
        <v>803</v>
      </c>
      <c r="BD20" s="174">
        <v>197</v>
      </c>
      <c r="BE20" s="173">
        <v>197</v>
      </c>
      <c r="BF20" s="174"/>
      <c r="BG20" s="21" t="s">
        <v>797</v>
      </c>
      <c r="BH20" s="176">
        <v>2</v>
      </c>
      <c r="BI20" s="177">
        <v>40483</v>
      </c>
    </row>
    <row r="21" spans="1:61" ht="15.5" x14ac:dyDescent="0.35">
      <c r="A21" s="160">
        <v>1</v>
      </c>
      <c r="B21" s="138">
        <v>0.8</v>
      </c>
      <c r="C21" s="477">
        <v>0.66</v>
      </c>
      <c r="D21" s="160">
        <v>1</v>
      </c>
      <c r="E21" s="138">
        <v>0.33</v>
      </c>
      <c r="F21" s="84">
        <v>1.1499999999999999</v>
      </c>
      <c r="G21" s="160">
        <v>1</v>
      </c>
      <c r="H21" s="138">
        <v>0.3</v>
      </c>
      <c r="I21" s="84">
        <v>1</v>
      </c>
      <c r="J21" s="160">
        <v>1</v>
      </c>
      <c r="K21" s="138">
        <v>0.35</v>
      </c>
      <c r="L21" s="84">
        <v>1</v>
      </c>
      <c r="Z21" s="304" t="s">
        <v>396</v>
      </c>
      <c r="AA21" s="605">
        <v>0.45624999999999999</v>
      </c>
      <c r="AB21" s="304">
        <v>12.7</v>
      </c>
      <c r="AC21" s="304">
        <v>8.41</v>
      </c>
      <c r="AD21" s="304">
        <v>0.84</v>
      </c>
      <c r="AE21" s="304">
        <v>10.02</v>
      </c>
      <c r="AF21" s="304"/>
      <c r="AG21" s="324">
        <v>236</v>
      </c>
      <c r="AJ21" s="969" t="s">
        <v>620</v>
      </c>
      <c r="AK21" s="364">
        <v>2010</v>
      </c>
      <c r="AN21" s="209" t="s">
        <v>396</v>
      </c>
      <c r="AO21" s="423">
        <f>AO16*0.002723*V48</f>
        <v>14.2098742044</v>
      </c>
      <c r="AP21" s="423">
        <f>AP16*0.002723*V48</f>
        <v>0.5572499688</v>
      </c>
      <c r="AQ21" s="423">
        <f>AQ16*0.002723*V48</f>
        <v>0.62690621489999998</v>
      </c>
      <c r="AR21" s="423">
        <f>AR16*0.002723*V48</f>
        <v>0.34828123050000004</v>
      </c>
      <c r="AW21" s="21" t="s">
        <v>810</v>
      </c>
      <c r="AX21" s="21" t="s">
        <v>809</v>
      </c>
      <c r="AY21" s="171">
        <v>40477</v>
      </c>
      <c r="AZ21" s="171">
        <v>40477</v>
      </c>
      <c r="BA21" s="181" t="s">
        <v>217</v>
      </c>
      <c r="BB21" s="21" t="s">
        <v>799</v>
      </c>
      <c r="BC21" s="750" t="s">
        <v>802</v>
      </c>
      <c r="BD21" s="179">
        <v>4</v>
      </c>
      <c r="BE21" s="194">
        <v>4</v>
      </c>
      <c r="BF21" s="747"/>
      <c r="BG21" s="21" t="s">
        <v>797</v>
      </c>
      <c r="BH21" s="220">
        <v>2</v>
      </c>
      <c r="BI21" s="746">
        <v>40484</v>
      </c>
    </row>
    <row r="22" spans="1:61" ht="15.5" x14ac:dyDescent="0.35">
      <c r="A22" s="160">
        <v>2</v>
      </c>
      <c r="B22" s="138">
        <v>0.62</v>
      </c>
      <c r="C22" s="477">
        <v>0.7</v>
      </c>
      <c r="D22" s="160">
        <v>2</v>
      </c>
      <c r="E22" s="138">
        <v>0.5</v>
      </c>
      <c r="F22" s="138">
        <v>1.01</v>
      </c>
      <c r="G22" s="160">
        <v>2</v>
      </c>
      <c r="H22" s="138"/>
      <c r="I22" s="138"/>
      <c r="J22" s="160">
        <v>2</v>
      </c>
      <c r="K22" s="138"/>
      <c r="L22" s="138"/>
      <c r="Z22" s="304" t="s">
        <v>613</v>
      </c>
      <c r="AA22" s="605">
        <v>0.4465277777777778</v>
      </c>
      <c r="AB22" s="304">
        <v>12.5</v>
      </c>
      <c r="AC22" s="304">
        <v>8.34</v>
      </c>
      <c r="AD22" s="304">
        <v>0.81</v>
      </c>
      <c r="AE22" s="304">
        <v>9.52</v>
      </c>
      <c r="AF22" s="304"/>
      <c r="AG22" s="324">
        <v>32</v>
      </c>
      <c r="AJ22" s="969"/>
      <c r="AK22" s="364" t="s">
        <v>707</v>
      </c>
      <c r="AN22" s="209" t="s">
        <v>613</v>
      </c>
      <c r="AO22" s="423">
        <f>AO17*0.002723*V49</f>
        <v>24.493080024000001</v>
      </c>
      <c r="AP22" s="423">
        <f>AP17*0.002723*V49</f>
        <v>0.6123270006</v>
      </c>
      <c r="AQ22" s="423">
        <f>AQ17*0.002723*V49</f>
        <v>1.5648356682000002</v>
      </c>
      <c r="AR22" s="423">
        <f>AR17*0.002723*V49</f>
        <v>0.40821800040000006</v>
      </c>
      <c r="AW22" s="21" t="s">
        <v>810</v>
      </c>
      <c r="AX22" s="21" t="s">
        <v>809</v>
      </c>
      <c r="AY22" s="171">
        <v>40477</v>
      </c>
      <c r="AZ22" s="171">
        <v>40477</v>
      </c>
      <c r="BA22" s="21" t="s">
        <v>216</v>
      </c>
      <c r="BB22" s="21" t="s">
        <v>799</v>
      </c>
      <c r="BC22" s="21" t="s">
        <v>798</v>
      </c>
      <c r="BD22" s="174">
        <v>43</v>
      </c>
      <c r="BE22" s="173">
        <v>43</v>
      </c>
      <c r="BF22" s="21"/>
      <c r="BG22" s="21" t="s">
        <v>797</v>
      </c>
      <c r="BH22" s="176">
        <v>2</v>
      </c>
      <c r="BI22" s="177">
        <v>40484</v>
      </c>
    </row>
    <row r="23" spans="1:61" ht="15.5" x14ac:dyDescent="0.35">
      <c r="A23" s="160">
        <v>3</v>
      </c>
      <c r="B23" s="138"/>
      <c r="C23" s="477"/>
      <c r="D23" s="160">
        <v>3</v>
      </c>
      <c r="E23" s="138"/>
      <c r="F23" s="138"/>
      <c r="G23" s="160">
        <v>3</v>
      </c>
      <c r="H23" s="138"/>
      <c r="I23" s="138"/>
      <c r="J23" s="160">
        <v>3</v>
      </c>
      <c r="K23" s="138"/>
      <c r="L23" s="138"/>
      <c r="Z23" s="304" t="s">
        <v>397</v>
      </c>
      <c r="AA23" s="605">
        <v>0.44236111111111115</v>
      </c>
      <c r="AB23" s="304">
        <v>13.5</v>
      </c>
      <c r="AC23" s="304">
        <v>8.26</v>
      </c>
      <c r="AD23" s="304">
        <v>0.86</v>
      </c>
      <c r="AE23" s="304">
        <v>9.69</v>
      </c>
      <c r="AF23" s="304"/>
      <c r="AG23" s="324">
        <v>36</v>
      </c>
      <c r="AJ23" s="307" t="s">
        <v>395</v>
      </c>
      <c r="AK23" s="115">
        <f>GEOMEAN(AG5,AG10,AH15,AI15,AG20,AG25,AG30,AG35,AG40)</f>
        <v>13.367813036466488</v>
      </c>
      <c r="AN23" s="209" t="s">
        <v>397</v>
      </c>
      <c r="AO23" s="423">
        <f>AO18*0.002723*V50</f>
        <v>0.14579214300000001</v>
      </c>
      <c r="AP23" s="423">
        <f>AP18*0.002723*V50</f>
        <v>0.17819039700000003</v>
      </c>
      <c r="AQ23" s="423">
        <f>AQ18*0.002723*V50</f>
        <v>1.9114969860000004</v>
      </c>
      <c r="AR23" s="423">
        <f>AR18*0.002723*V50</f>
        <v>4.8597381000000009E-2</v>
      </c>
      <c r="AW23" s="21" t="s">
        <v>810</v>
      </c>
      <c r="AX23" s="21" t="s">
        <v>809</v>
      </c>
      <c r="AY23" s="171">
        <v>40477</v>
      </c>
      <c r="AZ23" s="171">
        <v>40477</v>
      </c>
      <c r="BA23" s="21" t="s">
        <v>426</v>
      </c>
      <c r="BB23" s="21" t="s">
        <v>799</v>
      </c>
      <c r="BC23" s="21" t="s">
        <v>804</v>
      </c>
      <c r="BD23" s="174">
        <v>43</v>
      </c>
      <c r="BE23" s="173">
        <v>43</v>
      </c>
      <c r="BF23" s="21"/>
      <c r="BG23" s="21" t="s">
        <v>797</v>
      </c>
      <c r="BH23" s="176">
        <v>3</v>
      </c>
      <c r="BI23" s="177">
        <v>40478</v>
      </c>
    </row>
    <row r="24" spans="1:61" ht="15.5" x14ac:dyDescent="0.35">
      <c r="A24" s="160"/>
      <c r="B24" s="138"/>
      <c r="C24" s="477">
        <v>1.1499999999999999</v>
      </c>
      <c r="D24" s="160"/>
      <c r="E24" s="138"/>
      <c r="F24" s="138">
        <v>1.1499999999999999</v>
      </c>
      <c r="G24" s="160"/>
      <c r="H24" s="138"/>
      <c r="I24" s="138">
        <v>0.56999999999999995</v>
      </c>
      <c r="J24" s="160"/>
      <c r="K24" s="138"/>
      <c r="L24" s="138">
        <v>0.42</v>
      </c>
      <c r="Z24" s="905">
        <v>40449</v>
      </c>
      <c r="AA24" s="950"/>
      <c r="AB24" s="950"/>
      <c r="AC24" s="950"/>
      <c r="AD24" s="950"/>
      <c r="AE24" s="950"/>
      <c r="AF24" s="905"/>
      <c r="AG24" s="950"/>
      <c r="AJ24" s="307" t="s">
        <v>396</v>
      </c>
      <c r="AK24" s="115">
        <f>GEOMEAN(AG6,AG11,AH16,AI16,AG21,AG26,AG31,AG36,AG41)</f>
        <v>15.630254455915685</v>
      </c>
      <c r="AW24" s="21" t="s">
        <v>808</v>
      </c>
      <c r="AX24" s="21" t="s">
        <v>807</v>
      </c>
      <c r="AY24" s="171">
        <v>40477</v>
      </c>
      <c r="AZ24" s="171">
        <v>40477</v>
      </c>
      <c r="BA24" s="21" t="s">
        <v>426</v>
      </c>
      <c r="BB24" s="21" t="s">
        <v>799</v>
      </c>
      <c r="BC24" s="21" t="s">
        <v>804</v>
      </c>
      <c r="BD24" s="174">
        <v>32</v>
      </c>
      <c r="BE24" s="173">
        <v>32</v>
      </c>
      <c r="BF24" s="21"/>
      <c r="BG24" s="21" t="s">
        <v>797</v>
      </c>
      <c r="BH24" s="176">
        <v>3</v>
      </c>
      <c r="BI24" s="177">
        <v>40478</v>
      </c>
    </row>
    <row r="25" spans="1:61" ht="14.5" x14ac:dyDescent="0.3">
      <c r="Z25" s="307" t="s">
        <v>395</v>
      </c>
      <c r="AA25" s="599">
        <v>0.56041666666666667</v>
      </c>
      <c r="AB25" s="600">
        <v>12</v>
      </c>
      <c r="AC25" s="600">
        <v>7.77</v>
      </c>
      <c r="AD25" s="600">
        <v>0.84</v>
      </c>
      <c r="AE25" s="600">
        <v>8.34</v>
      </c>
      <c r="AF25" s="606"/>
      <c r="AG25" s="602">
        <v>16</v>
      </c>
      <c r="AJ25" s="307" t="s">
        <v>613</v>
      </c>
      <c r="AK25" s="115">
        <f>GEOMEAN(AG7,AH12,AI12,AH17,AI17,AG22,AG27,AG32,AG37,AG42)</f>
        <v>23.518618189355315</v>
      </c>
      <c r="AW25" s="21" t="s">
        <v>808</v>
      </c>
      <c r="AX25" s="21" t="s">
        <v>807</v>
      </c>
      <c r="AY25" s="171">
        <v>40477</v>
      </c>
      <c r="AZ25" s="171">
        <v>40477</v>
      </c>
      <c r="BA25" s="21" t="s">
        <v>423</v>
      </c>
      <c r="BB25" s="21" t="s">
        <v>799</v>
      </c>
      <c r="BC25" s="21" t="s">
        <v>803</v>
      </c>
      <c r="BD25" s="174">
        <v>94</v>
      </c>
      <c r="BE25" s="173">
        <v>94</v>
      </c>
      <c r="BF25" s="174"/>
      <c r="BG25" s="21" t="s">
        <v>797</v>
      </c>
      <c r="BH25" s="176">
        <v>2</v>
      </c>
      <c r="BI25" s="177">
        <v>40483</v>
      </c>
    </row>
    <row r="26" spans="1:61" ht="14.5" x14ac:dyDescent="0.3">
      <c r="Z26" s="307" t="s">
        <v>396</v>
      </c>
      <c r="AA26" s="599">
        <v>0.57222222222222219</v>
      </c>
      <c r="AB26" s="600">
        <v>14.3</v>
      </c>
      <c r="AC26" s="600">
        <v>7.94</v>
      </c>
      <c r="AD26" s="600">
        <v>0.8</v>
      </c>
      <c r="AE26" s="600">
        <v>7.48</v>
      </c>
      <c r="AF26" s="606"/>
      <c r="AG26" s="602">
        <v>16</v>
      </c>
      <c r="AJ26" s="307" t="s">
        <v>397</v>
      </c>
      <c r="AK26" s="115">
        <f>GEOMEAN(AG8,AG13,AH18,AI18,AG23,AG28,AG33,AG38,AG43)</f>
        <v>13.192351055904668</v>
      </c>
      <c r="AW26" s="21" t="s">
        <v>808</v>
      </c>
      <c r="AX26" s="21" t="s">
        <v>807</v>
      </c>
      <c r="AY26" s="171">
        <v>40477</v>
      </c>
      <c r="AZ26" s="171">
        <v>40477</v>
      </c>
      <c r="BA26" s="181" t="s">
        <v>217</v>
      </c>
      <c r="BB26" s="21" t="s">
        <v>799</v>
      </c>
      <c r="BC26" s="750" t="s">
        <v>802</v>
      </c>
      <c r="BD26" s="179">
        <v>9</v>
      </c>
      <c r="BE26" s="194">
        <v>9</v>
      </c>
      <c r="BF26" s="747"/>
      <c r="BG26" s="21" t="s">
        <v>797</v>
      </c>
      <c r="BH26" s="220">
        <v>2</v>
      </c>
      <c r="BI26" s="746">
        <v>40484</v>
      </c>
    </row>
    <row r="27" spans="1:61" ht="14.5" x14ac:dyDescent="0.3">
      <c r="A27" s="21" t="s">
        <v>383</v>
      </c>
      <c r="D27" t="s">
        <v>392</v>
      </c>
      <c r="G27" t="s">
        <v>394</v>
      </c>
      <c r="Z27" s="307" t="s">
        <v>613</v>
      </c>
      <c r="AA27" s="599">
        <v>0.58402777777777781</v>
      </c>
      <c r="AB27" s="600">
        <v>14.5</v>
      </c>
      <c r="AC27" s="600">
        <v>8.1</v>
      </c>
      <c r="AD27" s="600">
        <v>0.83</v>
      </c>
      <c r="AE27" s="600">
        <v>7.46</v>
      </c>
      <c r="AF27" s="606"/>
      <c r="AG27" s="602">
        <v>20</v>
      </c>
      <c r="AJ27" s="660" t="s">
        <v>755</v>
      </c>
      <c r="AK27" s="115">
        <f>GEOMEAN(AG5:AG8,AG10:AG11,AH12:AI12,AG13,AH15:AI18,AG20:AG23,AG25:AG28,AG30:AG33,AG35:AG38,AG40:AG43)</f>
        <v>16.124764934489356</v>
      </c>
      <c r="AW27" s="21" t="s">
        <v>808</v>
      </c>
      <c r="AX27" s="21" t="s">
        <v>807</v>
      </c>
      <c r="AY27" s="171">
        <v>40477</v>
      </c>
      <c r="AZ27" s="171">
        <v>40477</v>
      </c>
      <c r="BA27" s="21" t="s">
        <v>216</v>
      </c>
      <c r="BB27" s="21" t="s">
        <v>799</v>
      </c>
      <c r="BC27" s="21" t="s">
        <v>798</v>
      </c>
      <c r="BD27" s="174">
        <v>6</v>
      </c>
      <c r="BE27" s="173">
        <v>6</v>
      </c>
      <c r="BF27" s="21"/>
      <c r="BG27" s="21" t="s">
        <v>797</v>
      </c>
      <c r="BH27" s="176">
        <v>2</v>
      </c>
      <c r="BI27" s="177">
        <v>40484</v>
      </c>
    </row>
    <row r="28" spans="1:61" ht="14.5" x14ac:dyDescent="0.3">
      <c r="A28" s="21" t="s">
        <v>382</v>
      </c>
      <c r="B28" s="155">
        <v>40379</v>
      </c>
      <c r="D28" t="s">
        <v>393</v>
      </c>
      <c r="Z28" s="307" t="s">
        <v>397</v>
      </c>
      <c r="AA28" s="599">
        <v>0.57986111111111105</v>
      </c>
      <c r="AB28" s="600">
        <v>17.100000000000001</v>
      </c>
      <c r="AC28" s="600">
        <v>8.09</v>
      </c>
      <c r="AD28" s="600">
        <v>0.92</v>
      </c>
      <c r="AE28" s="600">
        <v>6.79</v>
      </c>
      <c r="AF28" s="606"/>
      <c r="AG28" s="602">
        <v>12</v>
      </c>
      <c r="AW28" s="21" t="s">
        <v>806</v>
      </c>
      <c r="AX28" s="21" t="s">
        <v>805</v>
      </c>
      <c r="AY28" s="171">
        <v>40477</v>
      </c>
      <c r="AZ28" s="171">
        <v>40477</v>
      </c>
      <c r="BA28" s="21" t="s">
        <v>426</v>
      </c>
      <c r="BB28" s="21" t="s">
        <v>799</v>
      </c>
      <c r="BC28" s="21" t="s">
        <v>804</v>
      </c>
      <c r="BD28" s="174">
        <v>42</v>
      </c>
      <c r="BE28" s="173">
        <v>42</v>
      </c>
      <c r="BF28" s="21"/>
      <c r="BG28" s="21" t="s">
        <v>797</v>
      </c>
      <c r="BH28" s="176">
        <v>3</v>
      </c>
      <c r="BI28" s="177">
        <v>40478</v>
      </c>
    </row>
    <row r="29" spans="1:61" ht="23.5" x14ac:dyDescent="0.3">
      <c r="A29" s="951" t="s">
        <v>378</v>
      </c>
      <c r="B29" s="859"/>
      <c r="C29" s="952"/>
      <c r="D29" s="954" t="s">
        <v>379</v>
      </c>
      <c r="E29" s="954"/>
      <c r="F29" s="954"/>
      <c r="G29" s="951" t="s">
        <v>380</v>
      </c>
      <c r="H29" s="859"/>
      <c r="I29" s="952"/>
      <c r="J29" s="951" t="s">
        <v>381</v>
      </c>
      <c r="K29" s="859"/>
      <c r="L29" s="952"/>
      <c r="O29" s="141" t="s">
        <v>204</v>
      </c>
      <c r="P29" s="141" t="s">
        <v>205</v>
      </c>
      <c r="Q29" s="142" t="s">
        <v>206</v>
      </c>
      <c r="R29" s="141" t="s">
        <v>207</v>
      </c>
      <c r="S29" s="142" t="s">
        <v>208</v>
      </c>
      <c r="Z29" s="905">
        <v>40477</v>
      </c>
      <c r="AA29" s="950"/>
      <c r="AB29" s="950"/>
      <c r="AC29" s="950"/>
      <c r="AD29" s="950"/>
      <c r="AE29" s="950"/>
      <c r="AF29" s="905"/>
      <c r="AG29" s="950"/>
      <c r="AW29" s="21" t="s">
        <v>806</v>
      </c>
      <c r="AX29" s="21" t="s">
        <v>805</v>
      </c>
      <c r="AY29" s="171">
        <v>40477</v>
      </c>
      <c r="AZ29" s="171">
        <v>40477</v>
      </c>
      <c r="BA29" s="21" t="s">
        <v>423</v>
      </c>
      <c r="BB29" s="21" t="s">
        <v>799</v>
      </c>
      <c r="BC29" s="21" t="s">
        <v>803</v>
      </c>
      <c r="BD29" s="174">
        <v>225</v>
      </c>
      <c r="BE29" s="173">
        <v>225</v>
      </c>
      <c r="BF29" s="174"/>
      <c r="BG29" s="21" t="s">
        <v>797</v>
      </c>
      <c r="BH29" s="176">
        <v>2</v>
      </c>
      <c r="BI29" s="177">
        <v>40483</v>
      </c>
    </row>
    <row r="30" spans="1:61" ht="15.5" x14ac:dyDescent="0.35">
      <c r="A30" s="436" t="s">
        <v>184</v>
      </c>
      <c r="B30" s="955">
        <v>6.458333333333334E-2</v>
      </c>
      <c r="C30" s="956"/>
      <c r="D30" s="436" t="s">
        <v>184</v>
      </c>
      <c r="E30" s="955">
        <v>5.6944444444444443E-2</v>
      </c>
      <c r="F30" s="956"/>
      <c r="G30" s="537" t="s">
        <v>184</v>
      </c>
      <c r="H30" s="953">
        <v>4.9999999999999996E-2</v>
      </c>
      <c r="I30" s="953"/>
      <c r="J30" s="537" t="s">
        <v>184</v>
      </c>
      <c r="K30" s="959">
        <v>5.2777777777777778E-2</v>
      </c>
      <c r="L30" s="892"/>
      <c r="O30" s="138">
        <v>0</v>
      </c>
      <c r="P30" s="138">
        <v>0.34</v>
      </c>
      <c r="Q30" s="477">
        <v>1.1100000000000001</v>
      </c>
      <c r="R30" s="138">
        <f>P30*0.95</f>
        <v>0.32300000000000001</v>
      </c>
      <c r="S30" s="139">
        <f t="shared" ref="S30:S35" si="0">Q30*R30</f>
        <v>0.35853000000000002</v>
      </c>
      <c r="Z30" s="307" t="s">
        <v>395</v>
      </c>
      <c r="AA30" s="599">
        <v>0.38541666666666669</v>
      </c>
      <c r="AB30" s="600">
        <v>2.4</v>
      </c>
      <c r="AC30" s="600">
        <v>7.98</v>
      </c>
      <c r="AD30" s="600">
        <v>0.85</v>
      </c>
      <c r="AE30" s="600">
        <v>10.27</v>
      </c>
      <c r="AF30" s="606"/>
      <c r="AG30" s="602">
        <v>2</v>
      </c>
      <c r="AW30" s="21" t="s">
        <v>806</v>
      </c>
      <c r="AX30" s="21" t="s">
        <v>805</v>
      </c>
      <c r="AY30" s="171">
        <v>40477</v>
      </c>
      <c r="AZ30" s="171">
        <v>40477</v>
      </c>
      <c r="BA30" s="181" t="s">
        <v>217</v>
      </c>
      <c r="BB30" s="21" t="s">
        <v>799</v>
      </c>
      <c r="BC30" s="750" t="s">
        <v>802</v>
      </c>
      <c r="BD30" s="179">
        <v>3</v>
      </c>
      <c r="BE30" s="194">
        <v>3</v>
      </c>
      <c r="BF30" s="747"/>
      <c r="BG30" s="21" t="s">
        <v>797</v>
      </c>
      <c r="BH30" s="220">
        <v>2</v>
      </c>
      <c r="BI30" s="746">
        <v>40484</v>
      </c>
    </row>
    <row r="31" spans="1:61" ht="15.5" x14ac:dyDescent="0.35">
      <c r="A31" s="436" t="s">
        <v>202</v>
      </c>
      <c r="B31" s="957">
        <v>32</v>
      </c>
      <c r="C31" s="958"/>
      <c r="D31" s="436" t="s">
        <v>202</v>
      </c>
      <c r="E31" s="957" t="s">
        <v>406</v>
      </c>
      <c r="F31" s="958"/>
      <c r="G31" s="537" t="s">
        <v>202</v>
      </c>
      <c r="H31" s="902" t="s">
        <v>388</v>
      </c>
      <c r="I31" s="902"/>
      <c r="J31" s="537" t="s">
        <v>202</v>
      </c>
      <c r="K31" s="891" t="s">
        <v>390</v>
      </c>
      <c r="L31" s="892"/>
      <c r="O31" s="138">
        <v>2</v>
      </c>
      <c r="P31" s="138">
        <v>0.35</v>
      </c>
      <c r="Q31" s="477">
        <v>0.51</v>
      </c>
      <c r="R31" s="138">
        <f>P31*0.95</f>
        <v>0.33249999999999996</v>
      </c>
      <c r="S31" s="139">
        <f t="shared" si="0"/>
        <v>0.16957499999999998</v>
      </c>
      <c r="Z31" s="307" t="s">
        <v>396</v>
      </c>
      <c r="AA31" s="599">
        <v>0.39305555555555555</v>
      </c>
      <c r="AB31" s="600">
        <v>2.1</v>
      </c>
      <c r="AC31" s="600">
        <v>8.0500000000000007</v>
      </c>
      <c r="AD31" s="600">
        <v>0.84</v>
      </c>
      <c r="AE31" s="600">
        <v>9.85</v>
      </c>
      <c r="AF31" s="606"/>
      <c r="AG31" s="602">
        <v>4</v>
      </c>
      <c r="AW31" s="21" t="s">
        <v>806</v>
      </c>
      <c r="AX31" s="21" t="s">
        <v>805</v>
      </c>
      <c r="AY31" s="171">
        <v>40477</v>
      </c>
      <c r="AZ31" s="171">
        <v>40477</v>
      </c>
      <c r="BA31" s="21" t="s">
        <v>216</v>
      </c>
      <c r="BB31" s="21" t="s">
        <v>799</v>
      </c>
      <c r="BC31" s="21" t="s">
        <v>798</v>
      </c>
      <c r="BD31" s="174">
        <v>22</v>
      </c>
      <c r="BE31" s="173">
        <v>22</v>
      </c>
      <c r="BF31" s="21"/>
      <c r="BG31" s="21" t="s">
        <v>797</v>
      </c>
      <c r="BH31" s="176">
        <v>2</v>
      </c>
      <c r="BI31" s="177">
        <v>40484</v>
      </c>
    </row>
    <row r="32" spans="1:61" ht="15.5" x14ac:dyDescent="0.35">
      <c r="A32" s="440" t="s">
        <v>203</v>
      </c>
      <c r="B32" s="960" t="s">
        <v>386</v>
      </c>
      <c r="C32" s="961"/>
      <c r="D32" s="628" t="s">
        <v>203</v>
      </c>
      <c r="E32" s="962" t="s">
        <v>387</v>
      </c>
      <c r="F32" s="962"/>
      <c r="G32" s="629" t="s">
        <v>203</v>
      </c>
      <c r="H32" s="962" t="s">
        <v>389</v>
      </c>
      <c r="I32" s="962"/>
      <c r="J32" s="629" t="s">
        <v>203</v>
      </c>
      <c r="K32" s="963" t="s">
        <v>391</v>
      </c>
      <c r="L32" s="964"/>
      <c r="O32" s="138">
        <v>4</v>
      </c>
      <c r="P32" s="138">
        <v>0.28000000000000003</v>
      </c>
      <c r="Q32" s="477">
        <v>0.47</v>
      </c>
      <c r="R32" s="138">
        <f>P32*0.95</f>
        <v>0.26600000000000001</v>
      </c>
      <c r="S32" s="139">
        <f t="shared" si="0"/>
        <v>0.12501999999999999</v>
      </c>
      <c r="Z32" s="307" t="s">
        <v>613</v>
      </c>
      <c r="AA32" s="599">
        <v>0.39999999999999997</v>
      </c>
      <c r="AB32" s="600">
        <v>1.8</v>
      </c>
      <c r="AC32" s="600">
        <v>8.24</v>
      </c>
      <c r="AD32" s="600">
        <v>0.84</v>
      </c>
      <c r="AE32" s="600">
        <v>9.81</v>
      </c>
      <c r="AF32" s="606"/>
      <c r="AG32" s="602">
        <v>2</v>
      </c>
      <c r="AW32" s="21" t="s">
        <v>801</v>
      </c>
      <c r="AX32" s="21" t="s">
        <v>800</v>
      </c>
      <c r="AY32" s="171">
        <v>40477</v>
      </c>
      <c r="AZ32" s="171">
        <v>40477</v>
      </c>
      <c r="BA32" s="21" t="s">
        <v>426</v>
      </c>
      <c r="BB32" s="21" t="s">
        <v>799</v>
      </c>
      <c r="BC32" s="21" t="s">
        <v>804</v>
      </c>
      <c r="BD32" s="174">
        <v>37</v>
      </c>
      <c r="BE32" s="173">
        <v>37</v>
      </c>
      <c r="BF32" s="21"/>
      <c r="BG32" s="21" t="s">
        <v>797</v>
      </c>
      <c r="BH32" s="176">
        <v>3</v>
      </c>
      <c r="BI32" s="177">
        <v>40478</v>
      </c>
    </row>
    <row r="33" spans="1:61" ht="35.5" x14ac:dyDescent="0.35">
      <c r="A33" s="433" t="s">
        <v>204</v>
      </c>
      <c r="B33" s="433" t="s">
        <v>205</v>
      </c>
      <c r="C33" s="434" t="s">
        <v>206</v>
      </c>
      <c r="D33" s="433" t="s">
        <v>204</v>
      </c>
      <c r="E33" s="433" t="s">
        <v>205</v>
      </c>
      <c r="F33" s="434" t="s">
        <v>206</v>
      </c>
      <c r="G33" s="433" t="s">
        <v>204</v>
      </c>
      <c r="H33" s="433" t="s">
        <v>205</v>
      </c>
      <c r="I33" s="434" t="s">
        <v>206</v>
      </c>
      <c r="J33" s="433" t="s">
        <v>204</v>
      </c>
      <c r="K33" s="433" t="s">
        <v>205</v>
      </c>
      <c r="L33" s="434" t="s">
        <v>206</v>
      </c>
      <c r="O33" s="138">
        <v>6</v>
      </c>
      <c r="P33" s="138"/>
      <c r="Q33" s="138"/>
      <c r="R33" s="138">
        <f>P33*3</f>
        <v>0</v>
      </c>
      <c r="S33" s="139">
        <f t="shared" si="0"/>
        <v>0</v>
      </c>
      <c r="Z33" s="307" t="s">
        <v>397</v>
      </c>
      <c r="AA33" s="599">
        <v>0.40277777777777773</v>
      </c>
      <c r="AB33" s="600">
        <v>1.7</v>
      </c>
      <c r="AC33" s="600">
        <v>8</v>
      </c>
      <c r="AD33" s="600">
        <v>0.85</v>
      </c>
      <c r="AE33" s="600">
        <v>9.8000000000000007</v>
      </c>
      <c r="AF33" s="606"/>
      <c r="AG33" s="602">
        <v>4</v>
      </c>
      <c r="AW33" s="21" t="s">
        <v>801</v>
      </c>
      <c r="AX33" s="21" t="s">
        <v>800</v>
      </c>
      <c r="AY33" s="171">
        <v>40477</v>
      </c>
      <c r="AZ33" s="171">
        <v>40477</v>
      </c>
      <c r="BA33" s="21" t="s">
        <v>423</v>
      </c>
      <c r="BB33" s="21" t="s">
        <v>799</v>
      </c>
      <c r="BC33" s="21" t="s">
        <v>803</v>
      </c>
      <c r="BD33" s="174">
        <v>61</v>
      </c>
      <c r="BE33" s="173">
        <v>61</v>
      </c>
      <c r="BF33" s="174"/>
      <c r="BG33" s="21" t="s">
        <v>797</v>
      </c>
      <c r="BH33" s="176">
        <v>2</v>
      </c>
      <c r="BI33" s="177">
        <v>40483</v>
      </c>
    </row>
    <row r="34" spans="1:61" ht="15.5" x14ac:dyDescent="0.35">
      <c r="A34" s="160">
        <v>0.5</v>
      </c>
      <c r="B34" s="138">
        <v>0.44</v>
      </c>
      <c r="C34" s="477">
        <v>0.9</v>
      </c>
      <c r="D34" s="160">
        <v>1</v>
      </c>
      <c r="E34" s="138">
        <v>0.15</v>
      </c>
      <c r="F34" s="84">
        <v>0.37</v>
      </c>
      <c r="G34" s="160">
        <v>0.5</v>
      </c>
      <c r="H34" s="138">
        <v>0.32</v>
      </c>
      <c r="I34" s="84">
        <v>0.22</v>
      </c>
      <c r="J34" s="160">
        <v>1</v>
      </c>
      <c r="K34" s="138">
        <v>0.23</v>
      </c>
      <c r="L34" s="84">
        <v>0.53</v>
      </c>
      <c r="P34" s="138"/>
      <c r="Q34" s="138"/>
      <c r="R34" s="138">
        <f>P34*2</f>
        <v>0</v>
      </c>
      <c r="S34" s="139">
        <f t="shared" si="0"/>
        <v>0</v>
      </c>
      <c r="Z34" s="905">
        <v>40498</v>
      </c>
      <c r="AA34" s="950"/>
      <c r="AB34" s="950"/>
      <c r="AC34" s="950"/>
      <c r="AD34" s="950"/>
      <c r="AE34" s="950"/>
      <c r="AF34" s="905"/>
      <c r="AG34" s="950"/>
      <c r="AW34" s="21" t="s">
        <v>801</v>
      </c>
      <c r="AX34" s="21" t="s">
        <v>800</v>
      </c>
      <c r="AY34" s="171">
        <v>40477</v>
      </c>
      <c r="AZ34" s="171">
        <v>40477</v>
      </c>
      <c r="BA34" s="181" t="s">
        <v>217</v>
      </c>
      <c r="BB34" s="21" t="s">
        <v>799</v>
      </c>
      <c r="BC34" s="750" t="s">
        <v>802</v>
      </c>
      <c r="BD34" s="179">
        <v>10</v>
      </c>
      <c r="BE34" s="194">
        <v>10</v>
      </c>
      <c r="BF34" s="747"/>
      <c r="BG34" s="21" t="s">
        <v>797</v>
      </c>
      <c r="BH34" s="220">
        <v>2</v>
      </c>
      <c r="BI34" s="746">
        <v>40484</v>
      </c>
    </row>
    <row r="35" spans="1:61" ht="15.5" x14ac:dyDescent="0.35">
      <c r="A35" s="160">
        <v>1</v>
      </c>
      <c r="B35" s="138">
        <v>0.22</v>
      </c>
      <c r="C35" s="477">
        <v>0.65</v>
      </c>
      <c r="D35" s="160">
        <v>2</v>
      </c>
      <c r="E35" s="138">
        <v>0.32</v>
      </c>
      <c r="F35" s="138">
        <v>0.77</v>
      </c>
      <c r="G35" s="160">
        <v>1</v>
      </c>
      <c r="H35" s="138">
        <v>0.38</v>
      </c>
      <c r="I35" s="138">
        <v>0.38</v>
      </c>
      <c r="J35" s="160">
        <v>2</v>
      </c>
      <c r="K35" s="138"/>
      <c r="L35" s="138"/>
      <c r="P35" s="138"/>
      <c r="Q35" s="138"/>
      <c r="R35" s="138">
        <f>P35*3</f>
        <v>0</v>
      </c>
      <c r="S35" s="139">
        <f t="shared" si="0"/>
        <v>0</v>
      </c>
      <c r="Z35" s="307" t="s">
        <v>395</v>
      </c>
      <c r="AA35" s="599">
        <v>0.39374999999999999</v>
      </c>
      <c r="AB35" s="600">
        <v>1.5</v>
      </c>
      <c r="AC35" s="600">
        <v>7.66</v>
      </c>
      <c r="AD35" s="600">
        <v>0.83499999999999996</v>
      </c>
      <c r="AE35" s="600">
        <v>9.86</v>
      </c>
      <c r="AF35" s="606"/>
      <c r="AG35" s="602">
        <v>1</v>
      </c>
      <c r="AW35" s="21" t="s">
        <v>801</v>
      </c>
      <c r="AX35" s="21" t="s">
        <v>800</v>
      </c>
      <c r="AY35" s="171">
        <v>40477</v>
      </c>
      <c r="AZ35" s="171">
        <v>40477</v>
      </c>
      <c r="BA35" s="21" t="s">
        <v>216</v>
      </c>
      <c r="BB35" s="21" t="s">
        <v>799</v>
      </c>
      <c r="BC35" s="21" t="s">
        <v>798</v>
      </c>
      <c r="BD35" s="174">
        <v>37</v>
      </c>
      <c r="BE35" s="173">
        <v>37</v>
      </c>
      <c r="BF35" s="21"/>
      <c r="BG35" s="21" t="s">
        <v>797</v>
      </c>
      <c r="BH35" s="176">
        <v>2</v>
      </c>
      <c r="BI35" s="177">
        <v>40484</v>
      </c>
    </row>
    <row r="36" spans="1:61" ht="15.5" x14ac:dyDescent="0.35">
      <c r="A36" s="160">
        <v>1.5</v>
      </c>
      <c r="B36" s="138">
        <v>0.36</v>
      </c>
      <c r="C36" s="477">
        <v>0.67</v>
      </c>
      <c r="D36" s="160">
        <v>3</v>
      </c>
      <c r="E36" s="138">
        <v>0.28000000000000003</v>
      </c>
      <c r="F36" s="138">
        <v>0.46</v>
      </c>
      <c r="G36" s="160">
        <v>1.5</v>
      </c>
      <c r="H36" s="138"/>
      <c r="I36" s="138"/>
      <c r="J36" s="160">
        <v>3</v>
      </c>
      <c r="K36" s="138"/>
      <c r="L36" s="138"/>
      <c r="P36" s="140"/>
      <c r="Q36" s="138"/>
      <c r="R36" s="138"/>
      <c r="S36" s="139"/>
      <c r="Z36" s="307" t="s">
        <v>396</v>
      </c>
      <c r="AA36" s="599">
        <v>0.40277777777777773</v>
      </c>
      <c r="AB36" s="600">
        <v>2.2000000000000002</v>
      </c>
      <c r="AC36" s="600">
        <v>7.9</v>
      </c>
      <c r="AD36" s="600">
        <v>0.81899999999999995</v>
      </c>
      <c r="AE36" s="600">
        <v>9.64</v>
      </c>
      <c r="AF36" s="606"/>
      <c r="AG36" s="602">
        <v>1</v>
      </c>
    </row>
    <row r="37" spans="1:61" ht="15.5" x14ac:dyDescent="0.35">
      <c r="A37" s="160"/>
      <c r="B37" s="138"/>
      <c r="C37" s="477">
        <v>0.62</v>
      </c>
      <c r="D37" s="160"/>
      <c r="E37" s="138"/>
      <c r="F37" s="138">
        <v>0.44</v>
      </c>
      <c r="G37" s="160"/>
      <c r="H37" s="138"/>
      <c r="I37" s="138">
        <v>0.21</v>
      </c>
      <c r="J37" s="160"/>
      <c r="K37" s="138"/>
      <c r="L37" s="138">
        <v>0.15</v>
      </c>
      <c r="P37" s="140"/>
      <c r="Q37" s="138"/>
      <c r="R37" s="138"/>
      <c r="S37" s="139"/>
      <c r="Z37" s="307" t="s">
        <v>613</v>
      </c>
      <c r="AA37" s="599">
        <v>0.45277777777777778</v>
      </c>
      <c r="AB37" s="600">
        <v>2.9</v>
      </c>
      <c r="AC37" s="600">
        <v>7.84</v>
      </c>
      <c r="AD37" s="600">
        <v>0.83899999999999997</v>
      </c>
      <c r="AE37" s="600">
        <v>8.7899999999999991</v>
      </c>
      <c r="AF37" s="606"/>
      <c r="AG37" s="602">
        <v>3</v>
      </c>
    </row>
    <row r="38" spans="1:61" ht="15.5" x14ac:dyDescent="0.35">
      <c r="P38" s="140"/>
      <c r="Q38" s="138"/>
      <c r="R38" s="138"/>
      <c r="S38" s="139">
        <f>SUM(S30:S36)</f>
        <v>0.65312500000000007</v>
      </c>
      <c r="Z38" s="307" t="s">
        <v>397</v>
      </c>
      <c r="AA38" s="599">
        <v>0.45694444444444443</v>
      </c>
      <c r="AB38" s="600">
        <v>2.2999999999999998</v>
      </c>
      <c r="AC38" s="600">
        <v>8.0500000000000007</v>
      </c>
      <c r="AD38" s="600">
        <v>0.78600000000000003</v>
      </c>
      <c r="AE38" s="600">
        <v>9.36</v>
      </c>
      <c r="AF38" s="606"/>
      <c r="AG38" s="602">
        <v>1</v>
      </c>
    </row>
    <row r="39" spans="1:61" ht="14" x14ac:dyDescent="0.3">
      <c r="Z39" s="905">
        <v>40520</v>
      </c>
      <c r="AA39" s="950"/>
      <c r="AB39" s="950"/>
      <c r="AC39" s="950"/>
      <c r="AD39" s="950"/>
      <c r="AE39" s="950"/>
      <c r="AF39" s="905"/>
      <c r="AG39" s="950"/>
    </row>
    <row r="40" spans="1:61" ht="14.5" x14ac:dyDescent="0.3">
      <c r="Z40" s="307" t="s">
        <v>395</v>
      </c>
      <c r="AA40" s="599">
        <v>7.5694444444444439E-2</v>
      </c>
      <c r="AB40" s="600">
        <v>0.9</v>
      </c>
      <c r="AC40" s="600">
        <v>8.3000000000000007</v>
      </c>
      <c r="AD40" s="600">
        <v>0.84799999999999998</v>
      </c>
      <c r="AE40" s="600">
        <v>11.31</v>
      </c>
      <c r="AF40" s="606"/>
      <c r="AG40" s="602">
        <v>2</v>
      </c>
    </row>
    <row r="41" spans="1:61" ht="14.5" x14ac:dyDescent="0.3">
      <c r="Z41" s="307" t="s">
        <v>396</v>
      </c>
      <c r="AA41" s="599">
        <v>8.6805555555555566E-2</v>
      </c>
      <c r="AB41" s="600">
        <v>0.7</v>
      </c>
      <c r="AC41" s="600">
        <v>7.91</v>
      </c>
      <c r="AD41" s="600">
        <v>0.77900000000000003</v>
      </c>
      <c r="AE41" s="600">
        <v>10.55</v>
      </c>
      <c r="AF41" s="606"/>
      <c r="AG41" s="602">
        <v>2</v>
      </c>
    </row>
    <row r="42" spans="1:61" ht="14.5" x14ac:dyDescent="0.3">
      <c r="Z42" s="307" t="s">
        <v>613</v>
      </c>
      <c r="AA42" s="599">
        <v>9.7222222222222224E-2</v>
      </c>
      <c r="AB42" s="600">
        <v>0</v>
      </c>
      <c r="AC42" s="600">
        <v>7.91</v>
      </c>
      <c r="AD42" s="600">
        <v>0.78100000000000003</v>
      </c>
      <c r="AE42" s="600">
        <v>10.84</v>
      </c>
      <c r="AF42" s="606"/>
      <c r="AG42" s="602">
        <v>11</v>
      </c>
    </row>
    <row r="43" spans="1:61" ht="14.5" x14ac:dyDescent="0.3">
      <c r="Z43" s="307" t="s">
        <v>397</v>
      </c>
      <c r="AA43" s="599">
        <v>9.4444444444444442E-2</v>
      </c>
      <c r="AB43" s="600">
        <v>0.3</v>
      </c>
      <c r="AC43" s="600">
        <v>7.92</v>
      </c>
      <c r="AD43" s="600">
        <v>0.82199999999999995</v>
      </c>
      <c r="AE43" s="600">
        <v>10.28</v>
      </c>
      <c r="AF43" s="606"/>
      <c r="AG43" s="602">
        <v>6</v>
      </c>
    </row>
    <row r="44" spans="1:61" x14ac:dyDescent="0.25">
      <c r="P44" t="s">
        <v>754</v>
      </c>
    </row>
    <row r="45" spans="1:61" x14ac:dyDescent="0.25">
      <c r="P45" s="107">
        <v>31</v>
      </c>
      <c r="Q45" s="107">
        <v>30</v>
      </c>
      <c r="R45" s="107">
        <v>31</v>
      </c>
      <c r="S45" s="107">
        <v>31</v>
      </c>
      <c r="T45" s="107">
        <v>30</v>
      </c>
      <c r="U45" s="107">
        <v>31</v>
      </c>
      <c r="V45" s="107">
        <v>30</v>
      </c>
      <c r="W45" s="107">
        <v>31</v>
      </c>
    </row>
    <row r="46" spans="1:61" ht="13" x14ac:dyDescent="0.3">
      <c r="O46" s="210" t="s">
        <v>23</v>
      </c>
      <c r="P46" s="654" t="s">
        <v>85</v>
      </c>
      <c r="Q46" s="654" t="s">
        <v>86</v>
      </c>
      <c r="R46" s="654" t="s">
        <v>87</v>
      </c>
      <c r="S46" s="654" t="s">
        <v>88</v>
      </c>
      <c r="T46" s="654" t="s">
        <v>89</v>
      </c>
      <c r="U46" s="654" t="s">
        <v>90</v>
      </c>
      <c r="V46" s="654" t="s">
        <v>91</v>
      </c>
      <c r="W46" s="654" t="s">
        <v>92</v>
      </c>
      <c r="X46" s="654" t="s">
        <v>755</v>
      </c>
    </row>
    <row r="47" spans="1:61" ht="13" x14ac:dyDescent="0.3">
      <c r="O47" s="210" t="s">
        <v>395</v>
      </c>
      <c r="P47" s="115">
        <f t="shared" ref="P47:W47" si="1">P9*1.983*P45</f>
        <v>184.41899999999998</v>
      </c>
      <c r="Q47" s="115">
        <f t="shared" si="1"/>
        <v>80.906400000000005</v>
      </c>
      <c r="R47" s="115">
        <f t="shared" si="1"/>
        <v>43.031099999999995</v>
      </c>
      <c r="S47" s="115">
        <f t="shared" si="1"/>
        <v>49.793130000000005</v>
      </c>
      <c r="T47" s="115">
        <f t="shared" si="1"/>
        <v>20.226600000000001</v>
      </c>
      <c r="U47" s="115">
        <f t="shared" si="1"/>
        <v>44.260559999999998</v>
      </c>
      <c r="V47" s="115">
        <f t="shared" si="1"/>
        <v>30.934800000000003</v>
      </c>
      <c r="W47" s="115">
        <f t="shared" si="1"/>
        <v>39.957450000000001</v>
      </c>
      <c r="X47" s="655">
        <f>SUM(P47:W47)</f>
        <v>493.52904000000001</v>
      </c>
    </row>
    <row r="48" spans="1:61" ht="13" x14ac:dyDescent="0.3">
      <c r="O48" s="210" t="s">
        <v>396</v>
      </c>
      <c r="P48" s="115">
        <f>P10*1.983*P45</f>
        <v>129.09330000000003</v>
      </c>
      <c r="Q48" s="115">
        <f t="shared" ref="Q48:W48" si="2">Q10*1.983*Q45</f>
        <v>68.413499999999999</v>
      </c>
      <c r="R48" s="115">
        <f t="shared" si="2"/>
        <v>27.048120000000001</v>
      </c>
      <c r="S48" s="115">
        <f t="shared" si="2"/>
        <v>43.645829999999997</v>
      </c>
      <c r="T48" s="115">
        <f t="shared" si="2"/>
        <v>19.036799999999999</v>
      </c>
      <c r="U48" s="115">
        <f t="shared" si="2"/>
        <v>42.416369999999993</v>
      </c>
      <c r="V48" s="115">
        <f t="shared" si="2"/>
        <v>25.5807</v>
      </c>
      <c r="W48" s="115">
        <f t="shared" si="2"/>
        <v>36.883800000000001</v>
      </c>
      <c r="X48" s="655">
        <f>SUM(P48:W48)</f>
        <v>392.11842000000001</v>
      </c>
    </row>
    <row r="49" spans="15:24" ht="13" x14ac:dyDescent="0.3">
      <c r="O49" s="210" t="s">
        <v>613</v>
      </c>
      <c r="P49" s="115">
        <f>P11*1.983*P45</f>
        <v>92.209499999999991</v>
      </c>
      <c r="Q49" s="115">
        <f t="shared" ref="Q49:W49" si="3">Q11*1.983*Q45</f>
        <v>33.909299999999995</v>
      </c>
      <c r="R49" s="115">
        <f t="shared" si="3"/>
        <v>12.909330000000001</v>
      </c>
      <c r="S49" s="115">
        <f t="shared" si="3"/>
        <v>43.031099999999995</v>
      </c>
      <c r="T49" s="115">
        <f t="shared" si="3"/>
        <v>17.847000000000001</v>
      </c>
      <c r="U49" s="115">
        <f t="shared" si="3"/>
        <v>19.67136</v>
      </c>
      <c r="V49" s="115">
        <f t="shared" si="3"/>
        <v>24.985800000000001</v>
      </c>
      <c r="W49" s="115">
        <f t="shared" si="3"/>
        <v>25.818660000000001</v>
      </c>
      <c r="X49" s="655">
        <f>SUM(P49:W49)</f>
        <v>270.38205000000005</v>
      </c>
    </row>
    <row r="50" spans="15:24" ht="13" x14ac:dyDescent="0.3">
      <c r="O50" s="210" t="s">
        <v>397</v>
      </c>
      <c r="P50" s="115">
        <f>P12*1.983*P45</f>
        <v>18.4419</v>
      </c>
      <c r="Q50" s="115">
        <f t="shared" ref="Q50:W50" si="4">Q12*1.983*Q45</f>
        <v>24.985800000000001</v>
      </c>
      <c r="R50" s="115">
        <f t="shared" si="4"/>
        <v>9.2209500000000002</v>
      </c>
      <c r="S50" s="115">
        <f t="shared" si="4"/>
        <v>33.195420000000006</v>
      </c>
      <c r="T50" s="115">
        <f t="shared" si="4"/>
        <v>1.7847</v>
      </c>
      <c r="U50" s="115">
        <f t="shared" si="4"/>
        <v>8.6062200000000004</v>
      </c>
      <c r="V50" s="115">
        <f t="shared" si="4"/>
        <v>5.9490000000000007</v>
      </c>
      <c r="W50" s="115">
        <f t="shared" si="4"/>
        <v>18.4419</v>
      </c>
      <c r="X50" s="655">
        <f>SUM(P50:W50)</f>
        <v>120.62589000000001</v>
      </c>
    </row>
  </sheetData>
  <mergeCells count="64">
    <mergeCell ref="AO2:AR2"/>
    <mergeCell ref="AN2:AN3"/>
    <mergeCell ref="AJ20:AK20"/>
    <mergeCell ref="AO8:AR8"/>
    <mergeCell ref="AJ21:AJ22"/>
    <mergeCell ref="AN13:AN14"/>
    <mergeCell ref="AO13:AR13"/>
    <mergeCell ref="AO19:AR19"/>
    <mergeCell ref="Z39:AG39"/>
    <mergeCell ref="B31:C31"/>
    <mergeCell ref="E31:F31"/>
    <mergeCell ref="H31:I31"/>
    <mergeCell ref="K31:L31"/>
    <mergeCell ref="B32:C32"/>
    <mergeCell ref="E32:F32"/>
    <mergeCell ref="H32:I32"/>
    <mergeCell ref="K32:L32"/>
    <mergeCell ref="Z34:AG34"/>
    <mergeCell ref="A29:C29"/>
    <mergeCell ref="D29:F29"/>
    <mergeCell ref="G29:I29"/>
    <mergeCell ref="J29:L29"/>
    <mergeCell ref="B30:C30"/>
    <mergeCell ref="E30:F30"/>
    <mergeCell ref="H30:I30"/>
    <mergeCell ref="K30:L30"/>
    <mergeCell ref="B18:C18"/>
    <mergeCell ref="E18:F18"/>
    <mergeCell ref="H18:I18"/>
    <mergeCell ref="K18:L18"/>
    <mergeCell ref="B19:C19"/>
    <mergeCell ref="E19:F19"/>
    <mergeCell ref="H19:I19"/>
    <mergeCell ref="K19:L19"/>
    <mergeCell ref="A16:C16"/>
    <mergeCell ref="D16:F16"/>
    <mergeCell ref="G16:I16"/>
    <mergeCell ref="J16:L16"/>
    <mergeCell ref="B17:C17"/>
    <mergeCell ref="E17:F17"/>
    <mergeCell ref="H17:I17"/>
    <mergeCell ref="K17:L17"/>
    <mergeCell ref="A3:C3"/>
    <mergeCell ref="D3:F3"/>
    <mergeCell ref="G3:I3"/>
    <mergeCell ref="B6:C6"/>
    <mergeCell ref="E6:F6"/>
    <mergeCell ref="E4:F4"/>
    <mergeCell ref="E5:F5"/>
    <mergeCell ref="B4:C4"/>
    <mergeCell ref="B5:C5"/>
    <mergeCell ref="J3:L3"/>
    <mergeCell ref="K4:L4"/>
    <mergeCell ref="K5:L5"/>
    <mergeCell ref="K6:L6"/>
    <mergeCell ref="H4:I4"/>
    <mergeCell ref="H5:I5"/>
    <mergeCell ref="H6:I6"/>
    <mergeCell ref="Z29:AG29"/>
    <mergeCell ref="Z19:AG19"/>
    <mergeCell ref="Z24:AG24"/>
    <mergeCell ref="Z4:AG4"/>
    <mergeCell ref="Z9:AG9"/>
    <mergeCell ref="Z14:AG14"/>
  </mergeCells>
  <pageMargins left="0.7" right="0.7" top="0.53" bottom="0.75" header="0.3" footer="0.3"/>
  <pageSetup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29"/>
  <sheetViews>
    <sheetView topLeftCell="B4" workbookViewId="0">
      <selection activeCell="AC5" sqref="AC5:AF10"/>
    </sheetView>
  </sheetViews>
  <sheetFormatPr defaultRowHeight="12.5" x14ac:dyDescent="0.25"/>
  <cols>
    <col min="1" max="1" width="20.90625" bestFit="1" customWidth="1"/>
    <col min="3" max="3" width="13.36328125" customWidth="1"/>
    <col min="4" max="4" width="13.90625" bestFit="1" customWidth="1"/>
    <col min="5" max="5" width="11.54296875" bestFit="1" customWidth="1"/>
    <col min="6" max="6" width="13.90625" bestFit="1" customWidth="1"/>
    <col min="7" max="7" width="7.90625" bestFit="1" customWidth="1"/>
    <col min="8" max="8" width="26" bestFit="1" customWidth="1"/>
    <col min="10" max="10" width="20" bestFit="1" customWidth="1"/>
    <col min="12" max="12" width="7" bestFit="1" customWidth="1"/>
    <col min="13" max="13" width="8.453125" bestFit="1" customWidth="1"/>
    <col min="14" max="14" width="10.453125" bestFit="1" customWidth="1"/>
    <col min="15" max="15" width="12.08984375" bestFit="1" customWidth="1"/>
    <col min="16" max="16" width="12" bestFit="1" customWidth="1"/>
    <col min="17" max="17" width="12" customWidth="1"/>
    <col min="25" max="25" width="20" bestFit="1" customWidth="1"/>
    <col min="29" max="29" width="26.36328125" bestFit="1" customWidth="1"/>
    <col min="31" max="31" width="16.36328125" bestFit="1" customWidth="1"/>
  </cols>
  <sheetData>
    <row r="1" spans="1:32" x14ac:dyDescent="0.25">
      <c r="A1" t="s">
        <v>506</v>
      </c>
      <c r="B1" s="155">
        <v>40416</v>
      </c>
    </row>
    <row r="2" spans="1:32" x14ac:dyDescent="0.25">
      <c r="A2" s="970" t="s">
        <v>528</v>
      </c>
      <c r="B2" s="975" t="s">
        <v>527</v>
      </c>
      <c r="C2" s="975" t="s">
        <v>530</v>
      </c>
      <c r="D2" s="975" t="s">
        <v>531</v>
      </c>
      <c r="E2" s="84"/>
      <c r="F2" s="84" t="s">
        <v>539</v>
      </c>
      <c r="G2" s="84" t="s">
        <v>566</v>
      </c>
      <c r="H2" s="975" t="s">
        <v>11</v>
      </c>
      <c r="J2" s="92"/>
      <c r="K2" s="92"/>
      <c r="L2" s="552" t="s">
        <v>589</v>
      </c>
      <c r="M2" s="92"/>
      <c r="N2" s="92">
        <v>0.02</v>
      </c>
      <c r="O2" s="92"/>
      <c r="P2" s="92"/>
      <c r="Q2" s="92"/>
      <c r="R2" s="92"/>
      <c r="S2" s="92"/>
    </row>
    <row r="3" spans="1:32" x14ac:dyDescent="0.25">
      <c r="A3" s="971"/>
      <c r="B3" s="976"/>
      <c r="C3" s="976"/>
      <c r="D3" s="976"/>
      <c r="E3" s="84" t="s">
        <v>184</v>
      </c>
      <c r="F3" s="84" t="s">
        <v>568</v>
      </c>
      <c r="G3" s="84" t="s">
        <v>567</v>
      </c>
      <c r="H3" s="976"/>
      <c r="J3" s="970" t="s">
        <v>528</v>
      </c>
      <c r="K3" s="972"/>
      <c r="L3" s="891" t="s">
        <v>80</v>
      </c>
      <c r="M3" s="977"/>
      <c r="N3" s="977"/>
      <c r="O3" s="892"/>
      <c r="P3" s="963" t="s">
        <v>590</v>
      </c>
      <c r="Q3" s="964"/>
      <c r="R3" s="84"/>
      <c r="S3" s="84"/>
      <c r="T3" s="84">
        <v>550</v>
      </c>
      <c r="U3" s="189" t="s">
        <v>586</v>
      </c>
      <c r="V3" s="84"/>
      <c r="W3" s="189" t="s">
        <v>587</v>
      </c>
      <c r="Y3" s="970" t="s">
        <v>528</v>
      </c>
      <c r="Z3" s="972"/>
    </row>
    <row r="4" spans="1:32" x14ac:dyDescent="0.25">
      <c r="A4" s="970" t="s">
        <v>507</v>
      </c>
      <c r="B4" s="84" t="s">
        <v>508</v>
      </c>
      <c r="C4" s="84" t="s">
        <v>529</v>
      </c>
      <c r="D4" s="84" t="s">
        <v>532</v>
      </c>
      <c r="E4" s="143">
        <v>0.39583333333333331</v>
      </c>
      <c r="F4" s="84">
        <v>1.5</v>
      </c>
      <c r="G4" s="84">
        <v>4</v>
      </c>
      <c r="H4" s="84" t="s">
        <v>574</v>
      </c>
      <c r="J4" s="971"/>
      <c r="K4" s="973"/>
      <c r="L4" s="84" t="s">
        <v>578</v>
      </c>
      <c r="M4" s="189" t="s">
        <v>588</v>
      </c>
      <c r="N4" s="84" t="s">
        <v>579</v>
      </c>
      <c r="O4" s="84" t="s">
        <v>580</v>
      </c>
      <c r="P4" s="189" t="s">
        <v>591</v>
      </c>
      <c r="Q4" s="426" t="s">
        <v>592</v>
      </c>
      <c r="R4" s="84" t="s">
        <v>581</v>
      </c>
      <c r="S4" s="84" t="s">
        <v>582</v>
      </c>
      <c r="T4" s="84" t="s">
        <v>583</v>
      </c>
      <c r="U4" s="84" t="s">
        <v>584</v>
      </c>
      <c r="V4" s="84"/>
      <c r="W4" s="189" t="s">
        <v>585</v>
      </c>
      <c r="Y4" s="971"/>
      <c r="Z4" s="973"/>
      <c r="AA4" s="189" t="s">
        <v>600</v>
      </c>
    </row>
    <row r="5" spans="1:32" x14ac:dyDescent="0.25">
      <c r="A5" s="974"/>
      <c r="B5" s="84" t="s">
        <v>509</v>
      </c>
      <c r="C5" s="84" t="s">
        <v>533</v>
      </c>
      <c r="D5" s="84" t="s">
        <v>534</v>
      </c>
      <c r="E5" s="143">
        <v>0.41666666666666669</v>
      </c>
      <c r="F5" s="84">
        <v>2.5</v>
      </c>
      <c r="G5" s="84">
        <v>1</v>
      </c>
      <c r="H5" s="84" t="s">
        <v>575</v>
      </c>
      <c r="J5" s="970" t="s">
        <v>507</v>
      </c>
      <c r="K5" s="470" t="s">
        <v>508</v>
      </c>
      <c r="L5" s="84">
        <v>4.0955000000000004</v>
      </c>
      <c r="M5" s="84">
        <f>L5/1000</f>
        <v>4.0955000000000002E-3</v>
      </c>
      <c r="N5" s="84">
        <v>0.75</v>
      </c>
      <c r="O5" s="84">
        <v>0.54</v>
      </c>
      <c r="P5" s="431">
        <f>N5*($N$2/$M5)</f>
        <v>3.6625564644121598</v>
      </c>
      <c r="Q5" s="431">
        <f>O5*($N$2/$M5)</f>
        <v>2.6370406543767548</v>
      </c>
      <c r="R5" s="84">
        <v>72.194999999999993</v>
      </c>
      <c r="S5" s="221">
        <v>92</v>
      </c>
      <c r="T5" s="206">
        <v>82.887200000000007</v>
      </c>
      <c r="U5" s="84">
        <f>S5-R5</f>
        <v>19.805000000000007</v>
      </c>
      <c r="V5" s="84">
        <f>T5-R5</f>
        <v>10.692200000000014</v>
      </c>
      <c r="W5" s="527">
        <f>1-((U5-V5)/U5)</f>
        <v>0.53987376925018982</v>
      </c>
      <c r="Y5" s="970" t="s">
        <v>507</v>
      </c>
      <c r="Z5" s="470" t="s">
        <v>508</v>
      </c>
      <c r="AA5" s="586">
        <v>9.1999999999999993</v>
      </c>
      <c r="AC5" s="189" t="s">
        <v>612</v>
      </c>
      <c r="AD5" s="189" t="s">
        <v>601</v>
      </c>
      <c r="AE5" s="422" t="s">
        <v>602</v>
      </c>
      <c r="AF5" s="422" t="s">
        <v>603</v>
      </c>
    </row>
    <row r="6" spans="1:32" x14ac:dyDescent="0.25">
      <c r="A6" s="974"/>
      <c r="B6" s="84" t="s">
        <v>510</v>
      </c>
      <c r="C6" s="84" t="s">
        <v>535</v>
      </c>
      <c r="D6" s="84" t="s">
        <v>536</v>
      </c>
      <c r="E6" s="143">
        <v>0.4284722222222222</v>
      </c>
      <c r="F6" s="84">
        <v>3</v>
      </c>
      <c r="G6" s="84">
        <v>2</v>
      </c>
      <c r="H6" s="84" t="s">
        <v>575</v>
      </c>
      <c r="J6" s="974"/>
      <c r="K6" s="470" t="s">
        <v>509</v>
      </c>
      <c r="L6" s="84">
        <v>4.0444000000000004</v>
      </c>
      <c r="M6" s="84">
        <f t="shared" ref="M6:M21" si="0">L6/1000</f>
        <v>4.0444000000000001E-3</v>
      </c>
      <c r="N6" s="84">
        <v>1.67</v>
      </c>
      <c r="O6" s="84">
        <v>1.3</v>
      </c>
      <c r="P6" s="431">
        <f t="shared" ref="P6:P21" si="1">N6*($N$2/$M6)</f>
        <v>8.2583325091484507</v>
      </c>
      <c r="Q6" s="431">
        <f t="shared" ref="Q6:Q21" si="2">O6*($N$2/$M6)</f>
        <v>6.4286420729898124</v>
      </c>
      <c r="R6" s="84">
        <v>76.106700000000004</v>
      </c>
      <c r="S6" s="84">
        <v>96.747399999999999</v>
      </c>
      <c r="T6" s="206">
        <v>80.382199999999997</v>
      </c>
      <c r="U6" s="84">
        <f>S6-R6</f>
        <v>20.640699999999995</v>
      </c>
      <c r="V6" s="84">
        <f>T6-R6</f>
        <v>4.2754999999999939</v>
      </c>
      <c r="W6" s="527">
        <f>1-((U6-V6)/U6)</f>
        <v>0.20713929275654386</v>
      </c>
      <c r="Y6" s="974"/>
      <c r="Z6" s="470" t="s">
        <v>509</v>
      </c>
      <c r="AA6" s="84">
        <v>12</v>
      </c>
      <c r="AC6" s="189" t="s">
        <v>611</v>
      </c>
      <c r="AD6" s="585">
        <v>25</v>
      </c>
      <c r="AE6" s="585">
        <v>2.5999999999999999E-2</v>
      </c>
      <c r="AF6" s="189" t="s">
        <v>604</v>
      </c>
    </row>
    <row r="7" spans="1:32" x14ac:dyDescent="0.25">
      <c r="A7" s="974"/>
      <c r="B7" s="84" t="s">
        <v>511</v>
      </c>
      <c r="C7" s="84" t="s">
        <v>537</v>
      </c>
      <c r="D7" s="84" t="s">
        <v>538</v>
      </c>
      <c r="E7" s="143">
        <v>0.43611111111111112</v>
      </c>
      <c r="F7" s="84">
        <v>3</v>
      </c>
      <c r="G7" s="84">
        <v>2</v>
      </c>
      <c r="H7" s="84" t="s">
        <v>575</v>
      </c>
      <c r="J7" s="974"/>
      <c r="K7" s="470" t="s">
        <v>510</v>
      </c>
      <c r="L7" s="84">
        <v>4.0765000000000002</v>
      </c>
      <c r="M7" s="84">
        <f t="shared" si="0"/>
        <v>4.0765000000000003E-3</v>
      </c>
      <c r="N7" s="84">
        <v>1.35</v>
      </c>
      <c r="O7" s="84">
        <v>0.84</v>
      </c>
      <c r="P7" s="431">
        <f t="shared" si="1"/>
        <v>6.6233288360112841</v>
      </c>
      <c r="Q7" s="431">
        <f t="shared" si="2"/>
        <v>4.1211823868514657</v>
      </c>
      <c r="R7" s="84">
        <v>83.933499999999995</v>
      </c>
      <c r="S7" s="84">
        <v>103.309</v>
      </c>
      <c r="T7" s="206">
        <v>88.494</v>
      </c>
      <c r="U7" s="84">
        <f>S7-R7</f>
        <v>19.375500000000002</v>
      </c>
      <c r="V7" s="84">
        <f>T7-R7</f>
        <v>4.5605000000000047</v>
      </c>
      <c r="W7" s="527">
        <f>1-((U7-V7)/U7)</f>
        <v>0.23537457097881365</v>
      </c>
      <c r="Y7" s="974"/>
      <c r="Z7" s="470" t="s">
        <v>510</v>
      </c>
      <c r="AA7" s="84">
        <v>10.7</v>
      </c>
      <c r="AC7" s="189" t="s">
        <v>608</v>
      </c>
      <c r="AD7" s="585">
        <v>60</v>
      </c>
      <c r="AE7" s="585">
        <v>8.9999999999999993E-3</v>
      </c>
      <c r="AF7" s="189" t="s">
        <v>605</v>
      </c>
    </row>
    <row r="8" spans="1:32" ht="14.5" x14ac:dyDescent="0.35">
      <c r="A8" s="974"/>
      <c r="B8" s="84" t="s">
        <v>512</v>
      </c>
      <c r="C8" s="84" t="s">
        <v>540</v>
      </c>
      <c r="D8" s="84" t="s">
        <v>541</v>
      </c>
      <c r="E8" s="143">
        <v>0.44444444444444442</v>
      </c>
      <c r="F8" s="84">
        <v>3</v>
      </c>
      <c r="G8" s="84">
        <v>2</v>
      </c>
      <c r="H8" s="84" t="s">
        <v>575</v>
      </c>
      <c r="J8" s="974"/>
      <c r="K8" s="470" t="s">
        <v>511</v>
      </c>
      <c r="L8" s="206">
        <v>4.0602</v>
      </c>
      <c r="M8" s="84">
        <f t="shared" si="0"/>
        <v>4.0601999999999999E-3</v>
      </c>
      <c r="N8" s="582">
        <v>3.5</v>
      </c>
      <c r="O8" s="84">
        <v>1.08</v>
      </c>
      <c r="P8" s="431">
        <f t="shared" si="1"/>
        <v>17.240530023151571</v>
      </c>
      <c r="Q8" s="431">
        <f t="shared" si="2"/>
        <v>5.3199349785724852</v>
      </c>
      <c r="R8" s="84">
        <v>82.047300000000007</v>
      </c>
      <c r="S8" s="84">
        <v>102.9423</v>
      </c>
      <c r="T8" s="206">
        <v>87.040700000000001</v>
      </c>
      <c r="U8" s="84">
        <f>S8-R8</f>
        <v>20.894999999999996</v>
      </c>
      <c r="V8" s="84">
        <f>T8-R8</f>
        <v>4.9933999999999941</v>
      </c>
      <c r="W8" s="527">
        <f>1-((U8-V8)/U8)</f>
        <v>0.23897583153864532</v>
      </c>
      <c r="Y8" s="974"/>
      <c r="Z8" s="470" t="s">
        <v>511</v>
      </c>
      <c r="AA8" s="84">
        <v>9.5</v>
      </c>
      <c r="AC8" s="189" t="s">
        <v>597</v>
      </c>
      <c r="AD8" s="585">
        <v>120</v>
      </c>
      <c r="AE8" s="585">
        <v>4.5999999999999999E-3</v>
      </c>
      <c r="AF8" s="189" t="s">
        <v>606</v>
      </c>
    </row>
    <row r="9" spans="1:32" x14ac:dyDescent="0.25">
      <c r="A9" s="971"/>
      <c r="B9" s="84" t="s">
        <v>513</v>
      </c>
      <c r="C9" s="84" t="s">
        <v>544</v>
      </c>
      <c r="D9" s="84" t="s">
        <v>545</v>
      </c>
      <c r="E9" s="143">
        <v>0.45277777777777778</v>
      </c>
      <c r="F9" s="84">
        <v>3</v>
      </c>
      <c r="G9" s="84">
        <v>2</v>
      </c>
      <c r="H9" s="84" t="s">
        <v>577</v>
      </c>
      <c r="J9" s="974"/>
      <c r="K9" s="470" t="s">
        <v>512</v>
      </c>
      <c r="L9" s="206">
        <v>4.0553999999999997</v>
      </c>
      <c r="M9" s="84">
        <f t="shared" si="0"/>
        <v>4.0553999999999998E-3</v>
      </c>
      <c r="N9" s="84">
        <v>1.1100000000000001</v>
      </c>
      <c r="O9" s="84">
        <v>0.71</v>
      </c>
      <c r="P9" s="431">
        <f t="shared" si="1"/>
        <v>5.4741825713863008</v>
      </c>
      <c r="Q9" s="431">
        <f t="shared" si="2"/>
        <v>3.5015041672831289</v>
      </c>
      <c r="R9" s="84">
        <v>80.878600000000006</v>
      </c>
      <c r="S9" s="84">
        <v>100.7022</v>
      </c>
      <c r="T9" s="206">
        <v>84.952699999999993</v>
      </c>
      <c r="U9" s="84">
        <f>S9-R9</f>
        <v>19.823599999999999</v>
      </c>
      <c r="V9" s="84">
        <f>T9-R9</f>
        <v>4.0740999999999872</v>
      </c>
      <c r="W9" s="527">
        <f>1-((U9-V9)/U9)</f>
        <v>0.20551766581246533</v>
      </c>
      <c r="Y9" s="974"/>
      <c r="Z9" s="470" t="s">
        <v>512</v>
      </c>
      <c r="AA9" s="84">
        <v>10</v>
      </c>
      <c r="AC9" s="189" t="s">
        <v>598</v>
      </c>
      <c r="AD9" s="585">
        <v>200</v>
      </c>
      <c r="AE9" s="585">
        <v>2.8999999999999998E-3</v>
      </c>
      <c r="AF9" s="189" t="s">
        <v>607</v>
      </c>
    </row>
    <row r="10" spans="1:32" x14ac:dyDescent="0.25">
      <c r="A10" s="970" t="s">
        <v>514</v>
      </c>
      <c r="B10" s="84" t="s">
        <v>515</v>
      </c>
      <c r="C10" s="84" t="s">
        <v>542</v>
      </c>
      <c r="D10" s="84" t="s">
        <v>543</v>
      </c>
      <c r="E10" s="143">
        <v>0.49374999999999997</v>
      </c>
      <c r="F10" s="84">
        <v>3</v>
      </c>
      <c r="G10" s="84">
        <v>2</v>
      </c>
      <c r="H10" s="84" t="s">
        <v>575</v>
      </c>
      <c r="J10" s="971"/>
      <c r="K10" s="470" t="s">
        <v>513</v>
      </c>
      <c r="L10" s="206">
        <v>4.0133000000000001</v>
      </c>
      <c r="M10" s="84">
        <f t="shared" si="0"/>
        <v>4.0133E-3</v>
      </c>
      <c r="N10" s="84">
        <v>1.06</v>
      </c>
      <c r="O10" s="84">
        <v>0.82</v>
      </c>
      <c r="P10" s="431">
        <f t="shared" si="1"/>
        <v>5.2824359006304045</v>
      </c>
      <c r="Q10" s="431">
        <f t="shared" si="2"/>
        <v>4.0864126778461616</v>
      </c>
      <c r="R10" s="84"/>
      <c r="S10" s="84"/>
      <c r="Y10" s="971"/>
      <c r="Z10" s="470" t="s">
        <v>513</v>
      </c>
      <c r="AA10" s="84">
        <v>10</v>
      </c>
      <c r="AC10" s="189" t="s">
        <v>609</v>
      </c>
      <c r="AD10" s="584" t="s">
        <v>610</v>
      </c>
      <c r="AE10" s="585"/>
      <c r="AF10" s="84"/>
    </row>
    <row r="11" spans="1:32" x14ac:dyDescent="0.25">
      <c r="A11" s="974"/>
      <c r="B11" s="84" t="s">
        <v>516</v>
      </c>
      <c r="C11" s="84" t="s">
        <v>546</v>
      </c>
      <c r="D11" s="84" t="s">
        <v>547</v>
      </c>
      <c r="E11" s="143">
        <v>0.4861111111111111</v>
      </c>
      <c r="F11" s="84">
        <v>3</v>
      </c>
      <c r="G11" s="84">
        <v>2</v>
      </c>
      <c r="H11" s="84" t="s">
        <v>576</v>
      </c>
      <c r="J11" s="970" t="s">
        <v>514</v>
      </c>
      <c r="K11" s="470" t="s">
        <v>515</v>
      </c>
      <c r="L11" s="84">
        <v>4.0787000000000004</v>
      </c>
      <c r="M11" s="84">
        <f t="shared" si="0"/>
        <v>4.0787000000000002E-3</v>
      </c>
      <c r="N11" s="84"/>
      <c r="O11" s="84">
        <v>1.1000000000000001</v>
      </c>
      <c r="P11" s="431">
        <f t="shared" si="1"/>
        <v>0</v>
      </c>
      <c r="Q11" s="431">
        <f t="shared" si="2"/>
        <v>5.3938754995464242</v>
      </c>
      <c r="R11" s="84"/>
      <c r="S11" s="84"/>
      <c r="Y11" s="970" t="s">
        <v>514</v>
      </c>
      <c r="Z11" s="470" t="s">
        <v>515</v>
      </c>
      <c r="AA11" s="84">
        <v>9.4499999999999993</v>
      </c>
    </row>
    <row r="12" spans="1:32" x14ac:dyDescent="0.25">
      <c r="A12" s="974"/>
      <c r="B12" s="84" t="s">
        <v>517</v>
      </c>
      <c r="C12" s="84" t="s">
        <v>548</v>
      </c>
      <c r="D12" s="84" t="s">
        <v>549</v>
      </c>
      <c r="E12" s="143">
        <v>0.47916666666666669</v>
      </c>
      <c r="F12" s="84">
        <v>3</v>
      </c>
      <c r="G12" s="84"/>
      <c r="H12" s="84" t="s">
        <v>575</v>
      </c>
      <c r="J12" s="974"/>
      <c r="K12" s="470" t="s">
        <v>516</v>
      </c>
      <c r="L12" s="84">
        <v>4.0983999999999998</v>
      </c>
      <c r="M12" s="84">
        <f t="shared" si="0"/>
        <v>4.0983999999999994E-3</v>
      </c>
      <c r="N12" s="84"/>
      <c r="O12" s="84">
        <v>1.53</v>
      </c>
      <c r="P12" s="431">
        <f t="shared" si="1"/>
        <v>0</v>
      </c>
      <c r="Q12" s="431">
        <f t="shared" si="2"/>
        <v>7.4663283232480975</v>
      </c>
      <c r="R12" s="84"/>
      <c r="S12" s="84"/>
      <c r="Y12" s="974"/>
      <c r="Z12" s="470" t="s">
        <v>516</v>
      </c>
      <c r="AA12" s="84">
        <v>11</v>
      </c>
    </row>
    <row r="13" spans="1:32" x14ac:dyDescent="0.25">
      <c r="A13" s="974"/>
      <c r="B13" s="84" t="s">
        <v>518</v>
      </c>
      <c r="C13" s="84" t="s">
        <v>550</v>
      </c>
      <c r="D13" s="84" t="s">
        <v>551</v>
      </c>
      <c r="E13" s="143">
        <v>0.4694444444444445</v>
      </c>
      <c r="F13" s="221">
        <v>3</v>
      </c>
      <c r="G13" s="84">
        <v>2</v>
      </c>
      <c r="H13" s="84" t="s">
        <v>575</v>
      </c>
      <c r="J13" s="974"/>
      <c r="K13" s="470" t="s">
        <v>517</v>
      </c>
      <c r="L13" s="84">
        <v>4.0667</v>
      </c>
      <c r="M13" s="84">
        <f t="shared" si="0"/>
        <v>4.0667000000000003E-3</v>
      </c>
      <c r="N13" s="84"/>
      <c r="O13" s="84">
        <v>1.27</v>
      </c>
      <c r="P13" s="431">
        <f t="shared" si="1"/>
        <v>0</v>
      </c>
      <c r="Q13" s="431">
        <f t="shared" si="2"/>
        <v>6.2458504438488198</v>
      </c>
      <c r="R13" s="84"/>
      <c r="S13" s="84"/>
      <c r="Y13" s="974"/>
      <c r="Z13" s="470" t="s">
        <v>517</v>
      </c>
      <c r="AA13" s="84">
        <v>11.7</v>
      </c>
    </row>
    <row r="14" spans="1:32" x14ac:dyDescent="0.25">
      <c r="A14" s="971"/>
      <c r="B14" s="84" t="s">
        <v>519</v>
      </c>
      <c r="C14" s="84" t="s">
        <v>552</v>
      </c>
      <c r="D14" s="84" t="s">
        <v>553</v>
      </c>
      <c r="E14" s="143">
        <v>0.46180555555555558</v>
      </c>
      <c r="F14" s="84">
        <v>2.5</v>
      </c>
      <c r="G14" s="84">
        <v>2</v>
      </c>
      <c r="H14" s="84" t="s">
        <v>575</v>
      </c>
      <c r="J14" s="974"/>
      <c r="K14" s="470" t="s">
        <v>518</v>
      </c>
      <c r="L14" s="84">
        <v>4.0915999999999997</v>
      </c>
      <c r="M14" s="84">
        <f t="shared" si="0"/>
        <v>4.0915999999999999E-3</v>
      </c>
      <c r="N14" s="84"/>
      <c r="O14" s="84">
        <v>0.64</v>
      </c>
      <c r="P14" s="431">
        <f t="shared" si="1"/>
        <v>0</v>
      </c>
      <c r="Q14" s="431">
        <f t="shared" si="2"/>
        <v>3.1283605435526449</v>
      </c>
      <c r="R14" s="84"/>
      <c r="S14" s="84"/>
      <c r="Y14" s="974"/>
      <c r="Z14" s="470" t="s">
        <v>518</v>
      </c>
      <c r="AA14" s="84">
        <v>12.8</v>
      </c>
    </row>
    <row r="15" spans="1:32" x14ac:dyDescent="0.25">
      <c r="A15" s="970" t="s">
        <v>520</v>
      </c>
      <c r="B15" s="84" t="s">
        <v>521</v>
      </c>
      <c r="C15" s="84" t="s">
        <v>554</v>
      </c>
      <c r="D15" s="84" t="s">
        <v>555</v>
      </c>
      <c r="E15" s="143">
        <v>0.50138888888888888</v>
      </c>
      <c r="F15" s="84">
        <v>2.5</v>
      </c>
      <c r="G15" s="84">
        <v>1</v>
      </c>
      <c r="H15" s="84" t="s">
        <v>575</v>
      </c>
      <c r="J15" s="971"/>
      <c r="K15" s="470" t="s">
        <v>519</v>
      </c>
      <c r="L15" s="84">
        <v>4.0972</v>
      </c>
      <c r="M15" s="84">
        <f t="shared" si="0"/>
        <v>4.0971999999999996E-3</v>
      </c>
      <c r="N15" s="84"/>
      <c r="O15" s="84">
        <v>1.58</v>
      </c>
      <c r="P15" s="431">
        <f t="shared" si="1"/>
        <v>0</v>
      </c>
      <c r="Q15" s="431">
        <f t="shared" si="2"/>
        <v>7.7125842038465304</v>
      </c>
      <c r="R15" s="84"/>
      <c r="S15" s="84"/>
      <c r="Y15" s="971"/>
      <c r="Z15" s="470" t="s">
        <v>519</v>
      </c>
      <c r="AA15" s="84">
        <v>11.5</v>
      </c>
    </row>
    <row r="16" spans="1:32" x14ac:dyDescent="0.25">
      <c r="A16" s="974"/>
      <c r="B16" s="84" t="s">
        <v>522</v>
      </c>
      <c r="C16" s="84" t="s">
        <v>556</v>
      </c>
      <c r="D16" s="84" t="s">
        <v>557</v>
      </c>
      <c r="E16" s="143">
        <v>0.50694444444444442</v>
      </c>
      <c r="F16" s="84">
        <v>2.5</v>
      </c>
      <c r="G16" s="84">
        <v>2</v>
      </c>
      <c r="H16" s="84" t="s">
        <v>575</v>
      </c>
      <c r="J16" s="970" t="s">
        <v>520</v>
      </c>
      <c r="K16" s="470" t="s">
        <v>521</v>
      </c>
      <c r="L16" s="84">
        <v>4.0906000000000002</v>
      </c>
      <c r="M16" s="84">
        <f t="shared" si="0"/>
        <v>4.0906000000000007E-3</v>
      </c>
      <c r="N16" s="84"/>
      <c r="O16" s="84">
        <v>0.55000000000000004</v>
      </c>
      <c r="P16" s="431">
        <f t="shared" si="1"/>
        <v>0</v>
      </c>
      <c r="Q16" s="431">
        <f t="shared" si="2"/>
        <v>2.6890920647337797</v>
      </c>
      <c r="R16" s="84"/>
      <c r="S16" s="84"/>
      <c r="Y16" s="970" t="s">
        <v>520</v>
      </c>
      <c r="Z16" s="470" t="s">
        <v>521</v>
      </c>
      <c r="AA16" s="84">
        <v>11.2</v>
      </c>
    </row>
    <row r="17" spans="1:27" x14ac:dyDescent="0.25">
      <c r="A17" s="974"/>
      <c r="B17" s="84" t="s">
        <v>523</v>
      </c>
      <c r="C17" s="84" t="s">
        <v>558</v>
      </c>
      <c r="D17" s="84" t="s">
        <v>559</v>
      </c>
      <c r="E17" s="143">
        <v>0.51597222222222217</v>
      </c>
      <c r="F17" s="84">
        <v>3</v>
      </c>
      <c r="G17" s="84">
        <v>2</v>
      </c>
      <c r="H17" s="84" t="s">
        <v>575</v>
      </c>
      <c r="J17" s="974"/>
      <c r="K17" s="470" t="s">
        <v>522</v>
      </c>
      <c r="L17" s="84">
        <v>4.0313999999999997</v>
      </c>
      <c r="M17" s="84">
        <f t="shared" si="0"/>
        <v>4.0313999999999992E-3</v>
      </c>
      <c r="N17" s="84"/>
      <c r="O17" s="84">
        <v>0.35</v>
      </c>
      <c r="P17" s="431">
        <f t="shared" si="1"/>
        <v>0</v>
      </c>
      <c r="Q17" s="431">
        <f t="shared" si="2"/>
        <v>1.7363694994294789</v>
      </c>
      <c r="R17" s="84"/>
      <c r="S17" s="84"/>
      <c r="Y17" s="974"/>
      <c r="Z17" s="470" t="s">
        <v>522</v>
      </c>
      <c r="AA17" s="84">
        <v>11.7</v>
      </c>
    </row>
    <row r="18" spans="1:27" x14ac:dyDescent="0.25">
      <c r="A18" s="974"/>
      <c r="B18" s="84" t="s">
        <v>524</v>
      </c>
      <c r="C18" s="84" t="s">
        <v>560</v>
      </c>
      <c r="D18" s="84" t="s">
        <v>561</v>
      </c>
      <c r="E18" s="143">
        <v>0.52222222222222225</v>
      </c>
      <c r="F18" s="84">
        <v>2.75</v>
      </c>
      <c r="G18" s="84">
        <v>2</v>
      </c>
      <c r="H18" s="84" t="s">
        <v>575</v>
      </c>
      <c r="J18" s="974"/>
      <c r="K18" s="470" t="s">
        <v>523</v>
      </c>
      <c r="L18" s="84">
        <v>4.0460000000000003</v>
      </c>
      <c r="M18" s="84">
        <f t="shared" si="0"/>
        <v>4.0460000000000001E-3</v>
      </c>
      <c r="N18" s="84"/>
      <c r="O18" s="84">
        <v>1.48</v>
      </c>
      <c r="P18" s="431">
        <f t="shared" si="1"/>
        <v>0</v>
      </c>
      <c r="Q18" s="431">
        <f t="shared" si="2"/>
        <v>7.3158675234799802</v>
      </c>
      <c r="R18" s="84"/>
      <c r="S18" s="84"/>
      <c r="Y18" s="974"/>
      <c r="Z18" s="470" t="s">
        <v>523</v>
      </c>
      <c r="AA18" s="84">
        <v>11.9</v>
      </c>
    </row>
    <row r="19" spans="1:27" x14ac:dyDescent="0.25">
      <c r="A19" s="974"/>
      <c r="B19" s="84" t="s">
        <v>525</v>
      </c>
      <c r="C19" s="84" t="s">
        <v>562</v>
      </c>
      <c r="D19" s="84" t="s">
        <v>563</v>
      </c>
      <c r="E19" s="143">
        <v>0.53125</v>
      </c>
      <c r="F19" s="84">
        <v>2.75</v>
      </c>
      <c r="G19" s="84">
        <v>2</v>
      </c>
      <c r="H19" s="84" t="s">
        <v>575</v>
      </c>
      <c r="J19" s="974"/>
      <c r="K19" s="470" t="s">
        <v>524</v>
      </c>
      <c r="L19" s="84">
        <v>4.0921000000000003</v>
      </c>
      <c r="M19" s="84">
        <f t="shared" si="0"/>
        <v>4.0921000000000004E-3</v>
      </c>
      <c r="N19" s="84"/>
      <c r="O19" s="84">
        <v>1.43</v>
      </c>
      <c r="P19" s="431">
        <f t="shared" si="1"/>
        <v>0</v>
      </c>
      <c r="Q19" s="431">
        <f t="shared" si="2"/>
        <v>6.9890765132816881</v>
      </c>
      <c r="R19" s="84"/>
      <c r="S19" s="84"/>
      <c r="Y19" s="974"/>
      <c r="Z19" s="470" t="s">
        <v>524</v>
      </c>
      <c r="AA19" s="84">
        <v>12.7</v>
      </c>
    </row>
    <row r="20" spans="1:27" x14ac:dyDescent="0.25">
      <c r="A20" s="971"/>
      <c r="B20" s="84" t="s">
        <v>526</v>
      </c>
      <c r="C20" s="84" t="s">
        <v>564</v>
      </c>
      <c r="D20" s="84" t="s">
        <v>565</v>
      </c>
      <c r="E20" s="143">
        <v>0.53819444444444442</v>
      </c>
      <c r="F20" s="84">
        <v>2.75</v>
      </c>
      <c r="G20" s="84">
        <v>1</v>
      </c>
      <c r="H20" s="84" t="s">
        <v>575</v>
      </c>
      <c r="J20" s="974"/>
      <c r="K20" s="470" t="s">
        <v>525</v>
      </c>
      <c r="L20" s="84">
        <v>4.0269000000000004</v>
      </c>
      <c r="M20" s="84">
        <f t="shared" si="0"/>
        <v>4.0269000000000008E-3</v>
      </c>
      <c r="N20" s="84"/>
      <c r="O20" s="84">
        <v>1.1599999999999999</v>
      </c>
      <c r="P20" s="431">
        <f t="shared" si="1"/>
        <v>0</v>
      </c>
      <c r="Q20" s="431">
        <f t="shared" si="2"/>
        <v>5.761255556383321</v>
      </c>
      <c r="R20" s="84"/>
      <c r="S20" s="84"/>
      <c r="Y20" s="974"/>
      <c r="Z20" s="470" t="s">
        <v>525</v>
      </c>
      <c r="AA20" s="84">
        <v>10.4</v>
      </c>
    </row>
    <row r="21" spans="1:27" x14ac:dyDescent="0.25">
      <c r="J21" s="971"/>
      <c r="K21" s="470" t="s">
        <v>526</v>
      </c>
      <c r="L21" s="84">
        <v>4.0185000000000004</v>
      </c>
      <c r="M21" s="84">
        <f t="shared" si="0"/>
        <v>4.0185000000000004E-3</v>
      </c>
      <c r="N21" s="84"/>
      <c r="O21" s="84">
        <v>1.64</v>
      </c>
      <c r="P21" s="431">
        <f t="shared" si="1"/>
        <v>0</v>
      </c>
      <c r="Q21" s="431">
        <f t="shared" si="2"/>
        <v>8.1622495956202545</v>
      </c>
      <c r="R21" s="84"/>
      <c r="S21" s="84"/>
      <c r="Y21" s="971"/>
      <c r="Z21" s="470" t="s">
        <v>526</v>
      </c>
      <c r="AA21" s="84">
        <v>10.7</v>
      </c>
    </row>
    <row r="22" spans="1:27" x14ac:dyDescent="0.25">
      <c r="L22" s="84"/>
      <c r="M22" s="84"/>
      <c r="N22" s="84"/>
      <c r="O22" s="84"/>
      <c r="P22" s="84"/>
      <c r="Q22" s="431">
        <f>AVERAGE(Q5:Q21)</f>
        <v>5.2173898061700488</v>
      </c>
      <c r="R22" s="84"/>
      <c r="S22" s="84"/>
    </row>
    <row r="23" spans="1:27" x14ac:dyDescent="0.25">
      <c r="A23" s="132" t="s">
        <v>569</v>
      </c>
      <c r="B23" s="132"/>
      <c r="C23" s="132"/>
      <c r="D23" s="132"/>
      <c r="E23" s="132"/>
      <c r="F23" s="132"/>
      <c r="G23" s="132"/>
      <c r="H23" s="132"/>
    </row>
    <row r="24" spans="1:27" x14ac:dyDescent="0.25">
      <c r="A24" s="483" t="s">
        <v>570</v>
      </c>
      <c r="B24" s="132"/>
      <c r="C24" s="132"/>
      <c r="D24" s="132"/>
      <c r="E24" s="132"/>
      <c r="F24" s="132"/>
      <c r="G24" s="132"/>
      <c r="H24" s="132"/>
    </row>
    <row r="25" spans="1:27" x14ac:dyDescent="0.25">
      <c r="A25" s="483" t="s">
        <v>571</v>
      </c>
      <c r="B25" s="483"/>
      <c r="C25" s="483"/>
      <c r="D25" s="483"/>
      <c r="E25" s="483"/>
      <c r="F25" s="483"/>
      <c r="G25" s="483"/>
      <c r="H25" s="483"/>
      <c r="L25" s="21"/>
    </row>
    <row r="26" spans="1:27" x14ac:dyDescent="0.25">
      <c r="A26" s="483" t="s">
        <v>572</v>
      </c>
      <c r="B26" s="483"/>
      <c r="C26" s="483"/>
      <c r="D26" s="483"/>
      <c r="E26" s="483"/>
      <c r="F26" s="483"/>
      <c r="G26" s="483"/>
      <c r="H26" s="483"/>
    </row>
    <row r="27" spans="1:27" x14ac:dyDescent="0.25">
      <c r="A27" s="483" t="s">
        <v>573</v>
      </c>
      <c r="B27" s="483"/>
      <c r="C27" s="483"/>
      <c r="D27" s="483"/>
      <c r="E27" s="483"/>
      <c r="F27" s="483"/>
      <c r="G27" s="483"/>
      <c r="H27" s="483"/>
    </row>
    <row r="28" spans="1:27" x14ac:dyDescent="0.25">
      <c r="A28" s="483"/>
      <c r="B28" s="483"/>
      <c r="C28" s="483"/>
      <c r="D28" s="483"/>
      <c r="E28" s="483"/>
      <c r="F28" s="483"/>
      <c r="G28" s="483"/>
      <c r="H28" s="483"/>
    </row>
    <row r="29" spans="1:27" x14ac:dyDescent="0.25">
      <c r="A29" s="92"/>
      <c r="B29" s="92"/>
      <c r="C29" s="92"/>
      <c r="D29" s="92"/>
      <c r="E29" s="92"/>
      <c r="F29" s="92"/>
      <c r="G29" s="92"/>
      <c r="H29" s="92"/>
    </row>
  </sheetData>
  <mergeCells count="20">
    <mergeCell ref="L3:O3"/>
    <mergeCell ref="P3:Q3"/>
    <mergeCell ref="J3:J4"/>
    <mergeCell ref="K3:K4"/>
    <mergeCell ref="J5:J10"/>
    <mergeCell ref="J11:J15"/>
    <mergeCell ref="J16:J21"/>
    <mergeCell ref="D2:D3"/>
    <mergeCell ref="H2:H3"/>
    <mergeCell ref="A4:A9"/>
    <mergeCell ref="A10:A14"/>
    <mergeCell ref="A15:A20"/>
    <mergeCell ref="A2:A3"/>
    <mergeCell ref="B2:B3"/>
    <mergeCell ref="C2:C3"/>
    <mergeCell ref="Y3:Y4"/>
    <mergeCell ref="Z3:Z4"/>
    <mergeCell ref="Y5:Y10"/>
    <mergeCell ref="Y11:Y15"/>
    <mergeCell ref="Y16:Y21"/>
  </mergeCells>
  <pageMargins left="0.37" right="0.48" top="0.75" bottom="0.75" header="0.33" footer="0.3"/>
  <pageSetup scale="9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21"/>
  <sheetViews>
    <sheetView workbookViewId="0">
      <selection activeCell="J35" sqref="J35"/>
    </sheetView>
  </sheetViews>
  <sheetFormatPr defaultRowHeight="12.5" x14ac:dyDescent="0.25"/>
  <cols>
    <col min="1" max="1" width="20" bestFit="1" customWidth="1"/>
    <col min="3" max="3" width="11.6328125" bestFit="1" customWidth="1"/>
    <col min="6" max="6" width="14" bestFit="1" customWidth="1"/>
  </cols>
  <sheetData>
    <row r="1" spans="1:8" x14ac:dyDescent="0.25">
      <c r="C1" s="415">
        <v>1</v>
      </c>
    </row>
    <row r="2" spans="1:8" x14ac:dyDescent="0.25">
      <c r="A2" s="970" t="s">
        <v>528</v>
      </c>
      <c r="B2" s="972" t="s">
        <v>527</v>
      </c>
      <c r="C2" t="s">
        <v>595</v>
      </c>
      <c r="D2" t="s">
        <v>596</v>
      </c>
      <c r="E2" t="s">
        <v>597</v>
      </c>
      <c r="F2" t="s">
        <v>598</v>
      </c>
      <c r="G2" t="s">
        <v>599</v>
      </c>
    </row>
    <row r="3" spans="1:8" x14ac:dyDescent="0.25">
      <c r="A3" s="971"/>
      <c r="B3" s="973"/>
      <c r="C3" s="84" t="s">
        <v>594</v>
      </c>
      <c r="D3" s="84">
        <v>60</v>
      </c>
      <c r="E3" s="84">
        <v>120</v>
      </c>
      <c r="F3" s="84">
        <v>200</v>
      </c>
      <c r="G3" s="84" t="s">
        <v>593</v>
      </c>
    </row>
    <row r="4" spans="1:8" x14ac:dyDescent="0.25">
      <c r="A4" s="970" t="s">
        <v>507</v>
      </c>
      <c r="B4" s="470" t="s">
        <v>508</v>
      </c>
      <c r="C4" s="84">
        <v>10</v>
      </c>
      <c r="D4" s="84">
        <v>50</v>
      </c>
      <c r="E4" s="84">
        <v>10</v>
      </c>
      <c r="F4" s="84">
        <v>10</v>
      </c>
      <c r="G4" s="84">
        <v>20</v>
      </c>
      <c r="H4" s="84">
        <f>SUM(C4:G4)</f>
        <v>100</v>
      </c>
    </row>
    <row r="5" spans="1:8" x14ac:dyDescent="0.25">
      <c r="A5" s="974"/>
      <c r="B5" s="470" t="s">
        <v>509</v>
      </c>
      <c r="C5" s="84">
        <v>5</v>
      </c>
      <c r="D5" s="84">
        <v>30</v>
      </c>
      <c r="E5" s="84">
        <v>25</v>
      </c>
      <c r="F5" s="84">
        <v>20</v>
      </c>
      <c r="G5" s="84">
        <v>20</v>
      </c>
      <c r="H5" s="84">
        <f t="shared" ref="H5:H20" si="0">SUM(C5:G5)</f>
        <v>100</v>
      </c>
    </row>
    <row r="6" spans="1:8" x14ac:dyDescent="0.25">
      <c r="A6" s="974"/>
      <c r="B6" s="470" t="s">
        <v>510</v>
      </c>
      <c r="C6" s="84">
        <v>2</v>
      </c>
      <c r="D6" s="84">
        <v>23</v>
      </c>
      <c r="E6" s="84">
        <v>33</v>
      </c>
      <c r="F6" s="84">
        <v>22</v>
      </c>
      <c r="G6" s="84">
        <v>20</v>
      </c>
      <c r="H6" s="84">
        <f t="shared" si="0"/>
        <v>100</v>
      </c>
    </row>
    <row r="7" spans="1:8" x14ac:dyDescent="0.25">
      <c r="A7" s="974"/>
      <c r="B7" s="470" t="s">
        <v>511</v>
      </c>
      <c r="C7" s="84">
        <v>2</v>
      </c>
      <c r="D7" s="84">
        <v>18</v>
      </c>
      <c r="E7" s="84">
        <v>30</v>
      </c>
      <c r="F7" s="84">
        <v>30</v>
      </c>
      <c r="G7" s="84">
        <v>20</v>
      </c>
      <c r="H7" s="84">
        <f t="shared" si="0"/>
        <v>100</v>
      </c>
    </row>
    <row r="8" spans="1:8" x14ac:dyDescent="0.25">
      <c r="A8" s="974"/>
      <c r="B8" s="470" t="s">
        <v>512</v>
      </c>
      <c r="C8" s="84">
        <v>5</v>
      </c>
      <c r="D8" s="84">
        <v>35</v>
      </c>
      <c r="E8" s="84">
        <v>30</v>
      </c>
      <c r="F8" s="84">
        <v>15</v>
      </c>
      <c r="G8" s="84">
        <v>15</v>
      </c>
      <c r="H8" s="84">
        <f t="shared" si="0"/>
        <v>100</v>
      </c>
    </row>
    <row r="9" spans="1:8" x14ac:dyDescent="0.25">
      <c r="A9" s="971"/>
      <c r="B9" s="470" t="s">
        <v>513</v>
      </c>
      <c r="C9" s="84">
        <v>5</v>
      </c>
      <c r="D9" s="84">
        <v>36</v>
      </c>
      <c r="E9" s="84">
        <v>30</v>
      </c>
      <c r="F9" s="84">
        <v>18</v>
      </c>
      <c r="G9" s="84">
        <v>11</v>
      </c>
      <c r="H9" s="84">
        <f t="shared" si="0"/>
        <v>100</v>
      </c>
    </row>
    <row r="10" spans="1:8" x14ac:dyDescent="0.25">
      <c r="A10" s="970" t="s">
        <v>514</v>
      </c>
      <c r="B10" s="470" t="s">
        <v>515</v>
      </c>
      <c r="C10" s="84">
        <v>8</v>
      </c>
      <c r="D10" s="84">
        <v>37</v>
      </c>
      <c r="E10" s="84">
        <v>27</v>
      </c>
      <c r="F10" s="84">
        <v>16</v>
      </c>
      <c r="G10" s="84">
        <v>12</v>
      </c>
      <c r="H10" s="84">
        <f t="shared" si="0"/>
        <v>100</v>
      </c>
    </row>
    <row r="11" spans="1:8" x14ac:dyDescent="0.25">
      <c r="A11" s="974"/>
      <c r="B11" s="470" t="s">
        <v>516</v>
      </c>
      <c r="C11" s="84">
        <v>8</v>
      </c>
      <c r="D11" s="84">
        <v>20</v>
      </c>
      <c r="E11" s="84">
        <v>32</v>
      </c>
      <c r="F11" s="84">
        <v>18</v>
      </c>
      <c r="G11" s="84">
        <v>22</v>
      </c>
      <c r="H11" s="84">
        <f t="shared" si="0"/>
        <v>100</v>
      </c>
    </row>
    <row r="12" spans="1:8" x14ac:dyDescent="0.25">
      <c r="A12" s="974"/>
      <c r="B12" s="470" t="s">
        <v>517</v>
      </c>
      <c r="C12" s="84">
        <v>15</v>
      </c>
      <c r="D12" s="84">
        <v>21</v>
      </c>
      <c r="E12" s="84">
        <v>22</v>
      </c>
      <c r="F12" s="84">
        <v>21</v>
      </c>
      <c r="G12" s="84">
        <v>21</v>
      </c>
      <c r="H12" s="84">
        <f t="shared" si="0"/>
        <v>100</v>
      </c>
    </row>
    <row r="13" spans="1:8" x14ac:dyDescent="0.25">
      <c r="A13" s="974"/>
      <c r="B13" s="470" t="s">
        <v>518</v>
      </c>
      <c r="C13" s="84">
        <v>13</v>
      </c>
      <c r="D13" s="84">
        <v>20</v>
      </c>
      <c r="E13" s="84">
        <v>30</v>
      </c>
      <c r="F13" s="84">
        <v>15</v>
      </c>
      <c r="G13" s="84">
        <v>22</v>
      </c>
      <c r="H13" s="84">
        <f t="shared" si="0"/>
        <v>100</v>
      </c>
    </row>
    <row r="14" spans="1:8" x14ac:dyDescent="0.25">
      <c r="A14" s="971"/>
      <c r="B14" s="470" t="s">
        <v>519</v>
      </c>
      <c r="C14" s="84">
        <v>14</v>
      </c>
      <c r="D14" s="84">
        <v>26</v>
      </c>
      <c r="E14" s="84">
        <v>30</v>
      </c>
      <c r="F14" s="84">
        <v>8</v>
      </c>
      <c r="G14" s="84">
        <v>22</v>
      </c>
      <c r="H14" s="84">
        <f t="shared" si="0"/>
        <v>100</v>
      </c>
    </row>
    <row r="15" spans="1:8" x14ac:dyDescent="0.25">
      <c r="A15" s="970" t="s">
        <v>520</v>
      </c>
      <c r="B15" s="470" t="s">
        <v>521</v>
      </c>
      <c r="C15" s="84">
        <v>15</v>
      </c>
      <c r="D15" s="84">
        <v>30</v>
      </c>
      <c r="E15" s="84">
        <v>40</v>
      </c>
      <c r="F15" s="84">
        <v>5</v>
      </c>
      <c r="G15" s="84">
        <v>10</v>
      </c>
      <c r="H15" s="84">
        <f t="shared" si="0"/>
        <v>100</v>
      </c>
    </row>
    <row r="16" spans="1:8" x14ac:dyDescent="0.25">
      <c r="A16" s="974"/>
      <c r="B16" s="470" t="s">
        <v>522</v>
      </c>
      <c r="C16" s="84">
        <v>10</v>
      </c>
      <c r="D16" s="84">
        <v>35</v>
      </c>
      <c r="E16" s="84">
        <v>30</v>
      </c>
      <c r="F16" s="84">
        <v>8</v>
      </c>
      <c r="G16" s="84">
        <v>17</v>
      </c>
      <c r="H16" s="84">
        <f t="shared" si="0"/>
        <v>100</v>
      </c>
    </row>
    <row r="17" spans="1:8" x14ac:dyDescent="0.25">
      <c r="A17" s="974"/>
      <c r="B17" s="470" t="s">
        <v>523</v>
      </c>
      <c r="C17" s="84">
        <v>12</v>
      </c>
      <c r="D17" s="84">
        <v>26</v>
      </c>
      <c r="E17" s="84">
        <v>30</v>
      </c>
      <c r="F17" s="84">
        <v>10</v>
      </c>
      <c r="G17" s="84">
        <v>22</v>
      </c>
      <c r="H17" s="84">
        <f t="shared" si="0"/>
        <v>100</v>
      </c>
    </row>
    <row r="18" spans="1:8" x14ac:dyDescent="0.25">
      <c r="A18" s="974"/>
      <c r="B18" s="470" t="s">
        <v>524</v>
      </c>
      <c r="C18" s="84">
        <v>15</v>
      </c>
      <c r="D18" s="84">
        <v>30</v>
      </c>
      <c r="E18" s="84">
        <v>30</v>
      </c>
      <c r="F18" s="84">
        <v>8</v>
      </c>
      <c r="G18" s="84">
        <v>17</v>
      </c>
      <c r="H18" s="84">
        <f t="shared" si="0"/>
        <v>100</v>
      </c>
    </row>
    <row r="19" spans="1:8" x14ac:dyDescent="0.25">
      <c r="A19" s="974"/>
      <c r="B19" s="470" t="s">
        <v>525</v>
      </c>
      <c r="C19" s="84">
        <v>18</v>
      </c>
      <c r="D19" s="84">
        <v>35</v>
      </c>
      <c r="E19" s="84">
        <v>22</v>
      </c>
      <c r="F19" s="84">
        <v>8</v>
      </c>
      <c r="G19" s="84">
        <v>17</v>
      </c>
      <c r="H19" s="84">
        <f t="shared" si="0"/>
        <v>100</v>
      </c>
    </row>
    <row r="20" spans="1:8" x14ac:dyDescent="0.25">
      <c r="A20" s="971"/>
      <c r="B20" s="470" t="s">
        <v>526</v>
      </c>
      <c r="C20" s="84">
        <v>18</v>
      </c>
      <c r="D20" s="84">
        <v>23</v>
      </c>
      <c r="E20" s="84">
        <v>28</v>
      </c>
      <c r="F20" s="84">
        <v>12</v>
      </c>
      <c r="G20" s="84">
        <v>19</v>
      </c>
      <c r="H20" s="84">
        <f t="shared" si="0"/>
        <v>100</v>
      </c>
    </row>
    <row r="21" spans="1:8" x14ac:dyDescent="0.25">
      <c r="B21" s="583" t="s">
        <v>29</v>
      </c>
      <c r="C21" s="5">
        <f>AVERAGE(C4:C20)</f>
        <v>10.294117647058824</v>
      </c>
      <c r="D21" s="5">
        <f>AVERAGE(D4:D20)</f>
        <v>29.117647058823529</v>
      </c>
      <c r="E21" s="5">
        <f>AVERAGE(E4:E20)</f>
        <v>28.176470588235293</v>
      </c>
      <c r="F21" s="5">
        <f>AVERAGE(F4:F20)</f>
        <v>14.352941176470589</v>
      </c>
      <c r="G21" s="5">
        <f>AVERAGE(G4:G20)</f>
        <v>18.058823529411764</v>
      </c>
    </row>
  </sheetData>
  <mergeCells count="5">
    <mergeCell ref="A2:A3"/>
    <mergeCell ref="B2:B3"/>
    <mergeCell ref="A4:A9"/>
    <mergeCell ref="A10:A14"/>
    <mergeCell ref="A15:A20"/>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J20"/>
  <sheetViews>
    <sheetView workbookViewId="0">
      <selection activeCell="F27" sqref="F27"/>
    </sheetView>
  </sheetViews>
  <sheetFormatPr defaultColWidth="12.54296875" defaultRowHeight="12.5" x14ac:dyDescent="0.25"/>
  <cols>
    <col min="1" max="1" width="1.36328125" customWidth="1"/>
    <col min="2" max="2" width="8.453125" bestFit="1" customWidth="1"/>
    <col min="3" max="3" width="53.6328125" customWidth="1"/>
    <col min="4" max="4" width="21.54296875" style="34" customWidth="1"/>
    <col min="5" max="5" width="9.6328125" bestFit="1" customWidth="1"/>
    <col min="6" max="6" width="7.54296875" customWidth="1"/>
    <col min="7" max="7" width="5.90625" customWidth="1"/>
    <col min="8" max="8" width="9.6328125" bestFit="1" customWidth="1"/>
    <col min="9" max="9" width="7.6328125" customWidth="1"/>
    <col min="10" max="10" width="6" customWidth="1"/>
  </cols>
  <sheetData>
    <row r="1" spans="2:10" x14ac:dyDescent="0.25">
      <c r="F1" s="978" t="s">
        <v>697</v>
      </c>
      <c r="G1" s="979"/>
      <c r="I1" s="978" t="s">
        <v>697</v>
      </c>
      <c r="J1" s="979"/>
    </row>
    <row r="2" spans="2:10" x14ac:dyDescent="0.25">
      <c r="B2" s="981" t="s">
        <v>659</v>
      </c>
      <c r="C2" s="981" t="s">
        <v>659</v>
      </c>
      <c r="D2" s="983" t="s">
        <v>296</v>
      </c>
      <c r="E2" s="981" t="s">
        <v>695</v>
      </c>
      <c r="F2" s="980" t="s">
        <v>698</v>
      </c>
      <c r="G2" s="980"/>
      <c r="H2" s="981" t="s">
        <v>695</v>
      </c>
      <c r="I2" s="980" t="s">
        <v>698</v>
      </c>
      <c r="J2" s="980"/>
    </row>
    <row r="3" spans="2:10" x14ac:dyDescent="0.25">
      <c r="B3" s="982"/>
      <c r="C3" s="982"/>
      <c r="D3" s="984"/>
      <c r="E3" s="982"/>
      <c r="F3" s="661" t="s">
        <v>699</v>
      </c>
      <c r="G3" s="661" t="s">
        <v>700</v>
      </c>
      <c r="H3" s="982"/>
      <c r="I3" s="661" t="s">
        <v>699</v>
      </c>
      <c r="J3" s="661" t="s">
        <v>700</v>
      </c>
    </row>
    <row r="4" spans="2:10" ht="23" x14ac:dyDescent="0.25">
      <c r="B4" s="633" t="s">
        <v>660</v>
      </c>
      <c r="C4" s="631" t="s">
        <v>684</v>
      </c>
      <c r="D4" s="634" t="s">
        <v>686</v>
      </c>
      <c r="E4" s="633" t="s">
        <v>696</v>
      </c>
      <c r="F4" s="635">
        <v>17</v>
      </c>
      <c r="G4" s="635">
        <v>21.2</v>
      </c>
      <c r="H4" s="633" t="s">
        <v>701</v>
      </c>
      <c r="I4" s="635">
        <v>9</v>
      </c>
      <c r="J4" s="635">
        <v>13</v>
      </c>
    </row>
    <row r="5" spans="2:10" ht="25" x14ac:dyDescent="0.25">
      <c r="B5" s="633" t="s">
        <v>661</v>
      </c>
      <c r="C5" s="631" t="s">
        <v>683</v>
      </c>
      <c r="D5" s="632" t="s">
        <v>687</v>
      </c>
      <c r="E5" s="633" t="s">
        <v>685</v>
      </c>
      <c r="F5" s="636">
        <v>19.3</v>
      </c>
      <c r="G5" s="636">
        <v>23.8</v>
      </c>
      <c r="H5" s="633" t="s">
        <v>702</v>
      </c>
      <c r="I5" s="635">
        <v>9</v>
      </c>
      <c r="J5" s="635">
        <v>13</v>
      </c>
    </row>
    <row r="6" spans="2:10" ht="25" x14ac:dyDescent="0.25">
      <c r="B6" s="633" t="s">
        <v>662</v>
      </c>
      <c r="C6" s="631" t="s">
        <v>682</v>
      </c>
      <c r="D6" s="632" t="s">
        <v>688</v>
      </c>
      <c r="E6" s="637" t="s">
        <v>703</v>
      </c>
      <c r="F6" s="636">
        <v>23.3</v>
      </c>
      <c r="G6" s="636">
        <v>23.8</v>
      </c>
      <c r="H6" s="637" t="s">
        <v>704</v>
      </c>
      <c r="I6" s="635">
        <v>9</v>
      </c>
      <c r="J6" s="635">
        <v>13</v>
      </c>
    </row>
    <row r="7" spans="2:10" ht="13.5" x14ac:dyDescent="0.25">
      <c r="B7" s="633" t="s">
        <v>663</v>
      </c>
      <c r="C7" s="631" t="s">
        <v>681</v>
      </c>
      <c r="D7" s="632" t="s">
        <v>689</v>
      </c>
      <c r="E7" s="637" t="s">
        <v>703</v>
      </c>
      <c r="F7" s="636">
        <v>18.2</v>
      </c>
      <c r="G7" s="636">
        <v>23.8</v>
      </c>
      <c r="H7" s="637" t="s">
        <v>704</v>
      </c>
      <c r="I7" s="635">
        <v>9</v>
      </c>
      <c r="J7" s="635">
        <v>13</v>
      </c>
    </row>
    <row r="8" spans="2:10" ht="25" x14ac:dyDescent="0.25">
      <c r="B8" s="633" t="s">
        <v>664</v>
      </c>
      <c r="C8" s="631" t="s">
        <v>680</v>
      </c>
      <c r="D8" s="632" t="s">
        <v>690</v>
      </c>
      <c r="E8" s="633" t="s">
        <v>685</v>
      </c>
      <c r="F8" s="636">
        <v>19.3</v>
      </c>
      <c r="G8" s="636">
        <v>23.8</v>
      </c>
      <c r="H8" s="633" t="s">
        <v>702</v>
      </c>
      <c r="I8" s="635">
        <v>9</v>
      </c>
      <c r="J8" s="635">
        <v>13</v>
      </c>
    </row>
    <row r="9" spans="2:10" ht="23" x14ac:dyDescent="0.25">
      <c r="B9" s="636">
        <v>2</v>
      </c>
      <c r="C9" s="631" t="s">
        <v>679</v>
      </c>
      <c r="D9" s="634" t="s">
        <v>694</v>
      </c>
      <c r="E9" s="633" t="s">
        <v>705</v>
      </c>
      <c r="F9" s="636">
        <v>27.5</v>
      </c>
      <c r="G9" s="636">
        <v>28.6</v>
      </c>
      <c r="H9" s="633" t="s">
        <v>702</v>
      </c>
      <c r="I9" s="635">
        <v>13.7</v>
      </c>
      <c r="J9" s="635">
        <v>14.3</v>
      </c>
    </row>
    <row r="10" spans="2:10" ht="23" x14ac:dyDescent="0.25">
      <c r="B10" s="636">
        <v>3</v>
      </c>
      <c r="C10" s="631" t="s">
        <v>678</v>
      </c>
      <c r="D10" s="634" t="s">
        <v>686</v>
      </c>
      <c r="E10" s="633" t="s">
        <v>696</v>
      </c>
      <c r="F10" s="635">
        <v>17</v>
      </c>
      <c r="G10" s="635">
        <v>21.2</v>
      </c>
      <c r="H10" s="633" t="s">
        <v>701</v>
      </c>
      <c r="I10" s="635">
        <v>9</v>
      </c>
      <c r="J10" s="635">
        <v>13</v>
      </c>
    </row>
    <row r="11" spans="2:10" ht="34.5" x14ac:dyDescent="0.25">
      <c r="B11" s="633" t="s">
        <v>665</v>
      </c>
      <c r="C11" s="631" t="s">
        <v>677</v>
      </c>
      <c r="D11" s="634" t="s">
        <v>691</v>
      </c>
      <c r="E11" s="633" t="s">
        <v>705</v>
      </c>
      <c r="F11" s="636">
        <v>24.2</v>
      </c>
      <c r="G11" s="636">
        <v>29</v>
      </c>
      <c r="H11" s="633" t="s">
        <v>706</v>
      </c>
      <c r="I11" s="635">
        <v>12.1</v>
      </c>
      <c r="J11" s="635">
        <v>14.5</v>
      </c>
    </row>
    <row r="12" spans="2:10" ht="34.5" x14ac:dyDescent="0.25">
      <c r="B12" s="636">
        <v>5</v>
      </c>
      <c r="C12" s="631" t="s">
        <v>676</v>
      </c>
      <c r="D12" s="634" t="s">
        <v>692</v>
      </c>
      <c r="E12" s="633" t="s">
        <v>685</v>
      </c>
      <c r="F12" s="636">
        <v>18.2</v>
      </c>
      <c r="G12" s="636">
        <v>23.8</v>
      </c>
      <c r="H12" s="633" t="s">
        <v>702</v>
      </c>
      <c r="I12" s="635">
        <v>9</v>
      </c>
      <c r="J12" s="635">
        <v>13</v>
      </c>
    </row>
    <row r="13" spans="2:10" ht="34.5" x14ac:dyDescent="0.25">
      <c r="B13" s="633" t="s">
        <v>666</v>
      </c>
      <c r="C13" s="631" t="s">
        <v>675</v>
      </c>
      <c r="D13" s="634" t="s">
        <v>692</v>
      </c>
      <c r="E13" s="633" t="s">
        <v>685</v>
      </c>
      <c r="F13" s="636">
        <v>18.2</v>
      </c>
      <c r="G13" s="636">
        <v>23.8</v>
      </c>
      <c r="H13" s="633" t="s">
        <v>702</v>
      </c>
      <c r="I13" s="635">
        <v>9</v>
      </c>
      <c r="J13" s="635">
        <v>13</v>
      </c>
    </row>
    <row r="14" spans="2:10" ht="23" x14ac:dyDescent="0.25">
      <c r="B14" s="633" t="s">
        <v>667</v>
      </c>
      <c r="C14" s="631" t="s">
        <v>674</v>
      </c>
      <c r="D14" s="634" t="s">
        <v>686</v>
      </c>
      <c r="E14" s="633" t="s">
        <v>696</v>
      </c>
      <c r="F14" s="635">
        <v>17</v>
      </c>
      <c r="G14" s="635">
        <v>21.2</v>
      </c>
      <c r="H14" s="633" t="s">
        <v>701</v>
      </c>
      <c r="I14" s="635">
        <v>9</v>
      </c>
      <c r="J14" s="635">
        <v>13</v>
      </c>
    </row>
    <row r="15" spans="2:10" ht="23" x14ac:dyDescent="0.25">
      <c r="B15" s="636">
        <v>7</v>
      </c>
      <c r="C15" s="631" t="s">
        <v>673</v>
      </c>
      <c r="D15" s="634" t="s">
        <v>686</v>
      </c>
      <c r="E15" s="633" t="s">
        <v>696</v>
      </c>
      <c r="F15" s="635">
        <v>17</v>
      </c>
      <c r="G15" s="635">
        <v>21.2</v>
      </c>
      <c r="H15" s="633" t="s">
        <v>701</v>
      </c>
      <c r="I15" s="635">
        <v>9</v>
      </c>
      <c r="J15" s="635">
        <v>13</v>
      </c>
    </row>
    <row r="16" spans="2:10" ht="23" x14ac:dyDescent="0.25">
      <c r="B16" s="636">
        <v>8</v>
      </c>
      <c r="C16" s="631" t="s">
        <v>672</v>
      </c>
      <c r="D16" s="634" t="s">
        <v>693</v>
      </c>
      <c r="E16" s="633" t="s">
        <v>703</v>
      </c>
      <c r="F16" s="635">
        <v>17</v>
      </c>
      <c r="G16" s="635">
        <v>21.2</v>
      </c>
      <c r="H16" s="633" t="s">
        <v>704</v>
      </c>
      <c r="I16" s="635">
        <v>9</v>
      </c>
      <c r="J16" s="635">
        <v>13</v>
      </c>
    </row>
    <row r="17" spans="2:10" ht="23" x14ac:dyDescent="0.25">
      <c r="B17" s="636">
        <v>9</v>
      </c>
      <c r="C17" s="631" t="s">
        <v>671</v>
      </c>
      <c r="D17" s="634" t="s">
        <v>693</v>
      </c>
      <c r="E17" s="633" t="s">
        <v>703</v>
      </c>
      <c r="F17" s="635">
        <v>17</v>
      </c>
      <c r="G17" s="635">
        <v>21.2</v>
      </c>
      <c r="H17" s="633" t="s">
        <v>704</v>
      </c>
      <c r="I17" s="635">
        <v>9</v>
      </c>
      <c r="J17" s="635">
        <v>13</v>
      </c>
    </row>
    <row r="18" spans="2:10" ht="34.5" x14ac:dyDescent="0.25">
      <c r="B18" s="636">
        <v>10</v>
      </c>
      <c r="C18" s="631" t="s">
        <v>670</v>
      </c>
      <c r="D18" s="634" t="s">
        <v>693</v>
      </c>
      <c r="E18" s="633" t="s">
        <v>703</v>
      </c>
      <c r="F18" s="635">
        <v>17</v>
      </c>
      <c r="G18" s="635">
        <v>21.2</v>
      </c>
      <c r="H18" s="633" t="s">
        <v>704</v>
      </c>
      <c r="I18" s="635">
        <v>9</v>
      </c>
      <c r="J18" s="635">
        <v>13</v>
      </c>
    </row>
    <row r="19" spans="2:10" ht="39.75" customHeight="1" x14ac:dyDescent="0.25">
      <c r="B19" s="636">
        <v>11</v>
      </c>
      <c r="C19" s="631" t="s">
        <v>669</v>
      </c>
      <c r="D19" s="634" t="s">
        <v>693</v>
      </c>
      <c r="E19" s="633" t="s">
        <v>703</v>
      </c>
      <c r="F19" s="635">
        <v>17</v>
      </c>
      <c r="G19" s="635">
        <v>21.2</v>
      </c>
      <c r="H19" s="633" t="s">
        <v>704</v>
      </c>
      <c r="I19" s="635">
        <v>9</v>
      </c>
      <c r="J19" s="635">
        <v>13</v>
      </c>
    </row>
    <row r="20" spans="2:10" ht="23" x14ac:dyDescent="0.25">
      <c r="B20" s="636">
        <v>12</v>
      </c>
      <c r="C20" s="631" t="s">
        <v>668</v>
      </c>
      <c r="D20" s="634" t="s">
        <v>693</v>
      </c>
      <c r="E20" s="633" t="s">
        <v>703</v>
      </c>
      <c r="F20" s="635">
        <v>17</v>
      </c>
      <c r="G20" s="635">
        <v>21.2</v>
      </c>
      <c r="H20" s="633" t="s">
        <v>704</v>
      </c>
      <c r="I20" s="635">
        <v>9</v>
      </c>
      <c r="J20" s="635">
        <v>13</v>
      </c>
    </row>
  </sheetData>
  <mergeCells count="9">
    <mergeCell ref="I1:J1"/>
    <mergeCell ref="I2:J2"/>
    <mergeCell ref="E2:E3"/>
    <mergeCell ref="H2:H3"/>
    <mergeCell ref="B2:B3"/>
    <mergeCell ref="C2:C3"/>
    <mergeCell ref="D2:D3"/>
    <mergeCell ref="F1:G1"/>
    <mergeCell ref="F2:G2"/>
  </mergeCells>
  <pageMargins left="0.55000000000000004" right="0.47" top="0.4" bottom="0.45" header="0.3" footer="0.3"/>
  <pageSetup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14"/>
  <sheetViews>
    <sheetView workbookViewId="0">
      <selection activeCell="R30" sqref="R30"/>
    </sheetView>
  </sheetViews>
  <sheetFormatPr defaultRowHeight="12.5" x14ac:dyDescent="0.25"/>
  <cols>
    <col min="1" max="1" width="23.08984375" bestFit="1" customWidth="1"/>
    <col min="2" max="2" width="3.90625" bestFit="1" customWidth="1"/>
    <col min="3" max="4" width="4.08984375" bestFit="1" customWidth="1"/>
    <col min="5" max="5" width="3.90625" bestFit="1" customWidth="1"/>
    <col min="6" max="6" width="4.54296875" bestFit="1" customWidth="1"/>
    <col min="7" max="7" width="3.90625" bestFit="1" customWidth="1"/>
    <col min="8" max="8" width="4" bestFit="1" customWidth="1"/>
    <col min="9" max="9" width="3.36328125" bestFit="1" customWidth="1"/>
    <col min="10" max="13" width="4.36328125" bestFit="1" customWidth="1"/>
    <col min="14" max="15" width="4" bestFit="1" customWidth="1"/>
    <col min="16" max="16" width="4.36328125" bestFit="1" customWidth="1"/>
    <col min="17" max="17" width="7" bestFit="1" customWidth="1"/>
    <col min="19" max="19" width="23.08984375" bestFit="1" customWidth="1"/>
    <col min="20" max="20" width="3.90625" bestFit="1" customWidth="1"/>
    <col min="21" max="21" width="4.08984375" bestFit="1" customWidth="1"/>
    <col min="22" max="22" width="4.54296875" bestFit="1" customWidth="1"/>
    <col min="23" max="23" width="4.6328125" bestFit="1" customWidth="1"/>
    <col min="24" max="25" width="5.90625" bestFit="1" customWidth="1"/>
    <col min="26" max="28" width="6.6328125" bestFit="1" customWidth="1"/>
    <col min="29" max="29" width="5.54296875" bestFit="1" customWidth="1"/>
    <col min="30" max="30" width="4" bestFit="1" customWidth="1"/>
    <col min="31" max="31" width="4.36328125" bestFit="1" customWidth="1"/>
  </cols>
  <sheetData>
    <row r="1" spans="1:32" x14ac:dyDescent="0.25">
      <c r="A1" s="986" t="s">
        <v>483</v>
      </c>
      <c r="B1" s="985" t="s">
        <v>745</v>
      </c>
      <c r="C1" s="985"/>
      <c r="D1" s="985"/>
      <c r="E1" s="985"/>
      <c r="F1" s="985"/>
      <c r="G1" s="985"/>
      <c r="H1" s="985"/>
      <c r="I1" s="985"/>
      <c r="J1" s="985"/>
      <c r="K1" s="985"/>
      <c r="L1" s="985"/>
      <c r="M1" s="985"/>
      <c r="N1" s="985"/>
      <c r="O1" s="985"/>
      <c r="P1" s="985"/>
      <c r="S1" s="986" t="s">
        <v>483</v>
      </c>
      <c r="T1" s="985" t="s">
        <v>746</v>
      </c>
      <c r="U1" s="985"/>
      <c r="V1" s="985"/>
      <c r="W1" s="985"/>
      <c r="X1" s="985"/>
      <c r="Y1" s="985"/>
      <c r="Z1" s="985"/>
      <c r="AA1" s="985"/>
      <c r="AB1" s="985"/>
      <c r="AC1" s="985"/>
      <c r="AD1" s="985"/>
      <c r="AE1" s="985"/>
    </row>
    <row r="2" spans="1:32" x14ac:dyDescent="0.25">
      <c r="A2" s="987"/>
      <c r="B2" s="379" t="s">
        <v>81</v>
      </c>
      <c r="C2" s="379" t="s">
        <v>82</v>
      </c>
      <c r="D2" s="379" t="s">
        <v>83</v>
      </c>
      <c r="E2" s="379" t="s">
        <v>84</v>
      </c>
      <c r="F2" s="379" t="s">
        <v>85</v>
      </c>
      <c r="G2" s="379" t="s">
        <v>86</v>
      </c>
      <c r="H2" s="379" t="s">
        <v>87</v>
      </c>
      <c r="I2" s="379" t="s">
        <v>87</v>
      </c>
      <c r="J2" s="379" t="s">
        <v>88</v>
      </c>
      <c r="K2" s="379" t="s">
        <v>88</v>
      </c>
      <c r="L2" s="379" t="s">
        <v>89</v>
      </c>
      <c r="M2" s="379" t="s">
        <v>89</v>
      </c>
      <c r="N2" s="379" t="s">
        <v>90</v>
      </c>
      <c r="O2" s="379" t="s">
        <v>91</v>
      </c>
      <c r="P2" s="379" t="s">
        <v>92</v>
      </c>
      <c r="Q2" s="375" t="s">
        <v>744</v>
      </c>
      <c r="S2" s="987"/>
      <c r="T2" s="379" t="s">
        <v>81</v>
      </c>
      <c r="U2" s="379" t="s">
        <v>82</v>
      </c>
      <c r="V2" s="379" t="s">
        <v>83</v>
      </c>
      <c r="W2" s="379" t="s">
        <v>84</v>
      </c>
      <c r="X2" s="379" t="s">
        <v>85</v>
      </c>
      <c r="Y2" s="379" t="s">
        <v>86</v>
      </c>
      <c r="Z2" s="379" t="s">
        <v>87</v>
      </c>
      <c r="AA2" s="379" t="s">
        <v>88</v>
      </c>
      <c r="AB2" s="379" t="s">
        <v>89</v>
      </c>
      <c r="AC2" s="379" t="s">
        <v>90</v>
      </c>
      <c r="AD2" s="379" t="s">
        <v>91</v>
      </c>
      <c r="AE2" s="379" t="s">
        <v>92</v>
      </c>
      <c r="AF2" s="379" t="s">
        <v>744</v>
      </c>
    </row>
    <row r="3" spans="1:32" ht="13" x14ac:dyDescent="0.3">
      <c r="A3" s="210" t="s">
        <v>291</v>
      </c>
      <c r="B3" s="84"/>
      <c r="C3" s="84"/>
      <c r="D3" s="84">
        <v>0</v>
      </c>
      <c r="E3" s="84">
        <v>1</v>
      </c>
      <c r="F3" s="84">
        <v>0</v>
      </c>
      <c r="G3" s="84">
        <v>2</v>
      </c>
      <c r="H3" s="84">
        <v>1</v>
      </c>
      <c r="I3" s="84">
        <v>6</v>
      </c>
      <c r="J3" s="84">
        <v>0</v>
      </c>
      <c r="K3" s="84">
        <v>2</v>
      </c>
      <c r="L3" s="84">
        <v>4</v>
      </c>
      <c r="M3" s="84">
        <v>7</v>
      </c>
      <c r="N3" s="84">
        <v>1</v>
      </c>
      <c r="O3" s="84">
        <v>0</v>
      </c>
      <c r="P3" s="84">
        <v>0</v>
      </c>
      <c r="Q3" s="649">
        <f>MEDIAN(B3:P3)</f>
        <v>1</v>
      </c>
      <c r="S3" s="210" t="s">
        <v>291</v>
      </c>
      <c r="T3" s="84"/>
      <c r="U3" s="84"/>
      <c r="V3" s="84"/>
      <c r="W3" s="84">
        <f>E3*2</f>
        <v>2</v>
      </c>
      <c r="X3" s="84">
        <f>F3*2</f>
        <v>0</v>
      </c>
      <c r="Y3" s="84">
        <f>G3*2</f>
        <v>4</v>
      </c>
      <c r="Z3" s="84">
        <f>((I3+J3)/2)*2</f>
        <v>6</v>
      </c>
      <c r="AA3" s="84">
        <f>((J3+K3)/2)*2</f>
        <v>2</v>
      </c>
      <c r="AB3" s="84">
        <f>((K3+L3)/2)*2</f>
        <v>6</v>
      </c>
      <c r="AC3" s="84">
        <f>N3*2</f>
        <v>2</v>
      </c>
      <c r="AD3" s="84"/>
      <c r="AE3" s="84"/>
      <c r="AF3" s="649">
        <f>MEDIAN(T3:AE3)</f>
        <v>2</v>
      </c>
    </row>
    <row r="4" spans="1:32" ht="13" x14ac:dyDescent="0.3">
      <c r="A4" s="210" t="s">
        <v>282</v>
      </c>
      <c r="B4" s="84">
        <v>2</v>
      </c>
      <c r="C4" s="84">
        <v>21</v>
      </c>
      <c r="D4" s="84">
        <v>43</v>
      </c>
      <c r="E4" s="84">
        <v>33</v>
      </c>
      <c r="F4" s="84">
        <v>14</v>
      </c>
      <c r="G4" s="84">
        <v>12</v>
      </c>
      <c r="H4" s="84">
        <v>11</v>
      </c>
      <c r="I4" s="84">
        <v>37</v>
      </c>
      <c r="J4" s="84">
        <v>38</v>
      </c>
      <c r="K4" s="84">
        <v>30</v>
      </c>
      <c r="L4" s="84">
        <v>13</v>
      </c>
      <c r="M4" s="84">
        <v>20</v>
      </c>
      <c r="N4" s="84">
        <v>40</v>
      </c>
      <c r="O4" s="84">
        <v>4</v>
      </c>
      <c r="P4" s="84">
        <v>18</v>
      </c>
      <c r="Q4" s="649">
        <f t="shared" ref="Q4:Q14" si="0">MEDIAN(B4:P4)</f>
        <v>20</v>
      </c>
      <c r="S4" s="210" t="s">
        <v>282</v>
      </c>
      <c r="T4" s="84">
        <f t="shared" ref="T4:T9" si="1">B4*2</f>
        <v>4</v>
      </c>
      <c r="U4" s="84">
        <f t="shared" ref="U4:U9" si="2">C4*2</f>
        <v>42</v>
      </c>
      <c r="V4" s="84">
        <f t="shared" ref="V4:V9" si="3">D4*2</f>
        <v>86</v>
      </c>
      <c r="W4" s="84">
        <f t="shared" ref="W4:W9" si="4">E4*2</f>
        <v>66</v>
      </c>
      <c r="X4" s="84">
        <f t="shared" ref="X4:X9" si="5">F4*2</f>
        <v>28</v>
      </c>
      <c r="Y4" s="84">
        <f t="shared" ref="Y4:Y14" si="6">G4*2</f>
        <v>24</v>
      </c>
      <c r="Z4" s="84">
        <f t="shared" ref="Z4:Z14" si="7">((I4+J4)/2)*2</f>
        <v>75</v>
      </c>
      <c r="AA4" s="84">
        <f t="shared" ref="AA4:AA14" si="8">((J4+K4)/2)*2</f>
        <v>68</v>
      </c>
      <c r="AB4" s="84">
        <f t="shared" ref="AB4:AB14" si="9">((K4+L4)/2)*2</f>
        <v>43</v>
      </c>
      <c r="AC4" s="84">
        <f t="shared" ref="AC4:AC9" si="10">N4*2</f>
        <v>80</v>
      </c>
      <c r="AD4" s="84">
        <f t="shared" ref="AD4:AD9" si="11">O4*2</f>
        <v>8</v>
      </c>
      <c r="AE4" s="84">
        <f t="shared" ref="AE4:AE13" si="12">P4*2</f>
        <v>36</v>
      </c>
      <c r="AF4" s="649">
        <f t="shared" ref="AF4:AF14" si="13">MEDIAN(T4:AE4)</f>
        <v>42.5</v>
      </c>
    </row>
    <row r="5" spans="1:32" ht="13" x14ac:dyDescent="0.3">
      <c r="A5" s="210" t="s">
        <v>366</v>
      </c>
      <c r="B5" s="84">
        <v>2</v>
      </c>
      <c r="C5" s="84">
        <v>0</v>
      </c>
      <c r="D5" s="84">
        <v>3</v>
      </c>
      <c r="E5" s="84">
        <v>11</v>
      </c>
      <c r="F5" s="84">
        <v>0</v>
      </c>
      <c r="G5" s="84">
        <v>1</v>
      </c>
      <c r="H5" s="84">
        <v>2</v>
      </c>
      <c r="I5" s="84">
        <v>12</v>
      </c>
      <c r="J5" s="84">
        <v>5</v>
      </c>
      <c r="K5" s="84">
        <v>3</v>
      </c>
      <c r="L5" s="84">
        <v>6</v>
      </c>
      <c r="M5" s="84">
        <v>1</v>
      </c>
      <c r="N5" s="84">
        <v>11</v>
      </c>
      <c r="O5" s="84">
        <v>0</v>
      </c>
      <c r="P5" s="84">
        <v>3</v>
      </c>
      <c r="Q5" s="649">
        <f t="shared" si="0"/>
        <v>3</v>
      </c>
      <c r="S5" s="210" t="s">
        <v>366</v>
      </c>
      <c r="T5" s="84">
        <f t="shared" si="1"/>
        <v>4</v>
      </c>
      <c r="U5" s="84">
        <f t="shared" si="2"/>
        <v>0</v>
      </c>
      <c r="V5" s="84">
        <f t="shared" si="3"/>
        <v>6</v>
      </c>
      <c r="W5" s="84">
        <f t="shared" si="4"/>
        <v>22</v>
      </c>
      <c r="X5" s="84">
        <f t="shared" si="5"/>
        <v>0</v>
      </c>
      <c r="Y5" s="84">
        <f t="shared" si="6"/>
        <v>2</v>
      </c>
      <c r="Z5" s="84">
        <f t="shared" si="7"/>
        <v>17</v>
      </c>
      <c r="AA5" s="84">
        <f t="shared" si="8"/>
        <v>8</v>
      </c>
      <c r="AB5" s="84">
        <f t="shared" si="9"/>
        <v>9</v>
      </c>
      <c r="AC5" s="84">
        <f t="shared" si="10"/>
        <v>22</v>
      </c>
      <c r="AD5" s="84"/>
      <c r="AE5" s="84">
        <f t="shared" si="12"/>
        <v>6</v>
      </c>
      <c r="AF5" s="649">
        <f t="shared" si="13"/>
        <v>6</v>
      </c>
    </row>
    <row r="6" spans="1:32" ht="13" x14ac:dyDescent="0.3">
      <c r="A6" s="210" t="s">
        <v>284</v>
      </c>
      <c r="B6" s="84">
        <v>2</v>
      </c>
      <c r="C6" s="84">
        <v>1</v>
      </c>
      <c r="D6" s="84">
        <v>36</v>
      </c>
      <c r="E6" s="84">
        <v>17</v>
      </c>
      <c r="F6" s="84">
        <v>23</v>
      </c>
      <c r="G6" s="84">
        <v>23</v>
      </c>
      <c r="H6" s="84">
        <v>32</v>
      </c>
      <c r="I6" s="84">
        <v>99</v>
      </c>
      <c r="J6" s="84">
        <v>32</v>
      </c>
      <c r="K6" s="84">
        <v>48</v>
      </c>
      <c r="L6" s="84">
        <v>54</v>
      </c>
      <c r="M6" s="84">
        <v>27</v>
      </c>
      <c r="N6" s="84">
        <v>28</v>
      </c>
      <c r="O6" s="84">
        <v>6</v>
      </c>
      <c r="P6" s="84">
        <v>28</v>
      </c>
      <c r="Q6" s="649">
        <f t="shared" si="0"/>
        <v>28</v>
      </c>
      <c r="S6" s="210" t="s">
        <v>284</v>
      </c>
      <c r="T6" s="84">
        <f t="shared" si="1"/>
        <v>4</v>
      </c>
      <c r="U6" s="84">
        <f t="shared" si="2"/>
        <v>2</v>
      </c>
      <c r="V6" s="84">
        <f t="shared" si="3"/>
        <v>72</v>
      </c>
      <c r="W6" s="84">
        <f t="shared" si="4"/>
        <v>34</v>
      </c>
      <c r="X6" s="84">
        <f t="shared" si="5"/>
        <v>46</v>
      </c>
      <c r="Y6" s="84">
        <f t="shared" si="6"/>
        <v>46</v>
      </c>
      <c r="Z6" s="84">
        <f t="shared" si="7"/>
        <v>131</v>
      </c>
      <c r="AA6" s="84">
        <f t="shared" si="8"/>
        <v>80</v>
      </c>
      <c r="AB6" s="84">
        <f t="shared" si="9"/>
        <v>102</v>
      </c>
      <c r="AC6" s="84">
        <f t="shared" si="10"/>
        <v>56</v>
      </c>
      <c r="AD6" s="84">
        <f t="shared" si="11"/>
        <v>12</v>
      </c>
      <c r="AE6" s="84">
        <f t="shared" si="12"/>
        <v>56</v>
      </c>
      <c r="AF6" s="649">
        <f t="shared" si="13"/>
        <v>51</v>
      </c>
    </row>
    <row r="7" spans="1:32" ht="13" x14ac:dyDescent="0.3">
      <c r="A7" s="210" t="s">
        <v>285</v>
      </c>
      <c r="B7" s="84"/>
      <c r="C7" s="84"/>
      <c r="D7" s="84">
        <v>1</v>
      </c>
      <c r="E7" s="84">
        <v>1</v>
      </c>
      <c r="F7" s="84">
        <v>2</v>
      </c>
      <c r="G7" s="84">
        <v>3</v>
      </c>
      <c r="H7" s="84">
        <v>8</v>
      </c>
      <c r="I7" s="84">
        <v>3</v>
      </c>
      <c r="J7" s="84">
        <v>6</v>
      </c>
      <c r="K7" s="84">
        <v>4</v>
      </c>
      <c r="L7" s="84">
        <v>2</v>
      </c>
      <c r="M7" s="84">
        <v>5</v>
      </c>
      <c r="N7" s="84"/>
      <c r="O7" s="84"/>
      <c r="P7" s="84"/>
      <c r="Q7" s="649">
        <f t="shared" si="0"/>
        <v>3</v>
      </c>
      <c r="S7" s="210" t="s">
        <v>285</v>
      </c>
      <c r="T7" s="84"/>
      <c r="U7" s="84"/>
      <c r="V7" s="655">
        <f>D7*3</f>
        <v>3</v>
      </c>
      <c r="W7" s="655">
        <v>12</v>
      </c>
      <c r="X7" s="655">
        <v>13</v>
      </c>
      <c r="Y7" s="655">
        <v>20</v>
      </c>
      <c r="Z7" s="655">
        <v>14</v>
      </c>
      <c r="AA7" s="655">
        <v>20</v>
      </c>
      <c r="AB7" s="655">
        <v>20</v>
      </c>
      <c r="AC7" s="84"/>
      <c r="AD7" s="84"/>
      <c r="AE7" s="84"/>
      <c r="AF7" s="649">
        <f t="shared" si="13"/>
        <v>14</v>
      </c>
    </row>
    <row r="8" spans="1:32" ht="13" x14ac:dyDescent="0.3">
      <c r="A8" s="210" t="s">
        <v>742</v>
      </c>
      <c r="B8" s="84"/>
      <c r="C8" s="84"/>
      <c r="D8" s="84"/>
      <c r="E8" s="84">
        <v>15</v>
      </c>
      <c r="F8" s="84">
        <v>16</v>
      </c>
      <c r="G8" s="84">
        <v>28</v>
      </c>
      <c r="H8" s="84">
        <v>14</v>
      </c>
      <c r="I8" s="84">
        <v>23</v>
      </c>
      <c r="J8" s="84">
        <v>28</v>
      </c>
      <c r="K8" s="84">
        <v>27</v>
      </c>
      <c r="L8" s="84">
        <v>24</v>
      </c>
      <c r="M8" s="84">
        <v>17</v>
      </c>
      <c r="N8" s="84"/>
      <c r="O8" s="84"/>
      <c r="P8" s="84"/>
      <c r="Q8" s="649">
        <f t="shared" si="0"/>
        <v>23</v>
      </c>
      <c r="S8" s="210" t="s">
        <v>742</v>
      </c>
      <c r="T8" s="84"/>
      <c r="U8" s="84"/>
      <c r="V8" s="84"/>
      <c r="W8" s="84">
        <f t="shared" ref="W8:AB8" si="14">E8</f>
        <v>15</v>
      </c>
      <c r="X8" s="84">
        <f t="shared" si="14"/>
        <v>16</v>
      </c>
      <c r="Y8" s="84">
        <f t="shared" si="14"/>
        <v>28</v>
      </c>
      <c r="Z8" s="84">
        <f t="shared" si="14"/>
        <v>14</v>
      </c>
      <c r="AA8" s="84">
        <f t="shared" si="14"/>
        <v>23</v>
      </c>
      <c r="AB8" s="84">
        <f t="shared" si="14"/>
        <v>28</v>
      </c>
      <c r="AC8" s="84"/>
      <c r="AD8" s="84"/>
      <c r="AE8" s="84"/>
      <c r="AF8" s="649">
        <f t="shared" si="13"/>
        <v>19.5</v>
      </c>
    </row>
    <row r="9" spans="1:32" ht="13" x14ac:dyDescent="0.3">
      <c r="A9" s="210" t="s">
        <v>286</v>
      </c>
      <c r="B9" s="84">
        <v>4</v>
      </c>
      <c r="C9" s="84">
        <v>1</v>
      </c>
      <c r="D9" s="84">
        <v>46</v>
      </c>
      <c r="E9" s="84">
        <v>27</v>
      </c>
      <c r="F9" s="84">
        <v>16</v>
      </c>
      <c r="G9" s="84">
        <v>33</v>
      </c>
      <c r="H9" s="84">
        <v>30</v>
      </c>
      <c r="I9" s="84">
        <v>39</v>
      </c>
      <c r="J9" s="84">
        <v>41</v>
      </c>
      <c r="K9" s="84">
        <v>28</v>
      </c>
      <c r="L9" s="84">
        <v>47</v>
      </c>
      <c r="M9" s="84">
        <v>35</v>
      </c>
      <c r="N9" s="84">
        <v>5</v>
      </c>
      <c r="O9" s="84">
        <v>13</v>
      </c>
      <c r="P9" s="84">
        <v>23</v>
      </c>
      <c r="Q9" s="649">
        <f t="shared" si="0"/>
        <v>28</v>
      </c>
      <c r="S9" s="210" t="s">
        <v>286</v>
      </c>
      <c r="T9" s="84">
        <f t="shared" si="1"/>
        <v>8</v>
      </c>
      <c r="U9" s="84">
        <f t="shared" si="2"/>
        <v>2</v>
      </c>
      <c r="V9" s="84">
        <f t="shared" si="3"/>
        <v>92</v>
      </c>
      <c r="W9" s="84">
        <f t="shared" si="4"/>
        <v>54</v>
      </c>
      <c r="X9" s="84">
        <f t="shared" si="5"/>
        <v>32</v>
      </c>
      <c r="Y9" s="84">
        <f t="shared" si="6"/>
        <v>66</v>
      </c>
      <c r="Z9" s="84">
        <f t="shared" si="7"/>
        <v>80</v>
      </c>
      <c r="AA9" s="84">
        <f t="shared" si="8"/>
        <v>69</v>
      </c>
      <c r="AB9" s="84">
        <f t="shared" si="9"/>
        <v>75</v>
      </c>
      <c r="AC9" s="84">
        <f t="shared" si="10"/>
        <v>10</v>
      </c>
      <c r="AD9" s="84">
        <f t="shared" si="11"/>
        <v>26</v>
      </c>
      <c r="AE9" s="84">
        <f t="shared" si="12"/>
        <v>46</v>
      </c>
      <c r="AF9" s="649">
        <f t="shared" si="13"/>
        <v>50</v>
      </c>
    </row>
    <row r="10" spans="1:32" ht="13" x14ac:dyDescent="0.3">
      <c r="A10" s="210" t="s">
        <v>741</v>
      </c>
      <c r="B10" s="84"/>
      <c r="C10" s="84"/>
      <c r="D10" s="84"/>
      <c r="E10" s="84"/>
      <c r="F10" s="84"/>
      <c r="G10" s="84">
        <v>1</v>
      </c>
      <c r="H10" s="84">
        <v>2</v>
      </c>
      <c r="I10" s="84">
        <v>4</v>
      </c>
      <c r="J10" s="84">
        <v>5</v>
      </c>
      <c r="K10" s="84">
        <v>6</v>
      </c>
      <c r="L10" s="84">
        <v>3</v>
      </c>
      <c r="M10" s="84"/>
      <c r="N10" s="84"/>
      <c r="O10" s="84"/>
      <c r="P10" s="84"/>
      <c r="Q10" s="649">
        <f t="shared" si="0"/>
        <v>3.5</v>
      </c>
      <c r="S10" s="210" t="s">
        <v>741</v>
      </c>
      <c r="T10" s="84"/>
      <c r="U10" s="84"/>
      <c r="V10" s="84"/>
      <c r="W10" s="84"/>
      <c r="X10" s="84"/>
      <c r="Y10" s="655">
        <f>G10*1.5</f>
        <v>1.5</v>
      </c>
      <c r="Z10" s="655">
        <f>H10*1.5</f>
        <v>3</v>
      </c>
      <c r="AA10" s="655">
        <f>I10*1.5</f>
        <v>6</v>
      </c>
      <c r="AB10" s="655">
        <f>J10*1.5</f>
        <v>7.5</v>
      </c>
      <c r="AC10" s="84"/>
      <c r="AD10" s="84"/>
      <c r="AE10" s="84"/>
      <c r="AF10" s="649">
        <f t="shared" si="13"/>
        <v>4.5</v>
      </c>
    </row>
    <row r="11" spans="1:32" ht="13" x14ac:dyDescent="0.3">
      <c r="A11" s="210" t="s">
        <v>288</v>
      </c>
      <c r="B11" s="84"/>
      <c r="C11" s="84"/>
      <c r="D11" s="84"/>
      <c r="E11" s="84">
        <v>6</v>
      </c>
      <c r="F11" s="84">
        <v>12</v>
      </c>
      <c r="G11" s="84">
        <v>50</v>
      </c>
      <c r="H11" s="84">
        <v>18</v>
      </c>
      <c r="I11" s="84">
        <v>56</v>
      </c>
      <c r="J11" s="84">
        <v>22</v>
      </c>
      <c r="K11" s="84">
        <v>14</v>
      </c>
      <c r="L11" s="84">
        <v>13</v>
      </c>
      <c r="M11" s="84">
        <v>25</v>
      </c>
      <c r="N11" s="84">
        <v>7</v>
      </c>
      <c r="O11" s="84"/>
      <c r="P11" s="84"/>
      <c r="Q11" s="649">
        <f t="shared" si="0"/>
        <v>16</v>
      </c>
      <c r="S11" s="210" t="s">
        <v>288</v>
      </c>
      <c r="T11" s="84"/>
      <c r="U11" s="84"/>
      <c r="V11" s="84"/>
      <c r="W11" s="655">
        <f>E11*1.1</f>
        <v>6.6000000000000005</v>
      </c>
      <c r="X11" s="655">
        <f t="shared" ref="X11:AC11" si="15">F11*1.1</f>
        <v>13.200000000000001</v>
      </c>
      <c r="Y11" s="655">
        <f t="shared" si="15"/>
        <v>55.000000000000007</v>
      </c>
      <c r="Z11" s="655">
        <f t="shared" si="15"/>
        <v>19.8</v>
      </c>
      <c r="AA11" s="655">
        <f t="shared" si="15"/>
        <v>61.600000000000009</v>
      </c>
      <c r="AB11" s="655">
        <f t="shared" si="15"/>
        <v>24.200000000000003</v>
      </c>
      <c r="AC11" s="655">
        <f t="shared" si="15"/>
        <v>15.400000000000002</v>
      </c>
      <c r="AD11" s="84"/>
      <c r="AE11" s="84"/>
      <c r="AF11" s="649">
        <f t="shared" si="13"/>
        <v>19.8</v>
      </c>
    </row>
    <row r="12" spans="1:32" ht="13" x14ac:dyDescent="0.3">
      <c r="A12" s="210" t="s">
        <v>292</v>
      </c>
      <c r="B12" s="84"/>
      <c r="C12" s="84"/>
      <c r="D12" s="84"/>
      <c r="E12" s="84"/>
      <c r="F12" s="84">
        <v>2</v>
      </c>
      <c r="G12" s="84">
        <v>50</v>
      </c>
      <c r="H12" s="84">
        <v>130</v>
      </c>
      <c r="I12" s="84">
        <v>90</v>
      </c>
      <c r="J12" s="84">
        <v>110</v>
      </c>
      <c r="K12" s="84">
        <v>60</v>
      </c>
      <c r="L12" s="84">
        <v>1</v>
      </c>
      <c r="M12" s="84">
        <v>2</v>
      </c>
      <c r="N12" s="84"/>
      <c r="O12" s="84"/>
      <c r="P12" s="84"/>
      <c r="Q12" s="649">
        <f t="shared" si="0"/>
        <v>55</v>
      </c>
      <c r="S12" s="210" t="s">
        <v>292</v>
      </c>
      <c r="T12" s="84"/>
      <c r="U12" s="84"/>
      <c r="V12" s="84"/>
      <c r="W12" s="84"/>
      <c r="X12" s="655">
        <f>F12*1.5</f>
        <v>3</v>
      </c>
      <c r="Y12" s="655">
        <f>G12*1.5</f>
        <v>75</v>
      </c>
      <c r="Z12" s="655">
        <f>H12*1.5</f>
        <v>195</v>
      </c>
      <c r="AA12" s="655">
        <f>I12*1.5</f>
        <v>135</v>
      </c>
      <c r="AB12" s="655">
        <f>J12*1.5</f>
        <v>165</v>
      </c>
      <c r="AC12" s="84"/>
      <c r="AD12" s="84"/>
      <c r="AE12" s="84"/>
      <c r="AF12" s="649">
        <f t="shared" si="13"/>
        <v>135</v>
      </c>
    </row>
    <row r="13" spans="1:32" ht="13" x14ac:dyDescent="0.3">
      <c r="A13" s="210" t="s">
        <v>743</v>
      </c>
      <c r="B13" s="84"/>
      <c r="C13" s="84"/>
      <c r="D13" s="84"/>
      <c r="E13" s="84"/>
      <c r="F13" s="84"/>
      <c r="G13" s="84">
        <v>1</v>
      </c>
      <c r="H13" s="84">
        <v>4</v>
      </c>
      <c r="I13" s="84">
        <v>3</v>
      </c>
      <c r="J13" s="84">
        <v>5</v>
      </c>
      <c r="K13" s="84">
        <v>1</v>
      </c>
      <c r="L13" s="84">
        <v>2</v>
      </c>
      <c r="M13" s="84">
        <v>1</v>
      </c>
      <c r="N13" s="84"/>
      <c r="O13" s="84"/>
      <c r="P13" s="84">
        <v>1</v>
      </c>
      <c r="Q13" s="649">
        <f t="shared" si="0"/>
        <v>1.5</v>
      </c>
      <c r="S13" s="210" t="s">
        <v>743</v>
      </c>
      <c r="T13" s="84"/>
      <c r="U13" s="84"/>
      <c r="V13" s="84"/>
      <c r="W13" s="84"/>
      <c r="X13" s="84"/>
      <c r="Y13" s="84">
        <f t="shared" si="6"/>
        <v>2</v>
      </c>
      <c r="Z13" s="84">
        <f t="shared" si="7"/>
        <v>8</v>
      </c>
      <c r="AA13" s="84">
        <f t="shared" si="8"/>
        <v>6</v>
      </c>
      <c r="AB13" s="84">
        <f t="shared" si="9"/>
        <v>3</v>
      </c>
      <c r="AC13" s="84"/>
      <c r="AD13" s="84"/>
      <c r="AE13" s="84">
        <f t="shared" si="12"/>
        <v>2</v>
      </c>
      <c r="AF13" s="649">
        <f t="shared" si="13"/>
        <v>3</v>
      </c>
    </row>
    <row r="14" spans="1:32" ht="13" x14ac:dyDescent="0.3">
      <c r="A14" s="210" t="s">
        <v>301</v>
      </c>
      <c r="B14" s="84"/>
      <c r="C14" s="84"/>
      <c r="D14" s="84"/>
      <c r="E14" s="84"/>
      <c r="F14" s="84"/>
      <c r="G14" s="84">
        <v>1</v>
      </c>
      <c r="H14" s="84">
        <v>3</v>
      </c>
      <c r="I14" s="84">
        <v>5</v>
      </c>
      <c r="J14" s="84">
        <v>3</v>
      </c>
      <c r="K14" s="84">
        <v>2</v>
      </c>
      <c r="L14" s="84">
        <v>1</v>
      </c>
      <c r="M14" s="84"/>
      <c r="N14" s="84"/>
      <c r="O14" s="84"/>
      <c r="P14" s="84"/>
      <c r="Q14" s="649">
        <f t="shared" si="0"/>
        <v>2.5</v>
      </c>
      <c r="S14" s="210" t="s">
        <v>301</v>
      </c>
      <c r="T14" s="84"/>
      <c r="U14" s="84"/>
      <c r="V14" s="84"/>
      <c r="W14" s="84"/>
      <c r="X14" s="84"/>
      <c r="Y14" s="84">
        <f t="shared" si="6"/>
        <v>2</v>
      </c>
      <c r="Z14" s="84">
        <f t="shared" si="7"/>
        <v>8</v>
      </c>
      <c r="AA14" s="84">
        <f t="shared" si="8"/>
        <v>5</v>
      </c>
      <c r="AB14" s="84">
        <f t="shared" si="9"/>
        <v>3</v>
      </c>
      <c r="AC14" s="84"/>
      <c r="AD14" s="84"/>
      <c r="AE14" s="84"/>
      <c r="AF14" s="649">
        <f t="shared" si="13"/>
        <v>4</v>
      </c>
    </row>
  </sheetData>
  <mergeCells count="4">
    <mergeCell ref="B1:P1"/>
    <mergeCell ref="A1:A2"/>
    <mergeCell ref="S1:S2"/>
    <mergeCell ref="T1:A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59"/>
  <sheetViews>
    <sheetView topLeftCell="A16" workbookViewId="0">
      <selection activeCell="U50" sqref="U50"/>
    </sheetView>
  </sheetViews>
  <sheetFormatPr defaultRowHeight="12.5" x14ac:dyDescent="0.25"/>
  <cols>
    <col min="1" max="1" width="18.453125" style="21" customWidth="1"/>
    <col min="2" max="2" width="5" style="21" customWidth="1"/>
    <col min="3" max="3" width="6" style="21" customWidth="1"/>
    <col min="5" max="5" width="20.36328125" bestFit="1" customWidth="1"/>
    <col min="6" max="6" width="5.08984375" bestFit="1" customWidth="1"/>
    <col min="21" max="21" width="14" bestFit="1" customWidth="1"/>
    <col min="23" max="23" width="14" bestFit="1" customWidth="1"/>
    <col min="24" max="24" width="22.453125" bestFit="1" customWidth="1"/>
    <col min="25" max="25" width="24.453125" bestFit="1" customWidth="1"/>
  </cols>
  <sheetData>
    <row r="1" spans="1:25" ht="15.5" x14ac:dyDescent="0.35">
      <c r="A1" s="812" t="s">
        <v>67</v>
      </c>
      <c r="B1" s="812"/>
      <c r="C1" s="812"/>
      <c r="D1" s="812"/>
      <c r="E1" s="812"/>
      <c r="F1" s="812"/>
      <c r="G1" s="812"/>
      <c r="H1" s="28"/>
      <c r="I1" s="28"/>
      <c r="J1" s="28"/>
    </row>
    <row r="2" spans="1:25" ht="13" x14ac:dyDescent="0.3">
      <c r="A2" s="174"/>
      <c r="B2" s="30" t="s">
        <v>60</v>
      </c>
      <c r="C2" s="31" t="s">
        <v>61</v>
      </c>
      <c r="D2" s="32"/>
      <c r="F2" s="30" t="s">
        <v>111</v>
      </c>
      <c r="G2" s="31" t="s">
        <v>61</v>
      </c>
    </row>
    <row r="3" spans="1:25" x14ac:dyDescent="0.25">
      <c r="A3" s="19" t="s">
        <v>38</v>
      </c>
      <c r="B3" s="742">
        <v>1990</v>
      </c>
      <c r="C3" s="679">
        <v>119.5</v>
      </c>
      <c r="E3" s="19" t="s">
        <v>32</v>
      </c>
      <c r="F3" s="742">
        <v>1990</v>
      </c>
      <c r="G3" s="679">
        <v>334</v>
      </c>
      <c r="U3" t="s">
        <v>106</v>
      </c>
      <c r="V3" t="s">
        <v>95</v>
      </c>
      <c r="W3" t="s">
        <v>107</v>
      </c>
      <c r="X3" t="s">
        <v>108</v>
      </c>
      <c r="Y3" t="s">
        <v>109</v>
      </c>
    </row>
    <row r="4" spans="1:25" x14ac:dyDescent="0.25">
      <c r="B4" s="742">
        <v>1991</v>
      </c>
      <c r="C4" s="679">
        <v>270</v>
      </c>
      <c r="E4" s="21"/>
      <c r="F4" s="742">
        <v>1991</v>
      </c>
      <c r="G4" s="679">
        <v>267</v>
      </c>
      <c r="U4" s="3">
        <v>19.266666666666666</v>
      </c>
      <c r="V4">
        <v>81</v>
      </c>
      <c r="W4" s="3">
        <v>10.166666666666666</v>
      </c>
      <c r="X4" s="3">
        <v>33.56666666666667</v>
      </c>
      <c r="Y4" s="3">
        <v>38.75</v>
      </c>
    </row>
    <row r="5" spans="1:25" x14ac:dyDescent="0.25">
      <c r="B5" s="742">
        <v>1992</v>
      </c>
      <c r="C5" s="679">
        <v>201</v>
      </c>
      <c r="E5" s="21"/>
      <c r="F5" s="742">
        <v>1992</v>
      </c>
      <c r="G5" s="679">
        <v>277</v>
      </c>
      <c r="U5" s="3">
        <v>45.866666666666667</v>
      </c>
      <c r="V5">
        <v>102</v>
      </c>
      <c r="W5" s="3">
        <v>35.5</v>
      </c>
      <c r="X5" s="3"/>
      <c r="Y5" s="3"/>
    </row>
    <row r="6" spans="1:25" x14ac:dyDescent="0.25">
      <c r="B6" s="742">
        <v>1993</v>
      </c>
      <c r="C6" s="679">
        <v>240</v>
      </c>
      <c r="E6" s="21"/>
      <c r="F6" s="742">
        <v>1993</v>
      </c>
      <c r="G6" s="679">
        <v>216</v>
      </c>
      <c r="U6" s="3">
        <v>31.133333333333333</v>
      </c>
      <c r="V6">
        <v>54</v>
      </c>
      <c r="W6" s="3">
        <v>33.333333333333336</v>
      </c>
      <c r="X6" s="3"/>
      <c r="Y6" s="3"/>
    </row>
    <row r="7" spans="1:25" x14ac:dyDescent="0.25">
      <c r="B7" s="742">
        <v>1994</v>
      </c>
      <c r="C7" s="176">
        <v>100</v>
      </c>
      <c r="E7" s="21"/>
      <c r="F7" s="742">
        <v>1994</v>
      </c>
      <c r="G7" s="176">
        <v>122</v>
      </c>
      <c r="U7" s="3">
        <v>28.266666666666666</v>
      </c>
      <c r="V7">
        <v>46</v>
      </c>
      <c r="W7" s="3">
        <v>30.333333333333332</v>
      </c>
      <c r="X7" s="3"/>
      <c r="Y7" s="3"/>
    </row>
    <row r="8" spans="1:25" x14ac:dyDescent="0.25">
      <c r="B8" s="743">
        <v>1995</v>
      </c>
      <c r="C8" s="176">
        <v>52</v>
      </c>
      <c r="E8" s="21"/>
      <c r="F8" s="743">
        <v>1995</v>
      </c>
      <c r="G8" s="176">
        <v>73</v>
      </c>
      <c r="U8" s="3">
        <v>38.866666666666667</v>
      </c>
      <c r="V8">
        <v>87</v>
      </c>
      <c r="W8" s="3">
        <v>47.166666666666664</v>
      </c>
      <c r="X8" s="3"/>
      <c r="Y8" s="3"/>
    </row>
    <row r="9" spans="1:25" x14ac:dyDescent="0.25">
      <c r="B9" s="742">
        <v>1996</v>
      </c>
      <c r="C9" s="681">
        <v>66.1875</v>
      </c>
      <c r="E9" s="21"/>
      <c r="F9" s="742">
        <v>1996</v>
      </c>
      <c r="G9" s="681">
        <v>58.5</v>
      </c>
      <c r="U9" s="5"/>
    </row>
    <row r="10" spans="1:25" x14ac:dyDescent="0.25">
      <c r="B10" s="742">
        <v>1997</v>
      </c>
      <c r="C10" s="679">
        <v>85.579818007202547</v>
      </c>
      <c r="E10" s="21"/>
      <c r="F10" s="742">
        <v>1997</v>
      </c>
      <c r="G10" s="679">
        <v>63.093039493995008</v>
      </c>
      <c r="U10" s="5"/>
    </row>
    <row r="11" spans="1:25" x14ac:dyDescent="0.25">
      <c r="B11" s="742">
        <v>1998</v>
      </c>
      <c r="C11" s="679">
        <v>69.2</v>
      </c>
      <c r="E11" s="21"/>
      <c r="F11" s="742">
        <v>1998</v>
      </c>
      <c r="G11" s="679">
        <v>40.799999999999997</v>
      </c>
      <c r="U11" s="5"/>
    </row>
    <row r="12" spans="1:25" x14ac:dyDescent="0.25">
      <c r="B12" s="742">
        <v>1999</v>
      </c>
      <c r="C12" s="679">
        <v>54</v>
      </c>
      <c r="E12" s="21"/>
      <c r="F12" s="742">
        <v>1999</v>
      </c>
      <c r="G12" s="679">
        <v>38</v>
      </c>
      <c r="U12" s="5"/>
    </row>
    <row r="13" spans="1:25" x14ac:dyDescent="0.25">
      <c r="B13" s="742">
        <v>2000</v>
      </c>
      <c r="C13" s="679">
        <v>56</v>
      </c>
      <c r="E13" s="21"/>
      <c r="F13" s="742">
        <v>2000</v>
      </c>
      <c r="G13" s="679">
        <v>37</v>
      </c>
      <c r="U13" s="5"/>
    </row>
    <row r="14" spans="1:25" x14ac:dyDescent="0.25">
      <c r="B14" s="742">
        <v>2001</v>
      </c>
      <c r="C14" s="679">
        <v>64</v>
      </c>
      <c r="E14" s="21"/>
      <c r="F14" s="742">
        <v>2001</v>
      </c>
      <c r="G14" s="679">
        <v>22</v>
      </c>
      <c r="U14" s="5"/>
    </row>
    <row r="15" spans="1:25" x14ac:dyDescent="0.25">
      <c r="B15" s="742">
        <v>2002</v>
      </c>
      <c r="C15" s="679">
        <v>55.5</v>
      </c>
      <c r="E15" s="21"/>
      <c r="F15" s="742">
        <v>2002</v>
      </c>
      <c r="G15" s="679">
        <v>137.30000000000001</v>
      </c>
    </row>
    <row r="16" spans="1:25" ht="13" x14ac:dyDescent="0.3">
      <c r="B16" s="742">
        <v>2003</v>
      </c>
      <c r="C16" s="679">
        <v>52.9</v>
      </c>
      <c r="F16" s="742">
        <v>2003</v>
      </c>
      <c r="G16" s="679">
        <v>113.3</v>
      </c>
      <c r="I16" s="25"/>
    </row>
    <row r="17" spans="1:9" ht="13" x14ac:dyDescent="0.3">
      <c r="B17" s="742">
        <v>2004</v>
      </c>
      <c r="C17" s="679">
        <v>44.3</v>
      </c>
      <c r="F17" s="742">
        <v>2004</v>
      </c>
      <c r="G17" s="679">
        <v>34.1</v>
      </c>
      <c r="I17" s="25"/>
    </row>
    <row r="18" spans="1:9" ht="13" x14ac:dyDescent="0.3">
      <c r="B18" s="742">
        <v>2005</v>
      </c>
      <c r="C18" s="679">
        <v>47</v>
      </c>
      <c r="F18" s="742">
        <v>2005</v>
      </c>
      <c r="G18" s="679">
        <v>44</v>
      </c>
      <c r="I18" s="25"/>
    </row>
    <row r="19" spans="1:9" ht="13" x14ac:dyDescent="0.3">
      <c r="B19" s="742">
        <v>2006</v>
      </c>
      <c r="C19" s="679">
        <v>26</v>
      </c>
      <c r="F19" s="742">
        <v>2006</v>
      </c>
      <c r="G19" s="679">
        <v>21.3</v>
      </c>
      <c r="I19" s="25"/>
    </row>
    <row r="20" spans="1:9" ht="13" x14ac:dyDescent="0.3">
      <c r="B20" s="742">
        <v>2007</v>
      </c>
      <c r="C20" s="679">
        <v>31</v>
      </c>
      <c r="F20" s="742">
        <v>2007</v>
      </c>
      <c r="G20" s="679">
        <v>41</v>
      </c>
      <c r="I20" s="25"/>
    </row>
    <row r="21" spans="1:9" ht="13" x14ac:dyDescent="0.3">
      <c r="B21" s="742">
        <v>2008</v>
      </c>
      <c r="C21" s="679">
        <v>62.2</v>
      </c>
      <c r="F21" s="742">
        <v>2008</v>
      </c>
      <c r="G21" s="679">
        <v>37.700000000000003</v>
      </c>
      <c r="I21" s="25"/>
    </row>
    <row r="22" spans="1:9" ht="13" x14ac:dyDescent="0.3">
      <c r="B22" s="742">
        <v>2009</v>
      </c>
      <c r="C22" s="679">
        <v>35.299999999999997</v>
      </c>
      <c r="F22" s="742">
        <v>2009</v>
      </c>
      <c r="G22" s="679">
        <v>19.100000000000001</v>
      </c>
      <c r="I22" s="25"/>
    </row>
    <row r="23" spans="1:9" ht="13" x14ac:dyDescent="0.3">
      <c r="B23" s="742">
        <v>2010</v>
      </c>
      <c r="C23" s="679">
        <v>38.9</v>
      </c>
      <c r="F23" s="742">
        <v>2010</v>
      </c>
      <c r="G23" s="679">
        <v>45.9</v>
      </c>
      <c r="I23" s="25"/>
    </row>
    <row r="24" spans="1:9" ht="13" x14ac:dyDescent="0.3">
      <c r="A24" s="19" t="s">
        <v>37</v>
      </c>
      <c r="B24" s="19">
        <v>1990</v>
      </c>
      <c r="C24" s="679">
        <v>124.5</v>
      </c>
      <c r="E24" s="19" t="s">
        <v>34</v>
      </c>
      <c r="F24" s="19">
        <v>1991</v>
      </c>
      <c r="G24" s="176"/>
      <c r="I24" s="25"/>
    </row>
    <row r="25" spans="1:9" ht="13" x14ac:dyDescent="0.3">
      <c r="B25" s="19">
        <v>1991</v>
      </c>
      <c r="C25" s="679">
        <v>137.19999999999999</v>
      </c>
      <c r="E25" s="21"/>
      <c r="F25" s="19">
        <v>1992</v>
      </c>
      <c r="G25" s="679">
        <v>121</v>
      </c>
      <c r="I25" s="25"/>
    </row>
    <row r="26" spans="1:9" ht="13" x14ac:dyDescent="0.3">
      <c r="B26" s="19">
        <v>1992</v>
      </c>
      <c r="C26" s="679">
        <v>140.21430000000001</v>
      </c>
      <c r="E26" s="21"/>
      <c r="F26" s="19">
        <v>1993</v>
      </c>
      <c r="G26" s="679">
        <v>146</v>
      </c>
      <c r="I26" s="25"/>
    </row>
    <row r="27" spans="1:9" ht="13" x14ac:dyDescent="0.3">
      <c r="B27" s="19">
        <v>1993</v>
      </c>
      <c r="C27" s="679">
        <v>164</v>
      </c>
      <c r="E27" s="21"/>
      <c r="F27" s="19">
        <v>1994</v>
      </c>
      <c r="G27" s="176">
        <v>69.625</v>
      </c>
      <c r="I27" s="25"/>
    </row>
    <row r="28" spans="1:9" ht="13" x14ac:dyDescent="0.3">
      <c r="B28" s="19">
        <v>1994</v>
      </c>
      <c r="C28" s="176">
        <v>79</v>
      </c>
      <c r="E28" s="21"/>
      <c r="F28" s="680">
        <v>1995</v>
      </c>
      <c r="G28" s="176">
        <v>73</v>
      </c>
      <c r="I28" s="25"/>
    </row>
    <row r="29" spans="1:9" ht="13" x14ac:dyDescent="0.3">
      <c r="B29" s="680">
        <v>1995</v>
      </c>
      <c r="C29" s="176">
        <v>37</v>
      </c>
      <c r="E29" s="21"/>
      <c r="F29" s="19">
        <v>1996</v>
      </c>
      <c r="G29" s="681">
        <v>32.5625</v>
      </c>
      <c r="I29" s="25"/>
    </row>
    <row r="30" spans="1:9" ht="13" x14ac:dyDescent="0.3">
      <c r="B30" s="19">
        <v>1996</v>
      </c>
      <c r="C30" s="681">
        <v>33.0625</v>
      </c>
      <c r="E30" s="21"/>
      <c r="F30" s="19">
        <v>1997</v>
      </c>
      <c r="G30" s="679">
        <v>45.862384843073144</v>
      </c>
      <c r="I30" s="25"/>
    </row>
    <row r="31" spans="1:9" ht="13" x14ac:dyDescent="0.3">
      <c r="B31" s="19">
        <v>1997</v>
      </c>
      <c r="C31" s="679">
        <v>44.577577959420516</v>
      </c>
      <c r="E31" s="21"/>
      <c r="F31" s="19">
        <v>1998</v>
      </c>
      <c r="G31" s="176">
        <v>35</v>
      </c>
      <c r="I31" s="25"/>
    </row>
    <row r="32" spans="1:9" ht="13" x14ac:dyDescent="0.3">
      <c r="B32" s="19">
        <v>1998</v>
      </c>
      <c r="C32" s="679">
        <v>39.799999999999997</v>
      </c>
      <c r="E32" s="21"/>
      <c r="F32" s="19">
        <v>1999</v>
      </c>
      <c r="G32" s="176">
        <v>36</v>
      </c>
      <c r="I32" s="25"/>
    </row>
    <row r="33" spans="1:9" ht="13" x14ac:dyDescent="0.3">
      <c r="B33" s="19">
        <v>1999</v>
      </c>
      <c r="C33" s="679">
        <v>37</v>
      </c>
      <c r="E33" s="21"/>
      <c r="F33" s="19">
        <v>2000</v>
      </c>
      <c r="G33" s="176">
        <v>55</v>
      </c>
      <c r="I33" s="25"/>
    </row>
    <row r="34" spans="1:9" ht="13" x14ac:dyDescent="0.3">
      <c r="B34" s="19">
        <v>2000</v>
      </c>
      <c r="C34" s="679">
        <v>57</v>
      </c>
      <c r="E34" s="21"/>
      <c r="F34" s="19">
        <v>2001</v>
      </c>
      <c r="G34" s="176">
        <v>42</v>
      </c>
      <c r="I34" s="25"/>
    </row>
    <row r="35" spans="1:9" ht="13" x14ac:dyDescent="0.3">
      <c r="B35" s="19">
        <v>2001</v>
      </c>
      <c r="C35" s="679">
        <v>42</v>
      </c>
      <c r="E35" s="21"/>
      <c r="F35" s="19">
        <v>2002</v>
      </c>
      <c r="G35" s="176">
        <v>34</v>
      </c>
      <c r="I35" s="25"/>
    </row>
    <row r="36" spans="1:9" ht="13" x14ac:dyDescent="0.3">
      <c r="B36" s="19">
        <v>2002</v>
      </c>
      <c r="C36" s="679">
        <v>49</v>
      </c>
      <c r="F36" s="19">
        <v>2003</v>
      </c>
      <c r="G36" s="176">
        <v>47.8</v>
      </c>
      <c r="I36" s="25"/>
    </row>
    <row r="37" spans="1:9" ht="13" x14ac:dyDescent="0.3">
      <c r="B37" s="19">
        <v>2003</v>
      </c>
      <c r="C37" s="679">
        <v>46.6</v>
      </c>
      <c r="F37" s="19">
        <v>2004</v>
      </c>
      <c r="G37" s="176">
        <v>30.1</v>
      </c>
      <c r="I37" s="25"/>
    </row>
    <row r="38" spans="1:9" ht="13" x14ac:dyDescent="0.3">
      <c r="B38" s="19">
        <v>2004</v>
      </c>
      <c r="C38" s="679">
        <v>26.9</v>
      </c>
      <c r="E38" s="67" t="s">
        <v>162</v>
      </c>
      <c r="F38" s="19">
        <v>2005</v>
      </c>
      <c r="G38" s="176">
        <v>37</v>
      </c>
      <c r="I38" s="25"/>
    </row>
    <row r="39" spans="1:9" ht="13" x14ac:dyDescent="0.3">
      <c r="B39" s="19">
        <v>2005</v>
      </c>
      <c r="C39" s="679">
        <v>34</v>
      </c>
      <c r="F39" s="682">
        <v>2006</v>
      </c>
      <c r="G39" s="176">
        <v>19.5</v>
      </c>
      <c r="I39" s="25"/>
    </row>
    <row r="40" spans="1:9" ht="13" x14ac:dyDescent="0.3">
      <c r="B40" s="682">
        <v>2006</v>
      </c>
      <c r="C40" s="679">
        <v>24.3</v>
      </c>
      <c r="F40" s="19">
        <v>2007</v>
      </c>
      <c r="G40" s="176">
        <v>36</v>
      </c>
      <c r="I40" s="25"/>
    </row>
    <row r="41" spans="1:9" ht="13" x14ac:dyDescent="0.3">
      <c r="B41" s="19">
        <v>2007</v>
      </c>
      <c r="C41" s="679">
        <v>31</v>
      </c>
      <c r="F41" s="19">
        <v>2008</v>
      </c>
      <c r="I41" s="25"/>
    </row>
    <row r="42" spans="1:9" ht="13" x14ac:dyDescent="0.3">
      <c r="B42" s="19"/>
      <c r="C42" s="679"/>
      <c r="F42" s="19">
        <v>2009</v>
      </c>
      <c r="I42" s="25"/>
    </row>
    <row r="43" spans="1:9" ht="13" x14ac:dyDescent="0.3">
      <c r="B43" s="19"/>
      <c r="C43" s="679"/>
      <c r="I43" s="25"/>
    </row>
    <row r="44" spans="1:9" ht="13" x14ac:dyDescent="0.3">
      <c r="B44" s="19"/>
      <c r="C44" s="679"/>
      <c r="I44" s="25"/>
    </row>
    <row r="45" spans="1:9" ht="13" x14ac:dyDescent="0.3">
      <c r="A45" s="19" t="s">
        <v>36</v>
      </c>
      <c r="B45" s="742">
        <v>1990</v>
      </c>
      <c r="C45" s="679">
        <v>129</v>
      </c>
      <c r="E45" s="19" t="s">
        <v>31</v>
      </c>
      <c r="F45" s="742">
        <v>1990</v>
      </c>
      <c r="G45" s="683">
        <v>537</v>
      </c>
      <c r="I45" s="25"/>
    </row>
    <row r="46" spans="1:9" ht="13" x14ac:dyDescent="0.3">
      <c r="B46" s="742">
        <v>1991</v>
      </c>
      <c r="C46" s="679">
        <v>144</v>
      </c>
      <c r="E46" s="21"/>
      <c r="F46" s="742">
        <v>1991</v>
      </c>
      <c r="G46" s="679">
        <v>383</v>
      </c>
      <c r="I46" s="25"/>
    </row>
    <row r="47" spans="1:9" ht="13" x14ac:dyDescent="0.3">
      <c r="B47" s="742">
        <v>1992</v>
      </c>
      <c r="C47" s="679">
        <v>146</v>
      </c>
      <c r="E47" s="21"/>
      <c r="F47" s="742">
        <v>1992</v>
      </c>
      <c r="G47" s="679">
        <v>362</v>
      </c>
      <c r="I47" s="25"/>
    </row>
    <row r="48" spans="1:9" ht="13" x14ac:dyDescent="0.3">
      <c r="B48" s="742">
        <v>1993</v>
      </c>
      <c r="C48" s="679">
        <v>175</v>
      </c>
      <c r="E48" s="21"/>
      <c r="F48" s="742">
        <v>1993</v>
      </c>
      <c r="G48" s="679">
        <v>269</v>
      </c>
      <c r="I48" s="25"/>
    </row>
    <row r="49" spans="2:9" ht="13" x14ac:dyDescent="0.3">
      <c r="B49" s="742">
        <v>1994</v>
      </c>
      <c r="C49" s="176">
        <v>83</v>
      </c>
      <c r="E49" s="21"/>
      <c r="F49" s="742">
        <v>1994</v>
      </c>
      <c r="G49" s="176">
        <v>91</v>
      </c>
      <c r="I49" s="25"/>
    </row>
    <row r="50" spans="2:9" ht="13" x14ac:dyDescent="0.3">
      <c r="B50" s="743">
        <v>1995</v>
      </c>
      <c r="C50" s="176">
        <v>34</v>
      </c>
      <c r="E50" s="21"/>
      <c r="F50" s="743">
        <v>1995</v>
      </c>
      <c r="G50" s="176">
        <v>47</v>
      </c>
      <c r="I50" s="25"/>
    </row>
    <row r="51" spans="2:9" ht="13" x14ac:dyDescent="0.3">
      <c r="B51" s="742">
        <v>1996</v>
      </c>
      <c r="C51" s="681">
        <v>29.4375</v>
      </c>
      <c r="E51" s="21"/>
      <c r="F51" s="742">
        <v>1996</v>
      </c>
      <c r="G51" s="681">
        <v>16.0625</v>
      </c>
      <c r="I51" s="25"/>
    </row>
    <row r="52" spans="2:9" ht="13" x14ac:dyDescent="0.3">
      <c r="B52" s="742">
        <v>1997</v>
      </c>
      <c r="C52" s="368">
        <v>38</v>
      </c>
      <c r="E52" s="21"/>
      <c r="F52" s="742">
        <v>1997</v>
      </c>
      <c r="G52" s="368">
        <v>80</v>
      </c>
      <c r="I52" s="25"/>
    </row>
    <row r="53" spans="2:9" ht="13" x14ac:dyDescent="0.3">
      <c r="B53" s="742">
        <v>1998</v>
      </c>
      <c r="C53" s="368">
        <v>33.299999999999997</v>
      </c>
      <c r="E53" s="21"/>
      <c r="F53" s="742">
        <v>1998</v>
      </c>
      <c r="G53" s="368">
        <v>33</v>
      </c>
      <c r="I53" s="25"/>
    </row>
    <row r="54" spans="2:9" ht="13" x14ac:dyDescent="0.3">
      <c r="B54" s="742">
        <v>1999</v>
      </c>
      <c r="C54" s="368">
        <v>34</v>
      </c>
      <c r="E54" s="21"/>
      <c r="F54" s="742">
        <v>1999</v>
      </c>
      <c r="G54" s="368">
        <v>47</v>
      </c>
      <c r="I54" s="25"/>
    </row>
    <row r="55" spans="2:9" ht="13" x14ac:dyDescent="0.3">
      <c r="B55" s="742">
        <v>2000</v>
      </c>
      <c r="C55" s="368">
        <v>59</v>
      </c>
      <c r="E55" s="21"/>
      <c r="F55" s="742">
        <v>2000</v>
      </c>
      <c r="G55" s="368">
        <v>19</v>
      </c>
      <c r="I55" s="25"/>
    </row>
    <row r="56" spans="2:9" ht="13" x14ac:dyDescent="0.3">
      <c r="B56" s="742">
        <v>2001</v>
      </c>
      <c r="C56" s="368">
        <v>42</v>
      </c>
      <c r="E56" s="21"/>
      <c r="F56" s="742">
        <v>2001</v>
      </c>
      <c r="G56" s="368">
        <v>22</v>
      </c>
      <c r="I56" s="25"/>
    </row>
    <row r="57" spans="2:9" ht="13" x14ac:dyDescent="0.3">
      <c r="B57" s="742">
        <v>2002</v>
      </c>
      <c r="C57" s="368">
        <v>46.1</v>
      </c>
      <c r="E57" s="21"/>
      <c r="F57" s="742">
        <v>2002</v>
      </c>
      <c r="G57" s="368">
        <v>14.9</v>
      </c>
      <c r="I57" s="25"/>
    </row>
    <row r="58" spans="2:9" ht="13" x14ac:dyDescent="0.3">
      <c r="B58" s="742">
        <v>2003</v>
      </c>
      <c r="C58" s="368">
        <v>49.1</v>
      </c>
      <c r="F58" s="742">
        <v>2003</v>
      </c>
      <c r="G58" s="368">
        <v>22.6</v>
      </c>
      <c r="I58" s="25"/>
    </row>
    <row r="59" spans="2:9" ht="13" x14ac:dyDescent="0.3">
      <c r="B59" s="742">
        <v>2004</v>
      </c>
      <c r="C59" s="368">
        <v>24.3</v>
      </c>
      <c r="F59" s="742">
        <v>2004</v>
      </c>
      <c r="G59" s="368">
        <v>21.7</v>
      </c>
      <c r="I59" s="25"/>
    </row>
    <row r="60" spans="2:9" ht="13" x14ac:dyDescent="0.3">
      <c r="B60" s="742">
        <v>2005</v>
      </c>
      <c r="C60" s="368">
        <v>33</v>
      </c>
      <c r="F60" s="742">
        <v>2005</v>
      </c>
      <c r="G60" s="368">
        <v>23</v>
      </c>
      <c r="I60" s="25"/>
    </row>
    <row r="61" spans="2:9" ht="13" x14ac:dyDescent="0.3">
      <c r="B61" s="742">
        <v>2006</v>
      </c>
      <c r="C61" s="368">
        <v>21.6</v>
      </c>
      <c r="F61" s="742">
        <v>2006</v>
      </c>
      <c r="G61" s="368">
        <v>7.6</v>
      </c>
      <c r="I61" s="25"/>
    </row>
    <row r="62" spans="2:9" ht="13" x14ac:dyDescent="0.3">
      <c r="B62" s="742">
        <v>2007</v>
      </c>
      <c r="C62" s="368">
        <v>30</v>
      </c>
      <c r="F62" s="742">
        <v>2007</v>
      </c>
      <c r="G62" s="368">
        <v>23</v>
      </c>
      <c r="I62" s="25"/>
    </row>
    <row r="63" spans="2:9" ht="13" x14ac:dyDescent="0.3">
      <c r="B63" s="742">
        <v>2008</v>
      </c>
      <c r="C63" s="368">
        <v>39.799999999999997</v>
      </c>
      <c r="F63" s="742">
        <v>2008</v>
      </c>
      <c r="G63" s="368">
        <v>14.8</v>
      </c>
      <c r="I63" s="25"/>
    </row>
    <row r="64" spans="2:9" ht="13" x14ac:dyDescent="0.3">
      <c r="B64" s="742">
        <v>2009</v>
      </c>
      <c r="C64" s="368">
        <v>34.200000000000003</v>
      </c>
      <c r="F64" s="742">
        <v>2009</v>
      </c>
      <c r="G64" s="368">
        <v>35.5</v>
      </c>
      <c r="I64" s="25"/>
    </row>
    <row r="65" spans="1:9" ht="13" x14ac:dyDescent="0.3">
      <c r="B65" s="742">
        <v>2010</v>
      </c>
      <c r="C65" s="368">
        <v>28.3</v>
      </c>
      <c r="F65" s="742">
        <v>2010</v>
      </c>
      <c r="G65" s="368">
        <v>19.3</v>
      </c>
      <c r="I65" s="25"/>
    </row>
    <row r="66" spans="1:9" ht="15.5" x14ac:dyDescent="0.35">
      <c r="A66" s="812" t="s">
        <v>67</v>
      </c>
      <c r="B66" s="812"/>
      <c r="C66" s="812"/>
      <c r="D66" s="812"/>
      <c r="E66" s="812"/>
      <c r="F66" s="812"/>
      <c r="G66" s="812"/>
      <c r="I66" s="25"/>
    </row>
    <row r="67" spans="1:9" ht="13" x14ac:dyDescent="0.3">
      <c r="B67" s="30" t="s">
        <v>111</v>
      </c>
      <c r="C67" s="31" t="s">
        <v>61</v>
      </c>
      <c r="F67" s="30" t="s">
        <v>111</v>
      </c>
      <c r="G67" s="31" t="s">
        <v>61</v>
      </c>
      <c r="I67" s="25"/>
    </row>
    <row r="68" spans="1:9" ht="13" x14ac:dyDescent="0.3">
      <c r="A68" s="19" t="s">
        <v>33</v>
      </c>
      <c r="B68" s="742">
        <v>1990</v>
      </c>
      <c r="C68" s="679">
        <v>128</v>
      </c>
      <c r="E68" s="19" t="s">
        <v>65</v>
      </c>
      <c r="F68" s="742">
        <v>1990</v>
      </c>
      <c r="G68" s="176">
        <f t="shared" ref="G68:G88" si="0">(G45+G3)/2</f>
        <v>435.5</v>
      </c>
      <c r="I68" s="25"/>
    </row>
    <row r="69" spans="1:9" ht="13" x14ac:dyDescent="0.3">
      <c r="B69" s="742">
        <v>1991</v>
      </c>
      <c r="C69" s="679">
        <v>181</v>
      </c>
      <c r="E69" s="21"/>
      <c r="F69" s="742">
        <v>1991</v>
      </c>
      <c r="G69" s="176">
        <f t="shared" si="0"/>
        <v>325</v>
      </c>
      <c r="I69" s="25"/>
    </row>
    <row r="70" spans="1:9" ht="13" x14ac:dyDescent="0.3">
      <c r="B70" s="742">
        <v>1992</v>
      </c>
      <c r="C70" s="679">
        <v>157</v>
      </c>
      <c r="E70" s="21"/>
      <c r="F70" s="742">
        <v>1992</v>
      </c>
      <c r="G70" s="176">
        <f t="shared" si="0"/>
        <v>319.5</v>
      </c>
      <c r="I70" s="25"/>
    </row>
    <row r="71" spans="1:9" ht="13" x14ac:dyDescent="0.3">
      <c r="B71" s="742">
        <v>1993</v>
      </c>
      <c r="C71" s="679">
        <v>177</v>
      </c>
      <c r="E71" s="21"/>
      <c r="F71" s="742">
        <v>1993</v>
      </c>
      <c r="G71" s="176">
        <f t="shared" si="0"/>
        <v>242.5</v>
      </c>
      <c r="I71" s="25"/>
    </row>
    <row r="72" spans="1:9" ht="13" x14ac:dyDescent="0.3">
      <c r="B72" s="742">
        <v>1994</v>
      </c>
      <c r="C72" s="176">
        <v>92</v>
      </c>
      <c r="E72" s="21"/>
      <c r="F72" s="742">
        <v>1994</v>
      </c>
      <c r="G72" s="176">
        <f t="shared" si="0"/>
        <v>106.5</v>
      </c>
      <c r="I72" s="25"/>
    </row>
    <row r="73" spans="1:9" ht="13" x14ac:dyDescent="0.3">
      <c r="B73" s="743">
        <v>1995</v>
      </c>
      <c r="C73" s="176">
        <v>36</v>
      </c>
      <c r="E73" s="21"/>
      <c r="F73" s="742">
        <v>1995</v>
      </c>
      <c r="G73" s="176">
        <f t="shared" si="0"/>
        <v>60</v>
      </c>
      <c r="I73" s="25"/>
    </row>
    <row r="74" spans="1:9" ht="13" x14ac:dyDescent="0.3">
      <c r="B74" s="742">
        <v>1996</v>
      </c>
      <c r="C74" s="681">
        <v>34.9375</v>
      </c>
      <c r="E74" s="21"/>
      <c r="F74" s="742">
        <v>1996</v>
      </c>
      <c r="G74" s="176">
        <f t="shared" si="0"/>
        <v>37.28125</v>
      </c>
      <c r="I74" s="25"/>
    </row>
    <row r="75" spans="1:9" ht="13" x14ac:dyDescent="0.3">
      <c r="B75" s="742">
        <v>1997</v>
      </c>
      <c r="C75" s="679">
        <v>39</v>
      </c>
      <c r="E75" s="21"/>
      <c r="F75" s="742">
        <v>1997</v>
      </c>
      <c r="G75" s="176">
        <f t="shared" si="0"/>
        <v>71.546519746997504</v>
      </c>
      <c r="I75" s="25"/>
    </row>
    <row r="76" spans="1:9" ht="13" x14ac:dyDescent="0.3">
      <c r="B76" s="742">
        <v>1998</v>
      </c>
      <c r="C76" s="679">
        <v>34.5</v>
      </c>
      <c r="E76" s="21"/>
      <c r="F76" s="742">
        <v>1998</v>
      </c>
      <c r="G76" s="176">
        <f t="shared" si="0"/>
        <v>36.9</v>
      </c>
      <c r="I76" s="25"/>
    </row>
    <row r="77" spans="1:9" ht="13" x14ac:dyDescent="0.3">
      <c r="B77" s="742">
        <v>1999</v>
      </c>
      <c r="C77" s="679">
        <v>35</v>
      </c>
      <c r="E77" s="21"/>
      <c r="F77" s="742">
        <v>1999</v>
      </c>
      <c r="G77" s="176">
        <f t="shared" si="0"/>
        <v>42.5</v>
      </c>
      <c r="I77" s="25"/>
    </row>
    <row r="78" spans="1:9" ht="13" x14ac:dyDescent="0.3">
      <c r="B78" s="742">
        <v>2000</v>
      </c>
      <c r="C78" s="679">
        <v>58</v>
      </c>
      <c r="E78" s="21"/>
      <c r="F78" s="742">
        <v>2000</v>
      </c>
      <c r="G78" s="176">
        <f t="shared" si="0"/>
        <v>28</v>
      </c>
      <c r="I78" s="25"/>
    </row>
    <row r="79" spans="1:9" ht="13" x14ac:dyDescent="0.3">
      <c r="B79" s="742">
        <v>2001</v>
      </c>
      <c r="C79" s="679">
        <v>46</v>
      </c>
      <c r="E79" s="21"/>
      <c r="F79" s="742">
        <v>2001</v>
      </c>
      <c r="G79" s="176">
        <f t="shared" si="0"/>
        <v>22</v>
      </c>
      <c r="I79" s="25"/>
    </row>
    <row r="80" spans="1:9" ht="13" x14ac:dyDescent="0.3">
      <c r="B80" s="742">
        <v>2002</v>
      </c>
      <c r="C80" s="679">
        <v>46.9</v>
      </c>
      <c r="E80" s="21"/>
      <c r="F80" s="742">
        <v>2002</v>
      </c>
      <c r="G80" s="176">
        <f t="shared" si="0"/>
        <v>76.100000000000009</v>
      </c>
      <c r="I80" s="25"/>
    </row>
    <row r="81" spans="1:9" ht="13" x14ac:dyDescent="0.3">
      <c r="B81" s="742">
        <v>2003</v>
      </c>
      <c r="C81" s="679">
        <v>63.3</v>
      </c>
      <c r="F81" s="742">
        <v>2003</v>
      </c>
      <c r="G81" s="176">
        <f t="shared" si="0"/>
        <v>67.95</v>
      </c>
      <c r="I81" s="25"/>
    </row>
    <row r="82" spans="1:9" ht="13" x14ac:dyDescent="0.3">
      <c r="B82" s="742">
        <v>2004</v>
      </c>
      <c r="C82" s="679">
        <v>30.1</v>
      </c>
      <c r="F82" s="742">
        <v>2004</v>
      </c>
      <c r="G82" s="176">
        <f t="shared" si="0"/>
        <v>27.9</v>
      </c>
      <c r="I82" s="25"/>
    </row>
    <row r="83" spans="1:9" ht="13" x14ac:dyDescent="0.3">
      <c r="B83" s="742">
        <v>2005</v>
      </c>
      <c r="C83" s="679">
        <v>32</v>
      </c>
      <c r="F83" s="742">
        <v>2005</v>
      </c>
      <c r="G83" s="176">
        <f t="shared" si="0"/>
        <v>33.5</v>
      </c>
      <c r="I83" s="25"/>
    </row>
    <row r="84" spans="1:9" ht="13" x14ac:dyDescent="0.3">
      <c r="B84" s="742">
        <v>2006</v>
      </c>
      <c r="C84" s="679">
        <v>22.8</v>
      </c>
      <c r="F84" s="742">
        <v>2006</v>
      </c>
      <c r="G84" s="176">
        <f t="shared" si="0"/>
        <v>14.45</v>
      </c>
      <c r="I84" s="25"/>
    </row>
    <row r="85" spans="1:9" ht="13" x14ac:dyDescent="0.3">
      <c r="B85" s="742">
        <v>2007</v>
      </c>
      <c r="C85" s="679">
        <v>31</v>
      </c>
      <c r="F85" s="742">
        <v>2007</v>
      </c>
      <c r="G85" s="176">
        <f t="shared" si="0"/>
        <v>32</v>
      </c>
      <c r="I85" s="25"/>
    </row>
    <row r="86" spans="1:9" ht="13" x14ac:dyDescent="0.3">
      <c r="B86" s="742">
        <v>2008</v>
      </c>
      <c r="C86" s="679">
        <v>29</v>
      </c>
      <c r="F86" s="742">
        <v>2008</v>
      </c>
      <c r="G86" s="176">
        <f t="shared" si="0"/>
        <v>26.25</v>
      </c>
      <c r="I86" s="25"/>
    </row>
    <row r="87" spans="1:9" ht="13" x14ac:dyDescent="0.3">
      <c r="B87" s="742">
        <v>2009</v>
      </c>
      <c r="C87" s="679">
        <v>24.2</v>
      </c>
      <c r="F87" s="742">
        <v>2009</v>
      </c>
      <c r="G87" s="176">
        <f t="shared" si="0"/>
        <v>27.3</v>
      </c>
      <c r="I87" s="25"/>
    </row>
    <row r="88" spans="1:9" ht="13" x14ac:dyDescent="0.3">
      <c r="B88" s="742">
        <v>2010</v>
      </c>
      <c r="C88" s="679">
        <v>31.1</v>
      </c>
      <c r="F88" s="742">
        <v>2010</v>
      </c>
      <c r="G88" s="176">
        <f t="shared" si="0"/>
        <v>32.6</v>
      </c>
      <c r="I88" s="25"/>
    </row>
    <row r="89" spans="1:9" ht="13" x14ac:dyDescent="0.3">
      <c r="B89" s="742"/>
      <c r="C89" s="679"/>
      <c r="F89" s="742"/>
      <c r="G89" s="176"/>
      <c r="I89" s="25"/>
    </row>
    <row r="90" spans="1:9" ht="13" x14ac:dyDescent="0.3">
      <c r="A90" s="19" t="s">
        <v>30</v>
      </c>
      <c r="B90" s="742">
        <v>1990</v>
      </c>
      <c r="C90" s="176">
        <f t="shared" ref="C90:C104" si="1">(C3+C24+C45)/3</f>
        <v>124.33333333333333</v>
      </c>
      <c r="E90" s="19" t="s">
        <v>66</v>
      </c>
      <c r="F90" s="742">
        <v>1990</v>
      </c>
      <c r="G90" s="174">
        <f t="shared" ref="G90:G110" si="2">+G68-C68</f>
        <v>307.5</v>
      </c>
      <c r="I90" s="25"/>
    </row>
    <row r="91" spans="1:9" ht="13" x14ac:dyDescent="0.3">
      <c r="B91" s="742">
        <v>1991</v>
      </c>
      <c r="C91" s="176">
        <f t="shared" si="1"/>
        <v>183.73333333333335</v>
      </c>
      <c r="E91" s="21"/>
      <c r="F91" s="742">
        <v>1991</v>
      </c>
      <c r="G91" s="176">
        <f t="shared" si="2"/>
        <v>144</v>
      </c>
      <c r="I91" s="25"/>
    </row>
    <row r="92" spans="1:9" ht="13" x14ac:dyDescent="0.3">
      <c r="B92" s="742">
        <v>1992</v>
      </c>
      <c r="C92" s="176">
        <f t="shared" si="1"/>
        <v>162.40476666666666</v>
      </c>
      <c r="E92" s="21"/>
      <c r="F92" s="742">
        <v>1992</v>
      </c>
      <c r="G92" s="176">
        <f t="shared" si="2"/>
        <v>162.5</v>
      </c>
      <c r="I92" s="25"/>
    </row>
    <row r="93" spans="1:9" ht="13" x14ac:dyDescent="0.3">
      <c r="B93" s="742">
        <v>1993</v>
      </c>
      <c r="C93" s="176">
        <f t="shared" si="1"/>
        <v>193</v>
      </c>
      <c r="E93" s="21"/>
      <c r="F93" s="742">
        <v>1993</v>
      </c>
      <c r="G93" s="176">
        <f t="shared" si="2"/>
        <v>65.5</v>
      </c>
      <c r="I93" s="25"/>
    </row>
    <row r="94" spans="1:9" ht="13" x14ac:dyDescent="0.3">
      <c r="B94" s="742">
        <v>1994</v>
      </c>
      <c r="C94" s="176">
        <f t="shared" si="1"/>
        <v>87.333333333333329</v>
      </c>
      <c r="E94" s="21"/>
      <c r="F94" s="742">
        <v>1994</v>
      </c>
      <c r="G94" s="176">
        <f t="shared" si="2"/>
        <v>14.5</v>
      </c>
      <c r="I94" s="25"/>
    </row>
    <row r="95" spans="1:9" ht="13" x14ac:dyDescent="0.3">
      <c r="B95" s="742">
        <v>1995</v>
      </c>
      <c r="C95" s="176">
        <f t="shared" si="1"/>
        <v>41</v>
      </c>
      <c r="E95" s="21"/>
      <c r="F95" s="742">
        <v>1995</v>
      </c>
      <c r="G95" s="176">
        <f t="shared" si="2"/>
        <v>24</v>
      </c>
      <c r="I95" s="25"/>
    </row>
    <row r="96" spans="1:9" ht="13" x14ac:dyDescent="0.3">
      <c r="B96" s="742">
        <v>1996</v>
      </c>
      <c r="C96" s="176">
        <f t="shared" si="1"/>
        <v>42.895833333333336</v>
      </c>
      <c r="E96" s="21"/>
      <c r="F96" s="742">
        <v>1996</v>
      </c>
      <c r="G96" s="176">
        <f t="shared" si="2"/>
        <v>2.34375</v>
      </c>
      <c r="I96" s="25"/>
    </row>
    <row r="97" spans="2:9" ht="13" x14ac:dyDescent="0.3">
      <c r="B97" s="742">
        <v>1997</v>
      </c>
      <c r="C97" s="176">
        <f t="shared" si="1"/>
        <v>56.052465322207688</v>
      </c>
      <c r="E97" s="21"/>
      <c r="F97" s="742">
        <v>1997</v>
      </c>
      <c r="G97" s="176">
        <f t="shared" si="2"/>
        <v>32.546519746997504</v>
      </c>
      <c r="I97" s="25"/>
    </row>
    <row r="98" spans="2:9" ht="13" x14ac:dyDescent="0.3">
      <c r="B98" s="742">
        <v>1998</v>
      </c>
      <c r="C98" s="176">
        <f t="shared" si="1"/>
        <v>47.433333333333337</v>
      </c>
      <c r="E98" s="21"/>
      <c r="F98" s="742">
        <v>1998</v>
      </c>
      <c r="G98" s="176">
        <f t="shared" si="2"/>
        <v>2.3999999999999986</v>
      </c>
      <c r="I98" s="25"/>
    </row>
    <row r="99" spans="2:9" ht="13" x14ac:dyDescent="0.3">
      <c r="B99" s="742">
        <v>1999</v>
      </c>
      <c r="C99" s="176">
        <f t="shared" si="1"/>
        <v>41.666666666666664</v>
      </c>
      <c r="E99" s="21"/>
      <c r="F99" s="742">
        <v>1999</v>
      </c>
      <c r="G99" s="176">
        <f t="shared" si="2"/>
        <v>7.5</v>
      </c>
      <c r="I99" s="25"/>
    </row>
    <row r="100" spans="2:9" ht="13" x14ac:dyDescent="0.3">
      <c r="B100" s="742">
        <v>2000</v>
      </c>
      <c r="C100" s="176">
        <f t="shared" si="1"/>
        <v>57.333333333333336</v>
      </c>
      <c r="E100" s="21"/>
      <c r="F100" s="742">
        <v>2000</v>
      </c>
      <c r="G100" s="176">
        <f t="shared" si="2"/>
        <v>-30</v>
      </c>
      <c r="I100" s="25"/>
    </row>
    <row r="101" spans="2:9" ht="13" x14ac:dyDescent="0.3">
      <c r="B101" s="742">
        <v>2001</v>
      </c>
      <c r="C101" s="176">
        <f t="shared" si="1"/>
        <v>49.333333333333336</v>
      </c>
      <c r="E101" s="21"/>
      <c r="F101" s="742">
        <v>2001</v>
      </c>
      <c r="G101" s="176">
        <f t="shared" si="2"/>
        <v>-24</v>
      </c>
      <c r="I101" s="25"/>
    </row>
    <row r="102" spans="2:9" ht="13" x14ac:dyDescent="0.3">
      <c r="B102" s="742">
        <v>2002</v>
      </c>
      <c r="C102" s="176">
        <f t="shared" si="1"/>
        <v>50.199999999999996</v>
      </c>
      <c r="E102" s="21"/>
      <c r="F102" s="742">
        <v>2002</v>
      </c>
      <c r="G102" s="176">
        <f t="shared" si="2"/>
        <v>29.20000000000001</v>
      </c>
      <c r="I102" s="25"/>
    </row>
    <row r="103" spans="2:9" ht="13" x14ac:dyDescent="0.3">
      <c r="B103" s="742">
        <v>2003</v>
      </c>
      <c r="C103" s="176">
        <f t="shared" si="1"/>
        <v>49.533333333333331</v>
      </c>
      <c r="F103" s="742">
        <v>2003</v>
      </c>
      <c r="G103" s="176">
        <f t="shared" si="2"/>
        <v>4.6500000000000057</v>
      </c>
      <c r="I103" s="25"/>
    </row>
    <row r="104" spans="2:9" ht="13" x14ac:dyDescent="0.3">
      <c r="B104" s="742">
        <v>2004</v>
      </c>
      <c r="C104" s="176">
        <f t="shared" si="1"/>
        <v>31.833333333333329</v>
      </c>
      <c r="F104" s="742">
        <v>2004</v>
      </c>
      <c r="G104" s="176">
        <f t="shared" si="2"/>
        <v>-2.2000000000000028</v>
      </c>
      <c r="I104" s="25"/>
    </row>
    <row r="105" spans="2:9" ht="13" x14ac:dyDescent="0.3">
      <c r="B105" s="742">
        <v>2005</v>
      </c>
      <c r="C105" s="176">
        <v>39</v>
      </c>
      <c r="F105" s="742">
        <v>2005</v>
      </c>
      <c r="G105" s="176">
        <f t="shared" si="2"/>
        <v>1.5</v>
      </c>
      <c r="I105" s="25"/>
    </row>
    <row r="106" spans="2:9" ht="13" x14ac:dyDescent="0.3">
      <c r="B106" s="742">
        <v>2006</v>
      </c>
      <c r="C106" s="21">
        <v>24</v>
      </c>
      <c r="F106" s="742">
        <v>2006</v>
      </c>
      <c r="G106" s="176">
        <f t="shared" si="2"/>
        <v>-8.3500000000000014</v>
      </c>
      <c r="I106" s="25"/>
    </row>
    <row r="107" spans="2:9" ht="13" x14ac:dyDescent="0.3">
      <c r="B107" s="742">
        <v>2007</v>
      </c>
      <c r="C107" s="21">
        <v>30.7</v>
      </c>
      <c r="F107" s="742">
        <v>2007</v>
      </c>
      <c r="G107" s="176">
        <f t="shared" si="2"/>
        <v>1</v>
      </c>
      <c r="I107" s="25"/>
    </row>
    <row r="108" spans="2:9" ht="13" x14ac:dyDescent="0.3">
      <c r="B108" s="742">
        <v>2008</v>
      </c>
      <c r="C108" s="176">
        <v>50.6</v>
      </c>
      <c r="F108" s="742">
        <v>2008</v>
      </c>
      <c r="G108" s="176">
        <f t="shared" si="2"/>
        <v>-2.75</v>
      </c>
      <c r="I108" s="25"/>
    </row>
    <row r="109" spans="2:9" ht="13" x14ac:dyDescent="0.3">
      <c r="B109" s="742">
        <v>2009</v>
      </c>
      <c r="C109" s="176">
        <v>34.799999999999997</v>
      </c>
      <c r="F109" s="742">
        <v>2009</v>
      </c>
      <c r="G109" s="176">
        <f t="shared" si="2"/>
        <v>3.1000000000000014</v>
      </c>
      <c r="I109" s="25"/>
    </row>
    <row r="110" spans="2:9" ht="13" x14ac:dyDescent="0.3">
      <c r="B110" s="742">
        <v>2010</v>
      </c>
      <c r="C110" s="176">
        <v>33.6</v>
      </c>
      <c r="F110" s="742">
        <v>2010</v>
      </c>
      <c r="G110" s="176">
        <f t="shared" si="2"/>
        <v>1.5</v>
      </c>
      <c r="I110" s="25"/>
    </row>
    <row r="111" spans="2:9" ht="13" x14ac:dyDescent="0.3">
      <c r="I111" s="25"/>
    </row>
    <row r="112" spans="2:9" ht="13" x14ac:dyDescent="0.3">
      <c r="I112" s="25"/>
    </row>
    <row r="113" spans="9:9" ht="13" x14ac:dyDescent="0.3">
      <c r="I113" s="25"/>
    </row>
    <row r="114" spans="9:9" ht="13" x14ac:dyDescent="0.3">
      <c r="I114" s="25"/>
    </row>
    <row r="115" spans="9:9" ht="13" x14ac:dyDescent="0.3">
      <c r="I115" s="25"/>
    </row>
    <row r="116" spans="9:9" ht="13" x14ac:dyDescent="0.3">
      <c r="I116" s="25"/>
    </row>
    <row r="117" spans="9:9" ht="13" x14ac:dyDescent="0.3">
      <c r="I117" s="25"/>
    </row>
    <row r="118" spans="9:9" ht="13" x14ac:dyDescent="0.3">
      <c r="I118" s="25"/>
    </row>
    <row r="119" spans="9:9" ht="13" x14ac:dyDescent="0.3">
      <c r="I119" s="25"/>
    </row>
    <row r="120" spans="9:9" ht="13" x14ac:dyDescent="0.3">
      <c r="I120" s="25"/>
    </row>
    <row r="121" spans="9:9" ht="13" x14ac:dyDescent="0.3">
      <c r="I121" s="25"/>
    </row>
    <row r="122" spans="9:9" ht="13" x14ac:dyDescent="0.3">
      <c r="I122" s="25"/>
    </row>
    <row r="123" spans="9:9" ht="13" x14ac:dyDescent="0.3">
      <c r="I123" s="25"/>
    </row>
    <row r="124" spans="9:9" ht="13" x14ac:dyDescent="0.3">
      <c r="I124" s="25"/>
    </row>
    <row r="125" spans="9:9" ht="13" x14ac:dyDescent="0.3">
      <c r="I125" s="25"/>
    </row>
    <row r="126" spans="9:9" ht="13" x14ac:dyDescent="0.3">
      <c r="I126" s="25"/>
    </row>
    <row r="127" spans="9:9" ht="13" x14ac:dyDescent="0.3">
      <c r="I127" s="25"/>
    </row>
    <row r="128" spans="9:9" ht="13" x14ac:dyDescent="0.3">
      <c r="I128" s="25"/>
    </row>
    <row r="129" spans="9:9" ht="13" x14ac:dyDescent="0.3">
      <c r="I129" s="25"/>
    </row>
    <row r="130" spans="9:9" ht="13" x14ac:dyDescent="0.3">
      <c r="I130" s="25"/>
    </row>
    <row r="131" spans="9:9" ht="13" x14ac:dyDescent="0.3">
      <c r="I131" s="25"/>
    </row>
    <row r="132" spans="9:9" ht="13" x14ac:dyDescent="0.3">
      <c r="I132" s="25"/>
    </row>
    <row r="133" spans="9:9" ht="13" x14ac:dyDescent="0.3">
      <c r="I133" s="25"/>
    </row>
    <row r="134" spans="9:9" ht="13" x14ac:dyDescent="0.3">
      <c r="I134" s="25"/>
    </row>
    <row r="135" spans="9:9" ht="13" x14ac:dyDescent="0.3">
      <c r="I135" s="25"/>
    </row>
    <row r="136" spans="9:9" ht="13" x14ac:dyDescent="0.3">
      <c r="I136" s="25"/>
    </row>
    <row r="137" spans="9:9" ht="13" x14ac:dyDescent="0.3">
      <c r="I137" s="25"/>
    </row>
    <row r="138" spans="9:9" ht="13" x14ac:dyDescent="0.3">
      <c r="I138" s="25"/>
    </row>
    <row r="139" spans="9:9" ht="13" x14ac:dyDescent="0.3">
      <c r="I139" s="25"/>
    </row>
    <row r="140" spans="9:9" ht="13" x14ac:dyDescent="0.3">
      <c r="I140" s="25"/>
    </row>
    <row r="141" spans="9:9" ht="13" x14ac:dyDescent="0.3">
      <c r="I141" s="25"/>
    </row>
    <row r="142" spans="9:9" ht="13" x14ac:dyDescent="0.3">
      <c r="I142" s="25"/>
    </row>
    <row r="143" spans="9:9" ht="13" x14ac:dyDescent="0.3">
      <c r="I143" s="25"/>
    </row>
    <row r="144" spans="9:9" ht="13" x14ac:dyDescent="0.3">
      <c r="I144" s="25"/>
    </row>
    <row r="145" spans="3:9" ht="13" x14ac:dyDescent="0.3">
      <c r="I145" s="25"/>
    </row>
    <row r="146" spans="3:9" ht="13" x14ac:dyDescent="0.3">
      <c r="I146" s="25"/>
    </row>
    <row r="147" spans="3:9" ht="13" x14ac:dyDescent="0.3">
      <c r="I147" s="25"/>
    </row>
    <row r="148" spans="3:9" ht="13" x14ac:dyDescent="0.3">
      <c r="I148" s="25"/>
    </row>
    <row r="149" spans="3:9" ht="13" x14ac:dyDescent="0.3">
      <c r="I149" s="25"/>
    </row>
    <row r="150" spans="3:9" ht="13" x14ac:dyDescent="0.3">
      <c r="I150" s="25"/>
    </row>
    <row r="151" spans="3:9" ht="13" x14ac:dyDescent="0.3">
      <c r="I151" s="25"/>
    </row>
    <row r="152" spans="3:9" ht="13" x14ac:dyDescent="0.3">
      <c r="I152" s="25"/>
    </row>
    <row r="153" spans="3:9" ht="13" x14ac:dyDescent="0.3">
      <c r="I153" s="25"/>
    </row>
    <row r="154" spans="3:9" ht="13" x14ac:dyDescent="0.3">
      <c r="C154" s="174"/>
      <c r="I154" s="25"/>
    </row>
    <row r="155" spans="3:9" ht="13" x14ac:dyDescent="0.3">
      <c r="C155" s="174"/>
      <c r="I155" s="25"/>
    </row>
    <row r="156" spans="3:9" ht="13" x14ac:dyDescent="0.3">
      <c r="C156" s="174"/>
      <c r="I156" s="25"/>
    </row>
    <row r="157" spans="3:9" ht="13" x14ac:dyDescent="0.3">
      <c r="C157" s="174"/>
      <c r="I157" s="25"/>
    </row>
    <row r="158" spans="3:9" ht="13" x14ac:dyDescent="0.3">
      <c r="C158" s="174"/>
      <c r="I158" s="25"/>
    </row>
    <row r="159" spans="3:9" ht="13" x14ac:dyDescent="0.3">
      <c r="C159" s="174"/>
      <c r="I159" s="25"/>
    </row>
  </sheetData>
  <mergeCells count="2">
    <mergeCell ref="A1:G1"/>
    <mergeCell ref="A66:G66"/>
  </mergeCells>
  <phoneticPr fontId="8"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6"/>
  <sheetViews>
    <sheetView topLeftCell="A10" workbookViewId="0">
      <selection activeCell="N33" sqref="N33"/>
    </sheetView>
  </sheetViews>
  <sheetFormatPr defaultRowHeight="12.5" x14ac:dyDescent="0.25"/>
  <cols>
    <col min="1" max="1" width="22.08984375" customWidth="1"/>
    <col min="2" max="2" width="9" bestFit="1" customWidth="1"/>
    <col min="3" max="3" width="6.453125" bestFit="1" customWidth="1"/>
    <col min="4" max="4" width="8.36328125" customWidth="1"/>
    <col min="5" max="6" width="7.54296875" bestFit="1" customWidth="1"/>
    <col min="7" max="7" width="7.453125" bestFit="1" customWidth="1"/>
    <col min="8" max="8" width="8.36328125" customWidth="1"/>
    <col min="9" max="9" width="7" bestFit="1" customWidth="1"/>
    <col min="10" max="10" width="7.453125" bestFit="1" customWidth="1"/>
    <col min="11" max="12" width="6.54296875" bestFit="1" customWidth="1"/>
    <col min="13" max="13" width="6.453125" bestFit="1" customWidth="1"/>
    <col min="14" max="14" width="13.54296875" customWidth="1"/>
    <col min="15" max="15" width="10" customWidth="1"/>
    <col min="16" max="16" width="9.54296875" customWidth="1"/>
    <col min="18" max="18" width="9.36328125" bestFit="1" customWidth="1"/>
    <col min="19" max="19" width="7" bestFit="1" customWidth="1"/>
  </cols>
  <sheetData>
    <row r="1" spans="1:20" ht="15.5" x14ac:dyDescent="0.35">
      <c r="A1" s="812" t="s">
        <v>110</v>
      </c>
      <c r="B1" s="812"/>
      <c r="C1" s="812"/>
      <c r="D1" s="812"/>
      <c r="E1" s="812"/>
      <c r="F1" s="812"/>
      <c r="G1" s="812"/>
      <c r="H1" s="812"/>
      <c r="I1" s="812"/>
      <c r="J1" s="812"/>
      <c r="K1" s="812"/>
      <c r="L1" s="812"/>
      <c r="M1" s="812"/>
      <c r="N1" s="812"/>
      <c r="O1" s="34"/>
      <c r="P1" s="34"/>
      <c r="Q1" s="34"/>
      <c r="R1" s="35"/>
      <c r="S1" s="34"/>
      <c r="T1" s="34"/>
    </row>
    <row r="2" spans="1:20" ht="15.5" x14ac:dyDescent="0.35">
      <c r="A2" s="8"/>
      <c r="B2" s="831" t="s">
        <v>102</v>
      </c>
      <c r="C2" s="831"/>
      <c r="D2" s="831"/>
      <c r="E2" s="831"/>
      <c r="F2" s="831"/>
      <c r="G2" s="831"/>
      <c r="H2" s="831"/>
      <c r="I2" s="831"/>
      <c r="J2" s="831"/>
      <c r="K2" s="831"/>
      <c r="L2" s="831"/>
      <c r="M2" s="831"/>
      <c r="O2" s="34"/>
      <c r="P2" s="34"/>
      <c r="Q2" s="34"/>
      <c r="R2" s="35"/>
      <c r="S2" s="34"/>
      <c r="T2" s="34"/>
    </row>
    <row r="3" spans="1:20" ht="13" x14ac:dyDescent="0.3">
      <c r="A3" s="36"/>
      <c r="B3" s="45" t="s">
        <v>81</v>
      </c>
      <c r="C3" s="45" t="s">
        <v>82</v>
      </c>
      <c r="D3" s="45" t="s">
        <v>83</v>
      </c>
      <c r="E3" s="45" t="s">
        <v>84</v>
      </c>
      <c r="F3" s="45" t="s">
        <v>85</v>
      </c>
      <c r="G3" s="45" t="s">
        <v>86</v>
      </c>
      <c r="H3" s="45" t="s">
        <v>87</v>
      </c>
      <c r="I3" s="45" t="s">
        <v>88</v>
      </c>
      <c r="J3" s="45" t="s">
        <v>89</v>
      </c>
      <c r="K3" s="45" t="s">
        <v>90</v>
      </c>
      <c r="L3" s="45" t="s">
        <v>91</v>
      </c>
      <c r="M3" s="45" t="s">
        <v>92</v>
      </c>
      <c r="N3" s="37" t="s">
        <v>103</v>
      </c>
      <c r="O3" s="34"/>
      <c r="P3" s="34"/>
      <c r="Q3" s="34"/>
      <c r="R3" s="35"/>
      <c r="S3" s="34"/>
      <c r="T3" s="34"/>
    </row>
    <row r="4" spans="1:20" ht="13" x14ac:dyDescent="0.3">
      <c r="A4" s="38" t="s">
        <v>31</v>
      </c>
      <c r="B4" s="74">
        <v>196.71360000000004</v>
      </c>
      <c r="C4" s="74">
        <v>103.51260000000001</v>
      </c>
      <c r="D4" s="74">
        <v>829.88550000000009</v>
      </c>
      <c r="E4" s="74">
        <v>2974.5</v>
      </c>
      <c r="F4" s="74">
        <v>2827.7580000000003</v>
      </c>
      <c r="G4" s="74">
        <v>547.30799999999999</v>
      </c>
      <c r="H4" s="74">
        <v>215.15550000000002</v>
      </c>
      <c r="I4" s="74">
        <v>181.34535000000002</v>
      </c>
      <c r="J4" s="74">
        <v>54.433350000000004</v>
      </c>
      <c r="K4" s="74">
        <v>319.65960000000001</v>
      </c>
      <c r="L4" s="74">
        <v>83.285999999999987</v>
      </c>
      <c r="M4" s="74">
        <v>67.620300000000015</v>
      </c>
      <c r="N4" s="52">
        <f>SUM(B4:M4)</f>
        <v>8401.1778000000013</v>
      </c>
      <c r="O4" s="39"/>
      <c r="P4" s="34"/>
      <c r="Q4" s="34"/>
      <c r="R4" s="35"/>
      <c r="S4" s="34"/>
      <c r="T4" s="34"/>
    </row>
    <row r="5" spans="1:20" ht="13" x14ac:dyDescent="0.3">
      <c r="A5" s="40" t="s">
        <v>32</v>
      </c>
      <c r="B5" s="74">
        <v>652.80359999999985</v>
      </c>
      <c r="C5" s="74">
        <v>621.86880000000008</v>
      </c>
      <c r="D5" s="74">
        <v>839.80050000000006</v>
      </c>
      <c r="E5" s="74">
        <v>4556.9339999999993</v>
      </c>
      <c r="F5" s="74">
        <v>6044.9516129032254</v>
      </c>
      <c r="G5" s="74">
        <v>3803.3939999999998</v>
      </c>
      <c r="H5" s="74">
        <v>1717.6746000000003</v>
      </c>
      <c r="I5" s="74">
        <v>1612.9721999999999</v>
      </c>
      <c r="J5" s="74">
        <v>457.75571999999988</v>
      </c>
      <c r="K5" s="74">
        <v>551.07569999999998</v>
      </c>
      <c r="L5" s="74">
        <v>261.65685000000008</v>
      </c>
      <c r="M5" s="74">
        <v>105.29729999999998</v>
      </c>
      <c r="N5" s="52">
        <f>SUM(B5:M5)</f>
        <v>21226.184882903228</v>
      </c>
      <c r="O5" s="34"/>
      <c r="P5" s="34"/>
      <c r="Q5" s="34"/>
      <c r="R5" s="34"/>
      <c r="S5" s="34"/>
      <c r="T5" s="34"/>
    </row>
    <row r="6" spans="1:20" ht="13" x14ac:dyDescent="0.3">
      <c r="A6" s="38" t="s">
        <v>35</v>
      </c>
      <c r="B6" s="75">
        <v>848.32740000000001</v>
      </c>
      <c r="C6" s="75">
        <v>747.59100000000001</v>
      </c>
      <c r="D6" s="75">
        <v>1672.0656000000001</v>
      </c>
      <c r="E6" s="75">
        <v>7531.4339999999993</v>
      </c>
      <c r="F6" s="75">
        <v>9073.4148000000005</v>
      </c>
      <c r="G6" s="75">
        <v>4360.6170000000002</v>
      </c>
      <c r="H6" s="75">
        <v>1223.3126999999999</v>
      </c>
      <c r="I6" s="75">
        <v>1736.6122499999999</v>
      </c>
      <c r="J6" s="75">
        <v>404.53200000000004</v>
      </c>
      <c r="K6" s="75">
        <v>897.50579999999991</v>
      </c>
      <c r="L6" s="75">
        <v>339.09299999999996</v>
      </c>
      <c r="M6" s="75">
        <v>172.12440000000004</v>
      </c>
      <c r="N6" s="52">
        <f>SUM(N4:N5)</f>
        <v>29627.362682903229</v>
      </c>
      <c r="O6" s="34"/>
      <c r="P6" s="34"/>
      <c r="Q6" s="34"/>
      <c r="R6" s="34"/>
      <c r="S6" s="34"/>
      <c r="T6" s="34"/>
    </row>
    <row r="7" spans="1:20" ht="13" x14ac:dyDescent="0.3">
      <c r="A7" s="804" t="s">
        <v>893</v>
      </c>
      <c r="B7" s="75">
        <v>479.48939999999999</v>
      </c>
      <c r="C7" s="75">
        <v>454.30530000000005</v>
      </c>
      <c r="D7" s="75">
        <v>3608.4651000000003</v>
      </c>
      <c r="E7" s="75">
        <v>7138.8</v>
      </c>
      <c r="F7" s="75">
        <v>9098.0040000000008</v>
      </c>
      <c r="G7" s="75">
        <v>4205.9430000000002</v>
      </c>
      <c r="H7" s="75">
        <v>1201.7971500000001</v>
      </c>
      <c r="I7" s="75">
        <v>2154.6286499999997</v>
      </c>
      <c r="J7" s="75">
        <v>181.44450000000001</v>
      </c>
      <c r="K7" s="75">
        <v>614.73</v>
      </c>
      <c r="L7" s="75">
        <v>232.011</v>
      </c>
      <c r="M7" s="75">
        <v>92.209499999999991</v>
      </c>
      <c r="N7" s="52">
        <f>SUM(B7:M7)</f>
        <v>29461.827600000001</v>
      </c>
      <c r="O7" s="34"/>
      <c r="P7" s="34"/>
      <c r="Q7" s="34"/>
      <c r="R7" s="34"/>
      <c r="S7" s="34"/>
      <c r="T7" s="34"/>
    </row>
    <row r="8" spans="1:20" x14ac:dyDescent="0.25">
      <c r="A8" s="43"/>
      <c r="B8" s="34"/>
      <c r="C8" s="34"/>
      <c r="D8" s="34"/>
      <c r="E8" s="34"/>
      <c r="F8" s="34"/>
      <c r="G8" s="34"/>
      <c r="H8" s="34"/>
      <c r="I8" s="34"/>
      <c r="J8" s="34"/>
      <c r="K8" s="34"/>
      <c r="L8" s="34"/>
      <c r="M8" s="34"/>
      <c r="N8" s="34"/>
      <c r="O8" s="34"/>
      <c r="P8" s="34"/>
      <c r="Q8" s="34"/>
      <c r="R8" s="34"/>
      <c r="S8" s="34"/>
      <c r="T8" s="34"/>
    </row>
    <row r="9" spans="1:20" x14ac:dyDescent="0.25">
      <c r="A9" s="44" t="s">
        <v>78</v>
      </c>
      <c r="B9" s="45" t="s">
        <v>81</v>
      </c>
      <c r="C9" s="45" t="s">
        <v>82</v>
      </c>
      <c r="D9" s="45" t="s">
        <v>83</v>
      </c>
      <c r="E9" s="45" t="s">
        <v>84</v>
      </c>
      <c r="F9" s="45" t="s">
        <v>85</v>
      </c>
      <c r="G9" s="45" t="s">
        <v>86</v>
      </c>
      <c r="H9" s="45" t="s">
        <v>87</v>
      </c>
      <c r="I9" s="45" t="s">
        <v>88</v>
      </c>
      <c r="J9" s="45" t="s">
        <v>89</v>
      </c>
      <c r="K9" s="45" t="s">
        <v>90</v>
      </c>
      <c r="L9" s="45" t="s">
        <v>91</v>
      </c>
      <c r="M9" s="45" t="s">
        <v>92</v>
      </c>
      <c r="N9" s="46" t="s">
        <v>104</v>
      </c>
      <c r="O9" s="47"/>
      <c r="P9" s="47"/>
      <c r="Q9" s="47"/>
      <c r="R9" s="47"/>
      <c r="T9" s="34"/>
    </row>
    <row r="10" spans="1:20" ht="13" x14ac:dyDescent="0.3">
      <c r="A10" s="42" t="s">
        <v>130</v>
      </c>
      <c r="B10" s="95">
        <v>695</v>
      </c>
      <c r="C10" s="95">
        <v>789</v>
      </c>
      <c r="D10" s="95">
        <v>784</v>
      </c>
      <c r="E10" s="95">
        <v>465</v>
      </c>
      <c r="F10" s="95">
        <v>466</v>
      </c>
      <c r="G10" s="95">
        <v>339</v>
      </c>
      <c r="H10" s="95">
        <v>382.5</v>
      </c>
      <c r="I10" s="95">
        <v>361</v>
      </c>
      <c r="J10" s="95">
        <v>1057</v>
      </c>
      <c r="K10" s="95">
        <v>167</v>
      </c>
      <c r="L10" s="95">
        <v>483</v>
      </c>
      <c r="M10" s="95">
        <v>752</v>
      </c>
      <c r="N10" s="48">
        <f>AVERAGE(B10:M10)</f>
        <v>561.70833333333337</v>
      </c>
      <c r="O10" s="49"/>
      <c r="P10" s="49"/>
      <c r="Q10" s="49"/>
      <c r="R10" s="49"/>
      <c r="T10" s="34"/>
    </row>
    <row r="11" spans="1:20" ht="13" x14ac:dyDescent="0.3">
      <c r="A11" s="42" t="s">
        <v>131</v>
      </c>
      <c r="B11" s="95">
        <v>1453</v>
      </c>
      <c r="C11" s="95">
        <v>1467</v>
      </c>
      <c r="D11" s="95">
        <v>1084</v>
      </c>
      <c r="E11" s="95">
        <v>554</v>
      </c>
      <c r="F11" s="95">
        <v>555</v>
      </c>
      <c r="G11" s="95">
        <v>303</v>
      </c>
      <c r="H11" s="95">
        <v>541.5</v>
      </c>
      <c r="I11" s="95">
        <v>467</v>
      </c>
      <c r="J11" s="95">
        <v>1103</v>
      </c>
      <c r="K11" s="95">
        <v>488</v>
      </c>
      <c r="L11" s="95">
        <v>1486</v>
      </c>
      <c r="M11" s="95">
        <v>7833</v>
      </c>
      <c r="N11" s="48">
        <f>AVERAGE(B11:M11)</f>
        <v>1444.5416666666667</v>
      </c>
      <c r="O11" s="49"/>
      <c r="P11" s="49"/>
      <c r="Q11" s="49"/>
      <c r="R11" s="49"/>
      <c r="T11" s="34"/>
    </row>
    <row r="12" spans="1:20" ht="13" x14ac:dyDescent="0.3">
      <c r="A12" s="807" t="s">
        <v>893</v>
      </c>
      <c r="B12" s="808">
        <v>693</v>
      </c>
      <c r="C12" s="808">
        <v>973</v>
      </c>
      <c r="D12" s="808">
        <v>579</v>
      </c>
      <c r="E12" s="808">
        <v>464</v>
      </c>
      <c r="F12" s="808">
        <v>465</v>
      </c>
      <c r="G12" s="808">
        <v>211</v>
      </c>
      <c r="H12" s="808">
        <v>198</v>
      </c>
      <c r="I12" s="808">
        <v>106.5</v>
      </c>
      <c r="J12" s="808">
        <v>29</v>
      </c>
      <c r="K12" s="808">
        <v>37</v>
      </c>
      <c r="L12" s="808">
        <v>69</v>
      </c>
      <c r="M12" s="808">
        <v>8</v>
      </c>
      <c r="N12" s="806"/>
      <c r="O12" s="49"/>
      <c r="P12" s="49"/>
      <c r="Q12" s="49"/>
      <c r="R12" s="49"/>
      <c r="T12" s="34"/>
    </row>
    <row r="13" spans="1:20" x14ac:dyDescent="0.25">
      <c r="A13" s="43" t="s">
        <v>93</v>
      </c>
      <c r="B13" s="34">
        <v>2.7230000000000002E-3</v>
      </c>
      <c r="C13" s="34"/>
      <c r="D13" s="34"/>
      <c r="E13" s="34"/>
      <c r="F13" s="34"/>
      <c r="G13" s="34"/>
      <c r="H13" s="34"/>
      <c r="I13" s="34"/>
      <c r="J13" s="34"/>
      <c r="K13" s="34"/>
      <c r="L13" s="34"/>
      <c r="M13" s="34"/>
      <c r="N13" s="34"/>
      <c r="O13" s="34"/>
      <c r="P13" s="34"/>
      <c r="Q13" s="34"/>
      <c r="R13" s="34"/>
      <c r="S13" s="34"/>
      <c r="T13" s="34"/>
    </row>
    <row r="14" spans="1:20" x14ac:dyDescent="0.25">
      <c r="A14" s="43"/>
      <c r="B14" s="34"/>
      <c r="C14" s="34"/>
      <c r="D14" s="34"/>
      <c r="E14" s="34"/>
      <c r="F14" s="34"/>
      <c r="G14" s="34"/>
      <c r="H14" s="34"/>
      <c r="I14" s="34"/>
      <c r="J14" s="34"/>
      <c r="K14" s="34"/>
      <c r="L14" s="34"/>
      <c r="M14" s="34"/>
      <c r="N14" s="34"/>
      <c r="O14" s="34"/>
      <c r="P14" s="34"/>
      <c r="Q14" s="34"/>
      <c r="R14" s="34"/>
      <c r="S14" s="34"/>
      <c r="T14" s="34"/>
    </row>
    <row r="15" spans="1:20" x14ac:dyDescent="0.25">
      <c r="A15" s="43"/>
      <c r="B15" s="34"/>
      <c r="C15" s="34"/>
      <c r="D15" s="34"/>
      <c r="E15" s="34"/>
      <c r="F15" s="34"/>
      <c r="G15" s="34"/>
      <c r="H15" s="34"/>
      <c r="I15" s="34"/>
      <c r="J15" s="34"/>
      <c r="K15" s="34"/>
      <c r="L15" s="34"/>
      <c r="M15" s="34"/>
      <c r="N15" s="34"/>
      <c r="O15" s="34"/>
      <c r="P15" s="34"/>
      <c r="Q15" s="34"/>
      <c r="R15" s="34"/>
      <c r="S15" s="34"/>
      <c r="T15" s="34"/>
    </row>
    <row r="16" spans="1:20" x14ac:dyDescent="0.25">
      <c r="A16" s="44" t="s">
        <v>94</v>
      </c>
      <c r="B16" s="50" t="s">
        <v>81</v>
      </c>
      <c r="C16" s="50" t="s">
        <v>82</v>
      </c>
      <c r="D16" s="50" t="s">
        <v>83</v>
      </c>
      <c r="E16" s="50" t="s">
        <v>84</v>
      </c>
      <c r="F16" s="50" t="s">
        <v>85</v>
      </c>
      <c r="G16" s="50" t="s">
        <v>86</v>
      </c>
      <c r="H16" s="50" t="s">
        <v>87</v>
      </c>
      <c r="I16" s="50" t="s">
        <v>88</v>
      </c>
      <c r="J16" s="50" t="s">
        <v>89</v>
      </c>
      <c r="K16" s="50" t="s">
        <v>90</v>
      </c>
      <c r="L16" s="50" t="s">
        <v>91</v>
      </c>
      <c r="M16" s="50" t="s">
        <v>92</v>
      </c>
      <c r="N16" s="50" t="s">
        <v>794</v>
      </c>
      <c r="O16" s="34"/>
      <c r="P16" s="34"/>
      <c r="Q16" s="34"/>
      <c r="R16" s="34"/>
      <c r="S16" s="34"/>
      <c r="T16" s="34"/>
    </row>
    <row r="17" spans="1:20" ht="13" x14ac:dyDescent="0.3">
      <c r="A17" s="42" t="s">
        <v>130</v>
      </c>
      <c r="B17" s="51">
        <f t="shared" ref="B17:M17" si="0">B10*$B$13*B4</f>
        <v>372.27753729600011</v>
      </c>
      <c r="C17" s="51">
        <f t="shared" si="0"/>
        <v>222.39133493220001</v>
      </c>
      <c r="D17" s="51">
        <f t="shared" si="0"/>
        <v>1771.6661217360004</v>
      </c>
      <c r="E17" s="51">
        <f t="shared" si="0"/>
        <v>3766.2970275000007</v>
      </c>
      <c r="F17" s="51">
        <f t="shared" si="0"/>
        <v>3588.1930258440002</v>
      </c>
      <c r="G17" s="51">
        <f t="shared" si="0"/>
        <v>505.21837287600005</v>
      </c>
      <c r="H17" s="51">
        <f t="shared" si="0"/>
        <v>224.09467313625004</v>
      </c>
      <c r="I17" s="51">
        <f t="shared" si="0"/>
        <v>178.26302308605003</v>
      </c>
      <c r="J17" s="51">
        <f t="shared" si="0"/>
        <v>156.67066673685002</v>
      </c>
      <c r="K17" s="51">
        <f t="shared" si="0"/>
        <v>145.36232616360002</v>
      </c>
      <c r="L17" s="51">
        <f t="shared" si="0"/>
        <v>109.538496774</v>
      </c>
      <c r="M17" s="51">
        <f t="shared" si="0"/>
        <v>138.46581782880006</v>
      </c>
      <c r="N17" s="52">
        <f>SUM(B17:M17)</f>
        <v>11178.438423909751</v>
      </c>
      <c r="O17" s="34"/>
      <c r="P17" s="34"/>
      <c r="Q17" s="34"/>
      <c r="R17" s="34"/>
      <c r="S17" s="34"/>
      <c r="T17" s="34"/>
    </row>
    <row r="18" spans="1:20" ht="13" x14ac:dyDescent="0.3">
      <c r="A18" s="42" t="s">
        <v>131</v>
      </c>
      <c r="B18" s="51">
        <f t="shared" ref="B18:M18" si="1">B11*$B$13*B5</f>
        <v>2582.8298466683996</v>
      </c>
      <c r="C18" s="51">
        <f t="shared" si="1"/>
        <v>2484.1426051008002</v>
      </c>
      <c r="D18" s="51">
        <f t="shared" si="1"/>
        <v>2478.8660094660004</v>
      </c>
      <c r="E18" s="51">
        <f t="shared" si="1"/>
        <v>6874.3263302279993</v>
      </c>
      <c r="F18" s="51">
        <f t="shared" si="1"/>
        <v>9135.5237992741932</v>
      </c>
      <c r="G18" s="51">
        <f t="shared" si="1"/>
        <v>3138.0624841859999</v>
      </c>
      <c r="H18" s="51">
        <f t="shared" si="1"/>
        <v>2532.7189272357004</v>
      </c>
      <c r="I18" s="51">
        <f t="shared" si="1"/>
        <v>2051.1215813802</v>
      </c>
      <c r="J18" s="51">
        <f t="shared" si="1"/>
        <v>1374.8551145926799</v>
      </c>
      <c r="K18" s="51">
        <f t="shared" si="1"/>
        <v>732.2826159768</v>
      </c>
      <c r="L18" s="51">
        <f t="shared" si="1"/>
        <v>1058.7625213893002</v>
      </c>
      <c r="M18" s="51">
        <f t="shared" si="1"/>
        <v>2245.9133837006998</v>
      </c>
      <c r="N18" s="52">
        <f>SUM(B18:M18)</f>
        <v>36689.405219198772</v>
      </c>
      <c r="O18" s="34"/>
      <c r="P18" s="34"/>
      <c r="Q18" s="34"/>
      <c r="R18" s="34"/>
      <c r="S18" s="34"/>
      <c r="T18" s="34"/>
    </row>
    <row r="19" spans="1:20" x14ac:dyDescent="0.25">
      <c r="A19" s="53" t="s">
        <v>105</v>
      </c>
      <c r="B19" s="48">
        <f>SUM(B17:B18)</f>
        <v>2955.1073839643996</v>
      </c>
      <c r="C19" s="48">
        <f t="shared" ref="C19:N19" si="2">SUM(C17:C18)</f>
        <v>2706.5339400330004</v>
      </c>
      <c r="D19" s="48">
        <f t="shared" si="2"/>
        <v>4250.5321312020005</v>
      </c>
      <c r="E19" s="48">
        <f t="shared" si="2"/>
        <v>10640.623357728</v>
      </c>
      <c r="F19" s="48">
        <f t="shared" si="2"/>
        <v>12723.716825118194</v>
      </c>
      <c r="G19" s="48">
        <f t="shared" si="2"/>
        <v>3643.280857062</v>
      </c>
      <c r="H19" s="48">
        <f t="shared" si="2"/>
        <v>2756.8136003719505</v>
      </c>
      <c r="I19" s="48">
        <f t="shared" si="2"/>
        <v>2229.38460446625</v>
      </c>
      <c r="J19" s="48">
        <f t="shared" si="2"/>
        <v>1531.52578132953</v>
      </c>
      <c r="K19" s="48">
        <f t="shared" si="2"/>
        <v>877.64494214039996</v>
      </c>
      <c r="L19" s="48">
        <f t="shared" si="2"/>
        <v>1168.3010181633001</v>
      </c>
      <c r="M19" s="48">
        <f t="shared" si="2"/>
        <v>2384.3792015294998</v>
      </c>
      <c r="N19" s="48">
        <f t="shared" si="2"/>
        <v>47867.843643108521</v>
      </c>
      <c r="O19" s="34"/>
      <c r="P19" s="34"/>
      <c r="Q19" s="34"/>
      <c r="R19" s="34"/>
      <c r="S19" s="34"/>
      <c r="T19" s="34"/>
    </row>
    <row r="20" spans="1:20" x14ac:dyDescent="0.25">
      <c r="A20" s="805" t="s">
        <v>894</v>
      </c>
      <c r="B20" s="51">
        <f>B12*$B$13*B7</f>
        <v>904.8151978866</v>
      </c>
      <c r="C20" s="51">
        <f t="shared" ref="C20:M20" si="3">C12*$B$13*C7</f>
        <v>1203.6723519387003</v>
      </c>
      <c r="D20" s="51">
        <f t="shared" si="3"/>
        <v>5689.1674205667014</v>
      </c>
      <c r="E20" s="51">
        <f t="shared" si="3"/>
        <v>9019.6739136000015</v>
      </c>
      <c r="F20" s="51">
        <f t="shared" si="3"/>
        <v>11519.847174780003</v>
      </c>
      <c r="G20" s="51">
        <f t="shared" si="3"/>
        <v>2416.5371684790002</v>
      </c>
      <c r="H20" s="51">
        <f t="shared" si="3"/>
        <v>647.9537406111001</v>
      </c>
      <c r="I20" s="51">
        <f t="shared" si="3"/>
        <v>624.84123118567493</v>
      </c>
      <c r="J20" s="51">
        <f t="shared" si="3"/>
        <v>14.328127831500002</v>
      </c>
      <c r="K20" s="51">
        <f t="shared" si="3"/>
        <v>61.934662230000008</v>
      </c>
      <c r="L20" s="51">
        <f t="shared" si="3"/>
        <v>43.591850756999996</v>
      </c>
      <c r="M20" s="51">
        <f t="shared" si="3"/>
        <v>2.0086917479999999</v>
      </c>
      <c r="N20" s="806">
        <f>SUM(B20:M20)</f>
        <v>32148.371531614281</v>
      </c>
      <c r="O20" s="34"/>
      <c r="P20" s="34"/>
      <c r="Q20" s="34"/>
      <c r="R20" s="34"/>
      <c r="S20" s="34"/>
      <c r="T20" s="34"/>
    </row>
    <row r="21" spans="1:20" x14ac:dyDescent="0.25">
      <c r="A21" s="43"/>
      <c r="B21" s="34"/>
      <c r="C21" s="34"/>
      <c r="D21" s="34"/>
      <c r="E21" s="34"/>
      <c r="F21" s="34"/>
      <c r="G21" s="34"/>
      <c r="H21" s="34"/>
      <c r="I21" s="34"/>
      <c r="J21" s="34"/>
      <c r="K21" s="34"/>
      <c r="L21" s="34"/>
      <c r="M21" s="34"/>
      <c r="N21" s="34"/>
      <c r="O21" s="54"/>
      <c r="P21" s="54"/>
      <c r="Q21" s="54"/>
      <c r="R21" s="54"/>
      <c r="S21" s="34"/>
      <c r="T21" s="34"/>
    </row>
    <row r="22" spans="1:20" x14ac:dyDescent="0.25">
      <c r="A22" s="44" t="s">
        <v>79</v>
      </c>
      <c r="B22" s="45" t="s">
        <v>81</v>
      </c>
      <c r="C22" s="45" t="s">
        <v>82</v>
      </c>
      <c r="D22" s="45" t="s">
        <v>83</v>
      </c>
      <c r="E22" s="45" t="s">
        <v>84</v>
      </c>
      <c r="F22" s="45" t="s">
        <v>85</v>
      </c>
      <c r="G22" s="45" t="s">
        <v>86</v>
      </c>
      <c r="H22" s="45" t="s">
        <v>87</v>
      </c>
      <c r="I22" s="45" t="s">
        <v>88</v>
      </c>
      <c r="J22" s="45" t="s">
        <v>89</v>
      </c>
      <c r="K22" s="45" t="s">
        <v>90</v>
      </c>
      <c r="L22" s="45" t="s">
        <v>91</v>
      </c>
      <c r="M22" s="45" t="s">
        <v>92</v>
      </c>
      <c r="N22" s="50" t="s">
        <v>104</v>
      </c>
      <c r="O22" s="55"/>
      <c r="P22" s="55"/>
      <c r="Q22" s="55"/>
      <c r="R22" s="55"/>
      <c r="T22" s="34"/>
    </row>
    <row r="23" spans="1:20" ht="13" x14ac:dyDescent="0.3">
      <c r="A23" s="42" t="s">
        <v>132</v>
      </c>
      <c r="B23" s="74">
        <v>11</v>
      </c>
      <c r="C23" s="74">
        <v>16</v>
      </c>
      <c r="D23" s="103">
        <v>46</v>
      </c>
      <c r="E23" s="74">
        <v>81</v>
      </c>
      <c r="F23" s="74">
        <v>22</v>
      </c>
      <c r="G23" s="75">
        <v>39</v>
      </c>
      <c r="H23" s="75">
        <v>16</v>
      </c>
      <c r="I23" s="75">
        <v>11</v>
      </c>
      <c r="J23" s="103">
        <v>3.5</v>
      </c>
      <c r="K23" s="103">
        <v>3</v>
      </c>
      <c r="L23" s="103">
        <v>7</v>
      </c>
      <c r="M23" s="103">
        <v>3</v>
      </c>
      <c r="N23" s="56">
        <f>AVERAGE(B23:M23)</f>
        <v>21.541666666666668</v>
      </c>
      <c r="O23" s="57"/>
      <c r="P23" s="57"/>
      <c r="Q23" s="57"/>
      <c r="R23" s="57"/>
      <c r="T23" s="34"/>
    </row>
    <row r="24" spans="1:20" ht="13" x14ac:dyDescent="0.3">
      <c r="A24" s="42" t="s">
        <v>131</v>
      </c>
      <c r="B24" s="74">
        <v>45</v>
      </c>
      <c r="C24" s="74">
        <v>41</v>
      </c>
      <c r="D24" s="104">
        <v>32</v>
      </c>
      <c r="E24" s="74">
        <v>39</v>
      </c>
      <c r="F24" s="74">
        <v>62</v>
      </c>
      <c r="G24" s="75">
        <v>38</v>
      </c>
      <c r="H24" s="75">
        <v>37.5</v>
      </c>
      <c r="I24" s="75">
        <v>27.5</v>
      </c>
      <c r="J24" s="104">
        <v>41.5</v>
      </c>
      <c r="K24" s="104">
        <v>70</v>
      </c>
      <c r="L24" s="104">
        <v>46</v>
      </c>
      <c r="M24" s="104">
        <v>102</v>
      </c>
      <c r="N24" s="16">
        <f>AVERAGE(B24:M24)</f>
        <v>48.458333333333336</v>
      </c>
      <c r="O24" s="57"/>
      <c r="P24" s="57"/>
      <c r="Q24" s="57"/>
      <c r="R24" s="57"/>
      <c r="T24" s="34"/>
    </row>
    <row r="25" spans="1:20" ht="13" x14ac:dyDescent="0.3">
      <c r="A25" s="42" t="s">
        <v>894</v>
      </c>
      <c r="B25" s="74">
        <v>17</v>
      </c>
      <c r="C25" s="74">
        <v>28</v>
      </c>
      <c r="D25" s="104">
        <v>16</v>
      </c>
      <c r="E25" s="74">
        <v>39</v>
      </c>
      <c r="F25" s="74">
        <v>20</v>
      </c>
      <c r="G25" s="75">
        <v>32</v>
      </c>
      <c r="H25" s="75">
        <v>20.5</v>
      </c>
      <c r="I25" s="75">
        <v>37</v>
      </c>
      <c r="J25" s="104">
        <v>42.5</v>
      </c>
      <c r="K25" s="104">
        <v>54</v>
      </c>
      <c r="L25" s="104">
        <v>36</v>
      </c>
      <c r="M25" s="104">
        <v>25</v>
      </c>
      <c r="N25" s="16">
        <f>AVERAGE(B25:M25)</f>
        <v>30.583333333333332</v>
      </c>
      <c r="O25" s="57"/>
      <c r="P25" s="57"/>
      <c r="Q25" s="57"/>
      <c r="R25" s="57"/>
      <c r="T25" s="34"/>
    </row>
    <row r="26" spans="1:20" x14ac:dyDescent="0.25">
      <c r="A26" s="43"/>
      <c r="B26" s="34"/>
      <c r="C26" s="34"/>
      <c r="D26" s="34"/>
      <c r="E26" s="34"/>
      <c r="F26" s="34"/>
      <c r="G26" s="34"/>
      <c r="H26" s="34"/>
      <c r="I26" s="34"/>
      <c r="J26" s="34"/>
      <c r="K26" s="34"/>
      <c r="L26" s="34"/>
      <c r="M26" s="34"/>
      <c r="N26" s="34"/>
      <c r="O26" s="34"/>
      <c r="P26" s="34"/>
      <c r="Q26" s="34"/>
      <c r="R26" s="34"/>
      <c r="S26" s="34"/>
      <c r="T26" s="34"/>
    </row>
    <row r="27" spans="1:20" x14ac:dyDescent="0.25">
      <c r="A27" s="44" t="s">
        <v>129</v>
      </c>
      <c r="B27" s="50" t="s">
        <v>81</v>
      </c>
      <c r="C27" s="50" t="s">
        <v>82</v>
      </c>
      <c r="D27" s="50" t="s">
        <v>83</v>
      </c>
      <c r="E27" s="50" t="s">
        <v>84</v>
      </c>
      <c r="F27" s="50" t="s">
        <v>85</v>
      </c>
      <c r="G27" s="50" t="s">
        <v>86</v>
      </c>
      <c r="H27" s="50" t="s">
        <v>87</v>
      </c>
      <c r="I27" s="50" t="s">
        <v>88</v>
      </c>
      <c r="J27" s="50" t="s">
        <v>89</v>
      </c>
      <c r="K27" s="50" t="s">
        <v>90</v>
      </c>
      <c r="L27" s="50" t="s">
        <v>91</v>
      </c>
      <c r="M27" s="50" t="s">
        <v>92</v>
      </c>
      <c r="N27" s="50" t="s">
        <v>794</v>
      </c>
      <c r="O27" s="34"/>
      <c r="P27" s="34"/>
      <c r="Q27" s="34"/>
      <c r="R27" s="34"/>
      <c r="S27" s="34"/>
      <c r="T27" s="34"/>
    </row>
    <row r="28" spans="1:20" x14ac:dyDescent="0.25">
      <c r="A28" s="42" t="s">
        <v>132</v>
      </c>
      <c r="B28" s="104">
        <f t="shared" ref="B28:M28" si="4">B23*$B$13*B4</f>
        <v>5.8921624608000016</v>
      </c>
      <c r="C28" s="104">
        <f t="shared" si="4"/>
        <v>4.509836956800001</v>
      </c>
      <c r="D28" s="104">
        <f t="shared" si="4"/>
        <v>103.94979795900002</v>
      </c>
      <c r="E28" s="104">
        <f t="shared" si="4"/>
        <v>656.06464349999999</v>
      </c>
      <c r="F28" s="104">
        <f t="shared" si="4"/>
        <v>169.39967074800001</v>
      </c>
      <c r="G28" s="104">
        <f t="shared" si="4"/>
        <v>58.122467675999999</v>
      </c>
      <c r="H28" s="104">
        <f t="shared" si="4"/>
        <v>9.3738948240000006</v>
      </c>
      <c r="I28" s="104">
        <f t="shared" si="4"/>
        <v>5.4318372685500007</v>
      </c>
      <c r="J28" s="104">
        <f t="shared" si="4"/>
        <v>0.51877704217500009</v>
      </c>
      <c r="K28" s="104">
        <f t="shared" si="4"/>
        <v>2.6112992724000006</v>
      </c>
      <c r="L28" s="104">
        <f t="shared" si="4"/>
        <v>1.5875144459999999</v>
      </c>
      <c r="M28" s="104">
        <f t="shared" si="4"/>
        <v>0.55239023070000015</v>
      </c>
      <c r="N28" s="48">
        <f>SUM(B28:M28)</f>
        <v>1018.0142923844251</v>
      </c>
      <c r="O28" s="34"/>
      <c r="P28" s="34"/>
      <c r="Q28" s="34"/>
      <c r="R28" s="34"/>
      <c r="S28" s="34"/>
      <c r="T28" s="34"/>
    </row>
    <row r="29" spans="1:20" x14ac:dyDescent="0.25">
      <c r="A29" s="42" t="s">
        <v>131</v>
      </c>
      <c r="B29" s="104">
        <f t="shared" ref="B29:M29" si="5">B24*$B$13*B5</f>
        <v>79.991289125999984</v>
      </c>
      <c r="C29" s="104">
        <f t="shared" si="5"/>
        <v>69.427298438400015</v>
      </c>
      <c r="D29" s="104">
        <f t="shared" si="5"/>
        <v>73.176856368000003</v>
      </c>
      <c r="E29" s="104">
        <f t="shared" si="5"/>
        <v>483.93271999799992</v>
      </c>
      <c r="F29" s="104">
        <f t="shared" si="5"/>
        <v>1020.545001</v>
      </c>
      <c r="G29" s="104">
        <f t="shared" si="5"/>
        <v>393.55239075600002</v>
      </c>
      <c r="H29" s="104">
        <f t="shared" si="5"/>
        <v>175.39604759250005</v>
      </c>
      <c r="I29" s="104">
        <f t="shared" si="5"/>
        <v>120.78339076650001</v>
      </c>
      <c r="J29" s="104">
        <f t="shared" si="5"/>
        <v>51.728456260739989</v>
      </c>
      <c r="K29" s="104">
        <f t="shared" si="5"/>
        <v>105.040539177</v>
      </c>
      <c r="L29" s="104">
        <f t="shared" si="5"/>
        <v>32.774613717300014</v>
      </c>
      <c r="M29" s="104">
        <f t="shared" si="5"/>
        <v>29.245903885799994</v>
      </c>
      <c r="N29" s="48">
        <f>SUM(B29:M29)</f>
        <v>2635.5945070862399</v>
      </c>
      <c r="O29" s="34"/>
      <c r="P29" s="34"/>
      <c r="Q29" s="34"/>
      <c r="R29" s="34"/>
      <c r="S29" s="34"/>
      <c r="T29" s="34"/>
    </row>
    <row r="30" spans="1:20" x14ac:dyDescent="0.25">
      <c r="A30" s="53" t="s">
        <v>105</v>
      </c>
      <c r="B30" s="17">
        <f>SUM(B28:B29)</f>
        <v>85.883451586799993</v>
      </c>
      <c r="C30" s="17">
        <f t="shared" ref="C30:N30" si="6">SUM(C28:C29)</f>
        <v>73.937135395200016</v>
      </c>
      <c r="D30" s="17">
        <f t="shared" si="6"/>
        <v>177.12665432700004</v>
      </c>
      <c r="E30" s="17">
        <f t="shared" si="6"/>
        <v>1139.9973634979999</v>
      </c>
      <c r="F30" s="17">
        <f t="shared" si="6"/>
        <v>1189.944671748</v>
      </c>
      <c r="G30" s="17">
        <f t="shared" si="6"/>
        <v>451.67485843200001</v>
      </c>
      <c r="H30" s="17">
        <f t="shared" si="6"/>
        <v>184.76994241650004</v>
      </c>
      <c r="I30" s="17">
        <f t="shared" si="6"/>
        <v>126.21522803505</v>
      </c>
      <c r="J30" s="17">
        <f t="shared" si="6"/>
        <v>52.247233302914992</v>
      </c>
      <c r="K30" s="17">
        <f t="shared" si="6"/>
        <v>107.6518384494</v>
      </c>
      <c r="L30" s="17">
        <f t="shared" si="6"/>
        <v>34.362128163300014</v>
      </c>
      <c r="M30" s="17">
        <f t="shared" si="6"/>
        <v>29.798294116499992</v>
      </c>
      <c r="N30" s="48">
        <f t="shared" si="6"/>
        <v>3653.608799470665</v>
      </c>
      <c r="O30" s="34"/>
      <c r="P30" s="34"/>
      <c r="Q30" s="34"/>
      <c r="R30" s="34"/>
      <c r="S30" s="34"/>
      <c r="T30" s="34"/>
    </row>
    <row r="31" spans="1:20" x14ac:dyDescent="0.25">
      <c r="A31" s="809" t="s">
        <v>893</v>
      </c>
      <c r="B31" s="104">
        <f t="shared" ref="B31:M31" si="7">B25*$B$13*B7</f>
        <v>22.196043815400003</v>
      </c>
      <c r="C31" s="104">
        <f t="shared" si="7"/>
        <v>34.638053293200009</v>
      </c>
      <c r="D31" s="104">
        <f t="shared" si="7"/>
        <v>157.21360747680004</v>
      </c>
      <c r="E31" s="104">
        <f t="shared" si="7"/>
        <v>758.11914360000003</v>
      </c>
      <c r="F31" s="104">
        <f t="shared" si="7"/>
        <v>495.47729784000006</v>
      </c>
      <c r="G31" s="104">
        <f t="shared" si="7"/>
        <v>366.48904924800001</v>
      </c>
      <c r="H31" s="104">
        <f t="shared" si="7"/>
        <v>67.086119608725014</v>
      </c>
      <c r="I31" s="104">
        <f t="shared" si="7"/>
        <v>217.08099111614999</v>
      </c>
      <c r="J31" s="104">
        <f t="shared" si="7"/>
        <v>20.998118373750003</v>
      </c>
      <c r="K31" s="104">
        <f t="shared" si="7"/>
        <v>90.391128660000007</v>
      </c>
      <c r="L31" s="104">
        <f t="shared" si="7"/>
        <v>22.743574307999999</v>
      </c>
      <c r="M31" s="104">
        <f t="shared" si="7"/>
        <v>6.2771617125000008</v>
      </c>
      <c r="N31" s="48">
        <f>SUM(B31:M31)</f>
        <v>2258.7102890525252</v>
      </c>
      <c r="O31" s="34"/>
      <c r="P31" s="34"/>
      <c r="Q31" s="34"/>
      <c r="R31" s="34"/>
      <c r="S31" s="34"/>
      <c r="T31" s="34"/>
    </row>
    <row r="32" spans="1:20" x14ac:dyDescent="0.25">
      <c r="A32" s="809"/>
      <c r="B32" s="810">
        <f>B30-B31</f>
        <v>63.68740777139999</v>
      </c>
      <c r="C32" s="810">
        <f t="shared" ref="C32:M32" si="8">C30-C31</f>
        <v>39.299082102000007</v>
      </c>
      <c r="D32" s="810">
        <f t="shared" si="8"/>
        <v>19.913046850200004</v>
      </c>
      <c r="E32" s="810">
        <f t="shared" si="8"/>
        <v>381.87821989799988</v>
      </c>
      <c r="F32" s="810">
        <f t="shared" si="8"/>
        <v>694.4673739079999</v>
      </c>
      <c r="G32" s="810">
        <f t="shared" si="8"/>
        <v>85.185809183999993</v>
      </c>
      <c r="H32" s="810">
        <f t="shared" si="8"/>
        <v>117.68382280777503</v>
      </c>
      <c r="I32" s="810">
        <f t="shared" si="8"/>
        <v>-90.865763081099985</v>
      </c>
      <c r="J32" s="810">
        <f t="shared" si="8"/>
        <v>31.249114929164989</v>
      </c>
      <c r="K32" s="810">
        <f t="shared" si="8"/>
        <v>17.260709789399996</v>
      </c>
      <c r="L32" s="810">
        <f t="shared" si="8"/>
        <v>11.618553855300014</v>
      </c>
      <c r="M32" s="810">
        <f t="shared" si="8"/>
        <v>23.521132403999992</v>
      </c>
      <c r="N32" s="811">
        <f>SUM(B32:M32)</f>
        <v>1394.8985104181397</v>
      </c>
      <c r="O32" s="34"/>
      <c r="P32" s="34"/>
      <c r="Q32" s="34"/>
      <c r="R32" s="34"/>
      <c r="S32" s="34"/>
      <c r="T32" s="34"/>
    </row>
    <row r="33" spans="1:20" x14ac:dyDescent="0.25">
      <c r="A33" s="58"/>
      <c r="B33" s="59"/>
      <c r="C33" s="59"/>
      <c r="D33" s="59"/>
      <c r="E33" s="59"/>
      <c r="F33" s="59"/>
      <c r="G33" s="59"/>
      <c r="H33" s="59"/>
      <c r="I33" s="59"/>
      <c r="J33" s="59"/>
      <c r="K33" s="59"/>
      <c r="L33" s="59"/>
      <c r="M33" s="59"/>
      <c r="N33" s="60"/>
      <c r="O33" s="54"/>
      <c r="P33" s="54"/>
      <c r="Q33" s="54"/>
      <c r="R33" s="54"/>
      <c r="S33" s="34"/>
      <c r="T33" s="34"/>
    </row>
    <row r="34" spans="1:20" ht="22.5" customHeight="1" x14ac:dyDescent="0.25">
      <c r="A34" s="61" t="s">
        <v>77</v>
      </c>
      <c r="B34" s="62" t="s">
        <v>81</v>
      </c>
      <c r="C34" s="62" t="s">
        <v>82</v>
      </c>
      <c r="D34" s="62" t="s">
        <v>83</v>
      </c>
      <c r="E34" s="62" t="s">
        <v>84</v>
      </c>
      <c r="F34" s="62" t="s">
        <v>85</v>
      </c>
      <c r="G34" s="62" t="s">
        <v>86</v>
      </c>
      <c r="H34" s="62" t="s">
        <v>87</v>
      </c>
      <c r="I34" s="62" t="s">
        <v>88</v>
      </c>
      <c r="J34" s="62" t="s">
        <v>89</v>
      </c>
      <c r="K34" s="62" t="s">
        <v>90</v>
      </c>
      <c r="L34" s="62" t="s">
        <v>91</v>
      </c>
      <c r="M34" s="62" t="s">
        <v>92</v>
      </c>
      <c r="N34" s="50" t="s">
        <v>104</v>
      </c>
      <c r="O34" s="47"/>
      <c r="P34" s="47"/>
      <c r="Q34" s="47"/>
      <c r="R34" s="47"/>
      <c r="T34" s="34"/>
    </row>
    <row r="35" spans="1:20" ht="13" x14ac:dyDescent="0.3">
      <c r="A35" s="42" t="s">
        <v>130</v>
      </c>
      <c r="B35" s="74">
        <v>5.6</v>
      </c>
      <c r="C35" s="74">
        <v>17.2</v>
      </c>
      <c r="D35" s="63">
        <v>29.8</v>
      </c>
      <c r="E35" s="63">
        <v>58.6</v>
      </c>
      <c r="F35" s="63">
        <v>14.8</v>
      </c>
      <c r="G35" s="63">
        <v>10.9</v>
      </c>
      <c r="H35" s="63">
        <v>9.6999999999999993</v>
      </c>
      <c r="I35" s="63">
        <v>7.5</v>
      </c>
      <c r="J35" s="63">
        <v>11.6</v>
      </c>
      <c r="K35" s="74">
        <v>4.0999999999999996</v>
      </c>
      <c r="L35" s="74">
        <v>0</v>
      </c>
      <c r="M35" s="74">
        <v>4</v>
      </c>
      <c r="N35" s="16">
        <f>AVERAGE(B35:M35)</f>
        <v>14.483333333333329</v>
      </c>
      <c r="O35" s="64"/>
      <c r="P35" s="64"/>
      <c r="Q35" s="64"/>
      <c r="R35" s="64"/>
      <c r="T35" s="34"/>
    </row>
    <row r="36" spans="1:20" ht="13" x14ac:dyDescent="0.3">
      <c r="A36" s="42" t="s">
        <v>133</v>
      </c>
      <c r="B36" s="74">
        <v>5.2</v>
      </c>
      <c r="C36" s="74">
        <v>0</v>
      </c>
      <c r="D36" s="74">
        <v>9.8000000000000007</v>
      </c>
      <c r="E36" s="74">
        <v>58.4</v>
      </c>
      <c r="F36" s="74">
        <v>39</v>
      </c>
      <c r="G36" s="74">
        <v>11.2</v>
      </c>
      <c r="H36" s="74">
        <v>12</v>
      </c>
      <c r="I36" s="74">
        <v>7.8999999999999995</v>
      </c>
      <c r="J36" s="74">
        <v>17.8</v>
      </c>
      <c r="K36" s="74">
        <v>39.299999999999997</v>
      </c>
      <c r="L36" s="74">
        <v>4.5999999999999996</v>
      </c>
      <c r="M36" s="74">
        <v>4.2</v>
      </c>
      <c r="N36" s="16">
        <f>AVERAGE(B36:M36)</f>
        <v>17.45</v>
      </c>
      <c r="O36" s="65"/>
      <c r="P36" s="65"/>
      <c r="Q36" s="65"/>
      <c r="R36" s="65"/>
      <c r="T36" s="34"/>
    </row>
    <row r="37" spans="1:20" x14ac:dyDescent="0.25">
      <c r="A37" s="43"/>
      <c r="B37" s="34"/>
      <c r="C37" s="34"/>
      <c r="D37" s="34"/>
      <c r="E37" s="34"/>
      <c r="F37" s="34"/>
      <c r="G37" s="34"/>
      <c r="H37" s="34"/>
      <c r="I37" s="34"/>
      <c r="J37" s="34"/>
      <c r="K37" s="34"/>
      <c r="L37" s="34"/>
      <c r="M37" s="34"/>
      <c r="N37" s="66"/>
      <c r="O37" s="34"/>
      <c r="P37" s="34"/>
      <c r="Q37" s="34"/>
      <c r="R37" s="34"/>
      <c r="S37" s="34"/>
      <c r="T37" s="34"/>
    </row>
    <row r="38" spans="1:20" x14ac:dyDescent="0.25">
      <c r="A38" s="61" t="s">
        <v>128</v>
      </c>
      <c r="B38" s="50" t="s">
        <v>81</v>
      </c>
      <c r="C38" s="50" t="s">
        <v>82</v>
      </c>
      <c r="D38" s="50" t="s">
        <v>83</v>
      </c>
      <c r="E38" s="50" t="s">
        <v>84</v>
      </c>
      <c r="F38" s="50" t="s">
        <v>85</v>
      </c>
      <c r="G38" s="50" t="s">
        <v>86</v>
      </c>
      <c r="H38" s="50" t="s">
        <v>87</v>
      </c>
      <c r="I38" s="50" t="s">
        <v>88</v>
      </c>
      <c r="J38" s="50" t="s">
        <v>89</v>
      </c>
      <c r="K38" s="50" t="s">
        <v>90</v>
      </c>
      <c r="L38" s="50" t="s">
        <v>91</v>
      </c>
      <c r="M38" s="50" t="s">
        <v>92</v>
      </c>
      <c r="N38" s="16" t="s">
        <v>794</v>
      </c>
      <c r="O38" s="34"/>
      <c r="P38" s="34"/>
      <c r="Q38" s="34"/>
      <c r="R38" s="34"/>
      <c r="S38" s="34"/>
      <c r="T38" s="34"/>
    </row>
    <row r="39" spans="1:20" x14ac:dyDescent="0.25">
      <c r="A39" s="42" t="s">
        <v>132</v>
      </c>
      <c r="B39" s="51">
        <f t="shared" ref="B39:M39" si="9">B35*$B$13*$B4*1000</f>
        <v>2999.6463436800009</v>
      </c>
      <c r="C39" s="51">
        <f t="shared" si="9"/>
        <v>9213.1994841600026</v>
      </c>
      <c r="D39" s="51">
        <f t="shared" si="9"/>
        <v>15962.403757440004</v>
      </c>
      <c r="E39" s="51">
        <f t="shared" si="9"/>
        <v>31389.156382080011</v>
      </c>
      <c r="F39" s="51">
        <f t="shared" si="9"/>
        <v>7927.6367654400037</v>
      </c>
      <c r="G39" s="51">
        <f t="shared" si="9"/>
        <v>5838.5973475200026</v>
      </c>
      <c r="H39" s="51">
        <f t="shared" si="9"/>
        <v>5195.8159881600004</v>
      </c>
      <c r="I39" s="51">
        <f t="shared" si="9"/>
        <v>4017.3834960000008</v>
      </c>
      <c r="J39" s="51">
        <f t="shared" si="9"/>
        <v>6213.5531404800013</v>
      </c>
      <c r="K39" s="51">
        <f t="shared" si="9"/>
        <v>2196.1696444800009</v>
      </c>
      <c r="L39" s="51">
        <f t="shared" si="9"/>
        <v>0</v>
      </c>
      <c r="M39" s="51">
        <f t="shared" si="9"/>
        <v>2142.6045312000006</v>
      </c>
      <c r="N39" s="48">
        <f>SUM(B39:M39)</f>
        <v>93096.166880640027</v>
      </c>
      <c r="O39" s="39"/>
      <c r="P39" s="34"/>
      <c r="Q39" s="34"/>
      <c r="R39" s="34"/>
      <c r="S39" s="34"/>
      <c r="T39" s="34"/>
    </row>
    <row r="40" spans="1:20" x14ac:dyDescent="0.25">
      <c r="A40" s="42" t="s">
        <v>131</v>
      </c>
      <c r="B40" s="51">
        <f t="shared" ref="B40:M40" si="10">B36*$B$13*$B5*1000</f>
        <v>9243.4378545599975</v>
      </c>
      <c r="C40" s="51">
        <f t="shared" si="10"/>
        <v>0</v>
      </c>
      <c r="D40" s="51">
        <f t="shared" si="10"/>
        <v>17420.325187440001</v>
      </c>
      <c r="E40" s="51">
        <f t="shared" si="10"/>
        <v>103810.91744351998</v>
      </c>
      <c r="F40" s="51">
        <f t="shared" si="10"/>
        <v>69325.783909199978</v>
      </c>
      <c r="G40" s="51">
        <f t="shared" si="10"/>
        <v>19908.943071359998</v>
      </c>
      <c r="H40" s="51">
        <f t="shared" si="10"/>
        <v>21331.010433599997</v>
      </c>
      <c r="I40" s="51">
        <f t="shared" si="10"/>
        <v>14042.915202119995</v>
      </c>
      <c r="J40" s="51">
        <f t="shared" si="10"/>
        <v>31640.998809839995</v>
      </c>
      <c r="K40" s="51">
        <f t="shared" si="10"/>
        <v>69859.059170039982</v>
      </c>
      <c r="L40" s="51">
        <f t="shared" si="10"/>
        <v>8176.8873328799982</v>
      </c>
      <c r="M40" s="51">
        <f t="shared" si="10"/>
        <v>7465.8536517599987</v>
      </c>
      <c r="N40" s="48">
        <f>SUM(B40:M40)</f>
        <v>372226.13206631993</v>
      </c>
      <c r="O40" s="34"/>
      <c r="P40" s="34"/>
      <c r="Q40" s="34"/>
      <c r="R40" s="34"/>
      <c r="S40" s="34"/>
      <c r="T40" s="34"/>
    </row>
    <row r="41" spans="1:20" x14ac:dyDescent="0.25">
      <c r="A41" s="53" t="s">
        <v>105</v>
      </c>
      <c r="B41" s="48">
        <f>SUM(B39:B40)</f>
        <v>12243.084198239998</v>
      </c>
      <c r="C41" s="48">
        <f t="shared" ref="C41:N41" si="11">SUM(C39:C40)</f>
        <v>9213.1994841600026</v>
      </c>
      <c r="D41" s="48">
        <f t="shared" si="11"/>
        <v>33382.728944880007</v>
      </c>
      <c r="E41" s="48">
        <f t="shared" si="11"/>
        <v>135200.0738256</v>
      </c>
      <c r="F41" s="48">
        <f t="shared" si="11"/>
        <v>77253.420674639987</v>
      </c>
      <c r="G41" s="48">
        <f t="shared" si="11"/>
        <v>25747.540418880002</v>
      </c>
      <c r="H41" s="48">
        <f t="shared" si="11"/>
        <v>26526.826421759997</v>
      </c>
      <c r="I41" s="48">
        <f t="shared" si="11"/>
        <v>18060.298698119997</v>
      </c>
      <c r="J41" s="48">
        <f t="shared" si="11"/>
        <v>37854.551950319998</v>
      </c>
      <c r="K41" s="48">
        <f t="shared" si="11"/>
        <v>72055.228814519985</v>
      </c>
      <c r="L41" s="48">
        <f t="shared" si="11"/>
        <v>8176.8873328799982</v>
      </c>
      <c r="M41" s="48">
        <f t="shared" si="11"/>
        <v>9608.4581829599992</v>
      </c>
      <c r="N41" s="48">
        <f t="shared" si="11"/>
        <v>465322.29894695996</v>
      </c>
      <c r="O41" s="34"/>
      <c r="P41" s="34"/>
      <c r="Q41" s="34"/>
      <c r="R41" s="34"/>
      <c r="S41" s="34"/>
      <c r="T41" s="34"/>
    </row>
    <row r="42" spans="1:20" x14ac:dyDescent="0.25">
      <c r="A42" s="43"/>
      <c r="B42" s="34"/>
      <c r="C42" s="34"/>
      <c r="D42" s="34"/>
      <c r="E42" s="34"/>
      <c r="F42" s="34"/>
      <c r="G42" s="34"/>
      <c r="H42" s="34"/>
      <c r="I42" s="34"/>
      <c r="J42" s="34"/>
      <c r="K42" s="34"/>
      <c r="L42" s="34"/>
      <c r="M42" s="34"/>
      <c r="N42" s="34"/>
      <c r="O42" s="34"/>
      <c r="P42" s="34"/>
      <c r="Q42" s="34"/>
      <c r="R42" s="34"/>
      <c r="S42" s="34"/>
      <c r="T42" s="34"/>
    </row>
    <row r="43" spans="1:20" x14ac:dyDescent="0.25">
      <c r="A43" s="43"/>
      <c r="B43" s="34"/>
      <c r="C43" s="34"/>
      <c r="D43" s="34"/>
      <c r="E43" s="34"/>
      <c r="F43" s="34"/>
      <c r="G43" s="34"/>
      <c r="H43" s="34"/>
      <c r="I43" s="34"/>
      <c r="J43" s="34"/>
      <c r="K43" s="34"/>
      <c r="L43" s="34"/>
      <c r="M43" s="34"/>
      <c r="N43" s="34"/>
      <c r="O43" s="34"/>
      <c r="P43" s="34"/>
      <c r="Q43" s="34"/>
      <c r="R43" s="34"/>
      <c r="S43" s="34"/>
      <c r="T43" s="34"/>
    </row>
    <row r="44" spans="1:20" x14ac:dyDescent="0.25">
      <c r="A44" s="43"/>
      <c r="B44" s="34"/>
      <c r="C44" s="34"/>
      <c r="D44" s="34"/>
      <c r="E44" s="34"/>
      <c r="F44" s="34"/>
      <c r="G44" s="34"/>
      <c r="H44" s="34"/>
      <c r="I44" s="34"/>
      <c r="J44" s="34"/>
      <c r="K44" s="34"/>
      <c r="L44" s="34"/>
      <c r="M44" s="34"/>
      <c r="N44" s="34"/>
      <c r="O44" s="34"/>
      <c r="P44" s="34"/>
      <c r="Q44" s="34"/>
      <c r="R44" s="34"/>
      <c r="S44" s="34"/>
      <c r="T44" s="34"/>
    </row>
    <row r="45" spans="1:20" x14ac:dyDescent="0.25">
      <c r="A45" s="43"/>
      <c r="B45" s="34"/>
      <c r="C45" s="34"/>
      <c r="D45" s="34"/>
      <c r="E45" s="34"/>
      <c r="F45" s="34"/>
      <c r="G45" s="34"/>
      <c r="H45" s="34"/>
      <c r="I45" s="34"/>
      <c r="J45" s="34"/>
      <c r="K45" s="34"/>
      <c r="L45" s="34"/>
      <c r="M45" s="34"/>
      <c r="N45" s="34"/>
      <c r="O45" s="34"/>
      <c r="P45" s="34"/>
      <c r="Q45" s="34"/>
      <c r="R45" s="34"/>
      <c r="S45" s="34"/>
      <c r="T45" s="34"/>
    </row>
    <row r="46" spans="1:20" x14ac:dyDescent="0.25">
      <c r="A46" s="43"/>
      <c r="B46" s="34"/>
      <c r="C46" s="34"/>
      <c r="D46" s="34"/>
      <c r="E46" s="34"/>
      <c r="F46" s="34"/>
      <c r="G46" s="34"/>
      <c r="H46" s="34"/>
      <c r="I46" s="34"/>
      <c r="J46" s="34"/>
      <c r="K46" s="34"/>
      <c r="L46" s="34"/>
      <c r="M46" s="34"/>
      <c r="N46" s="34"/>
      <c r="O46" s="34"/>
      <c r="P46" s="34"/>
      <c r="Q46" s="34"/>
      <c r="R46" s="34"/>
      <c r="S46" s="34"/>
      <c r="T46" s="34"/>
    </row>
    <row r="47" spans="1:20" x14ac:dyDescent="0.25">
      <c r="A47" s="43"/>
      <c r="B47" s="34"/>
      <c r="C47" s="34"/>
      <c r="D47" s="34"/>
      <c r="E47" s="34"/>
      <c r="F47" s="34"/>
      <c r="G47" s="34"/>
      <c r="H47" s="34"/>
      <c r="I47" s="34"/>
      <c r="J47" s="34"/>
      <c r="K47" s="34"/>
      <c r="L47" s="34"/>
      <c r="M47" s="34"/>
      <c r="N47" s="34"/>
      <c r="O47" s="34"/>
      <c r="P47" s="34"/>
      <c r="Q47" s="34"/>
      <c r="R47" s="34"/>
      <c r="S47" s="34"/>
      <c r="T47" s="34"/>
    </row>
    <row r="48" spans="1:20" x14ac:dyDescent="0.25">
      <c r="A48" s="43"/>
      <c r="B48" s="34"/>
      <c r="C48" s="34"/>
      <c r="D48" s="34"/>
      <c r="E48" s="34"/>
      <c r="F48" s="34"/>
      <c r="G48" s="34"/>
      <c r="H48" s="34"/>
      <c r="I48" s="34"/>
      <c r="J48" s="34"/>
      <c r="K48" s="34"/>
      <c r="L48" s="34"/>
      <c r="M48" s="34"/>
      <c r="N48" s="34"/>
      <c r="O48" s="34"/>
      <c r="P48" s="34"/>
      <c r="Q48" s="34"/>
      <c r="R48" s="34"/>
      <c r="S48" s="34"/>
      <c r="T48" s="34"/>
    </row>
    <row r="49" spans="1:20" x14ac:dyDescent="0.25">
      <c r="A49" s="43"/>
      <c r="B49" s="34"/>
      <c r="C49" s="34"/>
      <c r="D49" s="34"/>
      <c r="E49" s="34"/>
      <c r="F49" s="34"/>
      <c r="G49" s="34"/>
      <c r="H49" s="34"/>
      <c r="I49" s="34"/>
      <c r="J49" s="34"/>
      <c r="K49" s="34"/>
      <c r="L49" s="34"/>
      <c r="M49" s="34"/>
      <c r="N49" s="34"/>
      <c r="O49" s="34"/>
      <c r="P49" s="34"/>
      <c r="Q49" s="34"/>
      <c r="R49" s="34"/>
      <c r="S49" s="34"/>
      <c r="T49" s="34"/>
    </row>
    <row r="50" spans="1:20" x14ac:dyDescent="0.25">
      <c r="A50" s="43"/>
      <c r="B50" s="34"/>
      <c r="C50" s="34"/>
      <c r="D50" s="34"/>
      <c r="E50" s="34"/>
      <c r="F50" s="34"/>
      <c r="G50" s="34"/>
      <c r="H50" s="34"/>
      <c r="I50" s="34"/>
      <c r="J50" s="34"/>
      <c r="K50" s="34"/>
      <c r="L50" s="34"/>
      <c r="M50" s="34"/>
      <c r="N50" s="34"/>
      <c r="O50" s="34"/>
      <c r="P50" s="34"/>
      <c r="Q50" s="34"/>
      <c r="R50" s="34"/>
      <c r="S50" s="34"/>
      <c r="T50" s="34"/>
    </row>
    <row r="51" spans="1:20" x14ac:dyDescent="0.25">
      <c r="A51" s="43"/>
      <c r="B51" s="34"/>
      <c r="C51" s="34"/>
      <c r="D51" s="34"/>
      <c r="E51" s="34"/>
      <c r="F51" s="34"/>
      <c r="G51" s="34"/>
      <c r="H51" s="34"/>
      <c r="I51" s="34"/>
      <c r="J51" s="34"/>
      <c r="K51" s="34"/>
      <c r="L51" s="34"/>
      <c r="M51" s="34"/>
      <c r="N51" s="34"/>
      <c r="O51" s="34"/>
      <c r="P51" s="34"/>
      <c r="Q51" s="34"/>
      <c r="R51" s="34"/>
      <c r="S51" s="34"/>
      <c r="T51" s="34"/>
    </row>
    <row r="52" spans="1:20" x14ac:dyDescent="0.25">
      <c r="A52" s="43"/>
      <c r="B52" s="34"/>
      <c r="C52" s="34"/>
      <c r="D52" s="34"/>
      <c r="E52" s="34"/>
      <c r="F52" s="34"/>
      <c r="G52" s="34"/>
      <c r="H52" s="34"/>
      <c r="I52" s="34"/>
      <c r="J52" s="34"/>
      <c r="K52" s="34"/>
      <c r="L52" s="34"/>
      <c r="M52" s="34"/>
      <c r="N52" s="34"/>
      <c r="O52" s="34"/>
      <c r="P52" s="34"/>
      <c r="Q52" s="34"/>
      <c r="R52" s="34"/>
      <c r="S52" s="34"/>
      <c r="T52" s="34"/>
    </row>
    <row r="53" spans="1:20" x14ac:dyDescent="0.25">
      <c r="A53" s="43"/>
      <c r="B53" s="34"/>
      <c r="C53" s="34"/>
      <c r="D53" s="34"/>
      <c r="E53" s="34"/>
      <c r="F53" s="34"/>
      <c r="G53" s="34"/>
      <c r="H53" s="34"/>
      <c r="I53" s="34"/>
      <c r="J53" s="34"/>
      <c r="K53" s="34"/>
      <c r="L53" s="34"/>
      <c r="M53" s="34"/>
      <c r="N53" s="34"/>
      <c r="O53" s="34"/>
      <c r="P53" s="34"/>
      <c r="Q53" s="34"/>
      <c r="R53" s="34"/>
      <c r="S53" s="34"/>
      <c r="T53" s="34"/>
    </row>
    <row r="54" spans="1:20" x14ac:dyDescent="0.25">
      <c r="A54" s="43"/>
      <c r="B54" s="34"/>
      <c r="C54" s="34"/>
      <c r="D54" s="34"/>
      <c r="E54" s="34"/>
      <c r="F54" s="34"/>
      <c r="G54" s="34"/>
      <c r="H54" s="34"/>
      <c r="I54" s="34"/>
      <c r="J54" s="34"/>
      <c r="K54" s="34"/>
      <c r="L54" s="34"/>
      <c r="M54" s="34"/>
      <c r="N54" s="34"/>
      <c r="O54" s="34"/>
      <c r="P54" s="34"/>
      <c r="Q54" s="34"/>
      <c r="R54" s="34"/>
      <c r="S54" s="34"/>
      <c r="T54" s="34"/>
    </row>
    <row r="55" spans="1:20" x14ac:dyDescent="0.25">
      <c r="A55" s="43"/>
      <c r="B55" s="34"/>
      <c r="C55" s="34"/>
      <c r="D55" s="34"/>
      <c r="E55" s="34"/>
      <c r="F55" s="34"/>
      <c r="G55" s="34"/>
      <c r="H55" s="34"/>
      <c r="I55" s="34"/>
      <c r="J55" s="34"/>
      <c r="K55" s="34"/>
      <c r="L55" s="34"/>
      <c r="M55" s="34"/>
      <c r="N55" s="34"/>
      <c r="O55" s="34"/>
      <c r="P55" s="34"/>
      <c r="Q55" s="34"/>
      <c r="R55" s="34"/>
      <c r="S55" s="34"/>
      <c r="T55" s="34"/>
    </row>
    <row r="56" spans="1:20" x14ac:dyDescent="0.25">
      <c r="A56" s="43"/>
      <c r="B56" s="34"/>
      <c r="C56" s="34"/>
      <c r="D56" s="34"/>
      <c r="E56" s="34"/>
      <c r="F56" s="34"/>
      <c r="G56" s="34"/>
      <c r="H56" s="34"/>
      <c r="I56" s="34"/>
      <c r="J56" s="34"/>
      <c r="K56" s="34"/>
      <c r="L56" s="34"/>
      <c r="M56" s="34"/>
      <c r="N56" s="34"/>
      <c r="O56" s="34"/>
      <c r="P56" s="34"/>
      <c r="Q56" s="34"/>
      <c r="R56" s="34"/>
      <c r="S56" s="34"/>
      <c r="T56" s="34"/>
    </row>
  </sheetData>
  <mergeCells count="2">
    <mergeCell ref="A1:N1"/>
    <mergeCell ref="B2:M2"/>
  </mergeCells>
  <phoneticPr fontId="8" type="noConversion"/>
  <pageMargins left="0.75" right="0.75" top="1" bottom="1" header="0.5" footer="0.5"/>
  <pageSetup orientation="landscape" horizontalDpi="429496729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5"/>
  <sheetViews>
    <sheetView topLeftCell="A42" workbookViewId="0">
      <selection activeCell="Y69" sqref="Y69"/>
    </sheetView>
  </sheetViews>
  <sheetFormatPr defaultRowHeight="12.5" x14ac:dyDescent="0.25"/>
  <cols>
    <col min="1" max="1" width="8.36328125" bestFit="1" customWidth="1"/>
    <col min="2" max="2" width="6.54296875" bestFit="1" customWidth="1"/>
    <col min="3" max="7" width="7" bestFit="1" customWidth="1"/>
    <col min="8" max="9" width="6.54296875" bestFit="1" customWidth="1"/>
    <col min="10" max="11" width="5.54296875" bestFit="1" customWidth="1"/>
    <col min="12" max="12" width="6" bestFit="1" customWidth="1"/>
    <col min="13" max="14" width="5.54296875" bestFit="1" customWidth="1"/>
    <col min="15" max="15" width="8" customWidth="1"/>
    <col min="16" max="16" width="7.6328125" customWidth="1"/>
  </cols>
  <sheetData>
    <row r="1" spans="1:22" ht="13" x14ac:dyDescent="0.3">
      <c r="A1" s="832" t="s">
        <v>49</v>
      </c>
      <c r="B1" s="832"/>
      <c r="C1" s="832"/>
      <c r="D1" s="832"/>
      <c r="E1" s="832"/>
      <c r="F1" s="832"/>
      <c r="G1" s="832"/>
      <c r="H1" s="832"/>
      <c r="I1" s="832"/>
      <c r="J1" s="832"/>
      <c r="K1" s="832"/>
      <c r="L1" s="832"/>
      <c r="M1" s="832"/>
      <c r="N1" s="832"/>
    </row>
    <row r="2" spans="1:22" x14ac:dyDescent="0.25">
      <c r="B2" s="67">
        <v>1988</v>
      </c>
      <c r="C2" s="67">
        <v>1991</v>
      </c>
      <c r="D2" s="67">
        <v>1992</v>
      </c>
      <c r="E2" s="67">
        <v>1993</v>
      </c>
      <c r="F2" s="67">
        <v>1994</v>
      </c>
      <c r="G2" s="67">
        <v>1995</v>
      </c>
      <c r="H2" s="67">
        <v>1996</v>
      </c>
      <c r="I2" s="67">
        <v>1997</v>
      </c>
      <c r="J2" s="67">
        <v>1998</v>
      </c>
      <c r="K2" s="67">
        <v>1999</v>
      </c>
      <c r="L2" s="67">
        <v>2000</v>
      </c>
      <c r="M2" s="67">
        <v>2001</v>
      </c>
      <c r="N2" s="67">
        <v>2002</v>
      </c>
      <c r="O2" s="67">
        <v>2003</v>
      </c>
      <c r="P2" s="67">
        <v>2004</v>
      </c>
      <c r="Q2" s="67">
        <v>2005</v>
      </c>
      <c r="R2" s="67">
        <v>2006</v>
      </c>
      <c r="S2" s="67">
        <v>2007</v>
      </c>
      <c r="T2" s="67">
        <v>2008</v>
      </c>
      <c r="U2" s="67">
        <v>2009</v>
      </c>
      <c r="V2" s="67">
        <v>2010</v>
      </c>
    </row>
    <row r="3" spans="1:22" x14ac:dyDescent="0.25">
      <c r="A3" s="67" t="s">
        <v>41</v>
      </c>
      <c r="B3">
        <v>166</v>
      </c>
      <c r="C3">
        <v>184.16</v>
      </c>
      <c r="D3">
        <v>162.26</v>
      </c>
      <c r="E3">
        <v>167.91</v>
      </c>
      <c r="F3">
        <v>87.03</v>
      </c>
      <c r="G3">
        <v>40.909999999999997</v>
      </c>
      <c r="H3" s="6">
        <v>29.44</v>
      </c>
      <c r="I3" s="6">
        <v>37.700000000000003</v>
      </c>
      <c r="J3">
        <v>36.6</v>
      </c>
      <c r="K3">
        <v>41.6</v>
      </c>
      <c r="L3">
        <v>60</v>
      </c>
      <c r="M3">
        <v>49.8</v>
      </c>
      <c r="N3">
        <v>50.2</v>
      </c>
      <c r="O3">
        <v>49.5</v>
      </c>
      <c r="P3">
        <v>31.9</v>
      </c>
      <c r="Q3">
        <v>39.200000000000003</v>
      </c>
      <c r="R3">
        <v>24</v>
      </c>
      <c r="S3">
        <v>30.7</v>
      </c>
      <c r="T3">
        <v>50.6</v>
      </c>
      <c r="U3">
        <v>34.799999999999997</v>
      </c>
      <c r="V3">
        <v>33.6</v>
      </c>
    </row>
    <row r="4" spans="1:22" x14ac:dyDescent="0.25">
      <c r="A4" s="67" t="s">
        <v>42</v>
      </c>
      <c r="B4" s="6">
        <v>255.14285714285714</v>
      </c>
      <c r="C4">
        <v>349.27</v>
      </c>
      <c r="D4">
        <v>266.27</v>
      </c>
      <c r="E4">
        <v>442.5</v>
      </c>
      <c r="F4">
        <v>348.74</v>
      </c>
      <c r="G4">
        <v>492.7</v>
      </c>
      <c r="H4" s="6">
        <v>577.75</v>
      </c>
      <c r="I4" s="6">
        <v>393</v>
      </c>
      <c r="J4" s="68">
        <v>358</v>
      </c>
      <c r="K4" s="68">
        <v>402</v>
      </c>
      <c r="L4">
        <v>441</v>
      </c>
      <c r="M4">
        <v>387</v>
      </c>
      <c r="N4">
        <v>282</v>
      </c>
      <c r="O4">
        <v>266</v>
      </c>
      <c r="P4">
        <v>247</v>
      </c>
      <c r="Q4">
        <v>207</v>
      </c>
      <c r="R4">
        <v>153</v>
      </c>
      <c r="S4">
        <v>229</v>
      </c>
      <c r="T4">
        <v>232</v>
      </c>
      <c r="U4">
        <v>267</v>
      </c>
      <c r="V4">
        <v>254</v>
      </c>
    </row>
    <row r="5" spans="1:22" x14ac:dyDescent="0.25">
      <c r="A5" s="67" t="s">
        <v>43</v>
      </c>
      <c r="B5" s="6">
        <v>7.4714285714285706</v>
      </c>
      <c r="C5">
        <v>21.22</v>
      </c>
      <c r="D5">
        <v>19.010000000000002</v>
      </c>
      <c r="E5">
        <v>8.9</v>
      </c>
      <c r="F5">
        <v>20.43</v>
      </c>
      <c r="G5">
        <v>5.09</v>
      </c>
      <c r="H5" s="6">
        <v>17.100000000000001</v>
      </c>
      <c r="I5" s="6">
        <v>8.1999999999999993</v>
      </c>
      <c r="J5">
        <v>4.3</v>
      </c>
      <c r="K5">
        <v>5.8</v>
      </c>
      <c r="L5">
        <v>14.1</v>
      </c>
      <c r="M5">
        <v>24.6</v>
      </c>
      <c r="N5">
        <v>15.4</v>
      </c>
      <c r="O5">
        <v>14.8</v>
      </c>
      <c r="P5">
        <v>6.6</v>
      </c>
      <c r="Q5">
        <v>15.5</v>
      </c>
      <c r="R5">
        <v>9.1</v>
      </c>
      <c r="S5">
        <v>9.3000000000000007</v>
      </c>
      <c r="T5">
        <v>17.3</v>
      </c>
      <c r="U5">
        <v>12.5</v>
      </c>
      <c r="V5">
        <v>10.6</v>
      </c>
    </row>
    <row r="6" spans="1:22" x14ac:dyDescent="0.25">
      <c r="A6" s="67" t="s">
        <v>44</v>
      </c>
      <c r="B6">
        <v>14</v>
      </c>
      <c r="C6">
        <v>69.67</v>
      </c>
      <c r="D6">
        <v>65.67</v>
      </c>
      <c r="E6">
        <v>32</v>
      </c>
      <c r="F6">
        <v>69.5</v>
      </c>
      <c r="G6">
        <v>36.85</v>
      </c>
      <c r="H6" s="6">
        <v>97.3</v>
      </c>
      <c r="I6" s="6">
        <v>31.7</v>
      </c>
      <c r="J6">
        <v>41.3</v>
      </c>
      <c r="K6">
        <v>36.700000000000003</v>
      </c>
      <c r="L6">
        <v>104.9</v>
      </c>
      <c r="M6">
        <v>69.7</v>
      </c>
      <c r="N6">
        <v>43.7</v>
      </c>
      <c r="O6">
        <v>37.700000000000003</v>
      </c>
      <c r="P6">
        <v>15.2</v>
      </c>
      <c r="Q6">
        <v>75.5</v>
      </c>
      <c r="R6">
        <v>28.7</v>
      </c>
      <c r="S6">
        <v>50.8</v>
      </c>
      <c r="T6">
        <v>73.900000000000006</v>
      </c>
      <c r="U6">
        <v>80.400000000000006</v>
      </c>
      <c r="V6">
        <v>24.1</v>
      </c>
    </row>
    <row r="7" spans="1:22" x14ac:dyDescent="0.25">
      <c r="A7" s="67" t="s">
        <v>39</v>
      </c>
      <c r="B7">
        <v>1.625</v>
      </c>
      <c r="C7">
        <v>2.17</v>
      </c>
      <c r="D7">
        <v>2.1</v>
      </c>
      <c r="E7">
        <v>2.84</v>
      </c>
      <c r="F7">
        <v>1.79</v>
      </c>
      <c r="G7">
        <v>2.14</v>
      </c>
      <c r="H7" s="6">
        <v>2.5125000000000002</v>
      </c>
      <c r="I7" s="6">
        <v>1.7</v>
      </c>
      <c r="J7">
        <v>1.8</v>
      </c>
      <c r="K7">
        <v>1.8</v>
      </c>
      <c r="L7">
        <v>2.4</v>
      </c>
      <c r="M7">
        <v>2.2999999999999998</v>
      </c>
      <c r="N7">
        <v>3</v>
      </c>
      <c r="O7">
        <v>1.7</v>
      </c>
      <c r="P7">
        <v>2.6</v>
      </c>
      <c r="Q7">
        <v>2.1</v>
      </c>
      <c r="R7">
        <v>2.4</v>
      </c>
      <c r="S7">
        <v>1.7</v>
      </c>
      <c r="T7">
        <v>2.4</v>
      </c>
      <c r="U7">
        <v>2.7</v>
      </c>
      <c r="V7">
        <v>1.7</v>
      </c>
    </row>
    <row r="10" spans="1:22" ht="13" x14ac:dyDescent="0.3">
      <c r="A10" s="832" t="s">
        <v>45</v>
      </c>
      <c r="B10" s="832"/>
      <c r="C10" s="832"/>
      <c r="D10" s="832"/>
      <c r="E10" s="832"/>
      <c r="F10" s="832"/>
      <c r="G10" s="832"/>
      <c r="H10" s="832"/>
      <c r="I10" s="832"/>
      <c r="J10" s="832"/>
      <c r="K10" s="832"/>
      <c r="L10" s="832"/>
      <c r="M10" s="832"/>
      <c r="N10" s="832"/>
    </row>
    <row r="11" spans="1:22" x14ac:dyDescent="0.25">
      <c r="C11" s="67">
        <v>1991</v>
      </c>
      <c r="D11" s="67">
        <v>1992</v>
      </c>
      <c r="E11" s="67">
        <v>1993</v>
      </c>
      <c r="F11" s="67">
        <v>1994</v>
      </c>
      <c r="G11" s="67">
        <v>1995</v>
      </c>
      <c r="H11" s="67">
        <v>1996</v>
      </c>
      <c r="I11" s="67">
        <v>1997</v>
      </c>
      <c r="J11" s="67">
        <v>1998</v>
      </c>
      <c r="K11" s="67">
        <v>1999</v>
      </c>
      <c r="L11" s="67">
        <v>2000</v>
      </c>
      <c r="M11" s="67">
        <v>2001</v>
      </c>
      <c r="N11" s="67">
        <v>2002</v>
      </c>
      <c r="O11" s="67">
        <v>2003</v>
      </c>
      <c r="P11" s="67">
        <v>2004</v>
      </c>
      <c r="Q11" s="67">
        <v>2005</v>
      </c>
      <c r="R11" s="67">
        <v>2006</v>
      </c>
      <c r="S11" s="67">
        <v>2007</v>
      </c>
      <c r="T11" s="67">
        <v>2008</v>
      </c>
      <c r="U11" s="67">
        <v>2009</v>
      </c>
      <c r="V11" s="67">
        <v>2010</v>
      </c>
    </row>
    <row r="12" spans="1:22" x14ac:dyDescent="0.25">
      <c r="A12" s="67" t="s">
        <v>41</v>
      </c>
      <c r="C12">
        <v>191.83</v>
      </c>
      <c r="D12">
        <v>181.66</v>
      </c>
      <c r="E12">
        <v>206.9</v>
      </c>
      <c r="F12">
        <v>92.27</v>
      </c>
      <c r="G12">
        <v>58.4</v>
      </c>
      <c r="H12">
        <v>30.9</v>
      </c>
      <c r="I12">
        <v>39</v>
      </c>
      <c r="J12" s="6">
        <v>35</v>
      </c>
      <c r="K12" s="6">
        <v>46.4</v>
      </c>
      <c r="L12">
        <v>42.4</v>
      </c>
      <c r="M12">
        <v>62.2</v>
      </c>
      <c r="N12">
        <v>51</v>
      </c>
      <c r="O12">
        <v>62.4</v>
      </c>
      <c r="P12">
        <v>40.299999999999997</v>
      </c>
      <c r="Q12">
        <v>45.8</v>
      </c>
      <c r="R12">
        <v>25.5</v>
      </c>
      <c r="S12">
        <v>28.6</v>
      </c>
      <c r="T12">
        <v>61.4</v>
      </c>
      <c r="U12">
        <v>49.1</v>
      </c>
      <c r="V12">
        <v>38.799999999999997</v>
      </c>
    </row>
    <row r="13" spans="1:22" x14ac:dyDescent="0.25">
      <c r="A13" s="67" t="s">
        <v>42</v>
      </c>
      <c r="C13">
        <v>234.14</v>
      </c>
      <c r="D13">
        <v>133.19999999999999</v>
      </c>
      <c r="E13">
        <v>198.57</v>
      </c>
      <c r="F13">
        <v>156.69999999999999</v>
      </c>
      <c r="G13">
        <v>284.52999999999997</v>
      </c>
      <c r="H13">
        <v>340.4</v>
      </c>
      <c r="I13">
        <v>302.89999999999998</v>
      </c>
      <c r="J13">
        <v>228</v>
      </c>
      <c r="K13">
        <v>201</v>
      </c>
      <c r="L13">
        <v>347</v>
      </c>
      <c r="M13">
        <v>208</v>
      </c>
      <c r="N13">
        <v>171</v>
      </c>
      <c r="O13">
        <v>121</v>
      </c>
      <c r="P13">
        <v>175</v>
      </c>
      <c r="Q13">
        <v>150</v>
      </c>
      <c r="R13">
        <v>102</v>
      </c>
      <c r="S13">
        <v>145</v>
      </c>
      <c r="T13">
        <v>79</v>
      </c>
      <c r="U13">
        <v>180</v>
      </c>
      <c r="V13">
        <v>112</v>
      </c>
    </row>
    <row r="14" spans="1:22" x14ac:dyDescent="0.25">
      <c r="A14" s="67" t="s">
        <v>43</v>
      </c>
      <c r="C14">
        <v>3.99</v>
      </c>
      <c r="D14">
        <v>11.78</v>
      </c>
      <c r="E14">
        <v>14.4</v>
      </c>
      <c r="F14">
        <v>26.4</v>
      </c>
      <c r="G14">
        <v>10.96</v>
      </c>
      <c r="H14">
        <v>23.81</v>
      </c>
      <c r="I14">
        <v>6</v>
      </c>
      <c r="J14">
        <v>2.7</v>
      </c>
      <c r="K14">
        <v>3.1</v>
      </c>
      <c r="L14">
        <v>14.6</v>
      </c>
      <c r="M14">
        <v>23.5</v>
      </c>
      <c r="N14">
        <v>20.3</v>
      </c>
      <c r="O14">
        <v>18.5</v>
      </c>
      <c r="P14">
        <v>8.5</v>
      </c>
      <c r="Q14">
        <v>15.4</v>
      </c>
      <c r="R14">
        <v>13.2</v>
      </c>
      <c r="S14">
        <v>6.5</v>
      </c>
      <c r="T14">
        <v>25.8</v>
      </c>
      <c r="U14">
        <v>23.3</v>
      </c>
      <c r="V14">
        <v>15.2</v>
      </c>
    </row>
    <row r="15" spans="1:22" x14ac:dyDescent="0.25">
      <c r="A15" s="67" t="s">
        <v>44</v>
      </c>
      <c r="C15">
        <v>6.25</v>
      </c>
      <c r="D15">
        <v>26.18</v>
      </c>
      <c r="E15">
        <v>32</v>
      </c>
      <c r="F15">
        <v>69.5</v>
      </c>
      <c r="G15">
        <v>36.85</v>
      </c>
      <c r="H15">
        <v>91.4</v>
      </c>
      <c r="I15">
        <v>16.399999999999999</v>
      </c>
      <c r="J15">
        <v>5.8</v>
      </c>
      <c r="K15">
        <v>7.7</v>
      </c>
      <c r="L15">
        <v>95.9</v>
      </c>
      <c r="M15">
        <v>69.7</v>
      </c>
      <c r="N15">
        <v>43.7</v>
      </c>
      <c r="O15">
        <v>37.700000000000003</v>
      </c>
      <c r="P15">
        <v>15.2</v>
      </c>
      <c r="Q15">
        <v>75.5</v>
      </c>
      <c r="R15">
        <v>28.7</v>
      </c>
      <c r="S15">
        <v>20.7</v>
      </c>
      <c r="T15">
        <v>73.900000000000006</v>
      </c>
      <c r="U15">
        <v>80.400000000000006</v>
      </c>
      <c r="V15">
        <v>22.8</v>
      </c>
    </row>
    <row r="16" spans="1:22" x14ac:dyDescent="0.25">
      <c r="A16" s="67" t="s">
        <v>39</v>
      </c>
      <c r="C16">
        <v>2.0299999999999998</v>
      </c>
      <c r="D16">
        <v>2.12</v>
      </c>
      <c r="E16">
        <v>2.23</v>
      </c>
      <c r="F16">
        <v>1.7</v>
      </c>
      <c r="G16">
        <v>1.24</v>
      </c>
      <c r="H16">
        <v>2.5329999999999999</v>
      </c>
      <c r="I16">
        <v>1.4</v>
      </c>
      <c r="J16">
        <v>1.7</v>
      </c>
      <c r="K16">
        <v>1.8</v>
      </c>
      <c r="L16">
        <v>2.31</v>
      </c>
      <c r="M16">
        <v>2.2999999999999998</v>
      </c>
      <c r="N16">
        <v>2.7</v>
      </c>
      <c r="O16">
        <v>1.6</v>
      </c>
      <c r="P16">
        <v>2</v>
      </c>
      <c r="Q16">
        <v>1.5</v>
      </c>
      <c r="R16">
        <v>2.4</v>
      </c>
      <c r="S16">
        <v>2.5</v>
      </c>
      <c r="T16">
        <v>1.5</v>
      </c>
      <c r="U16">
        <v>1.8</v>
      </c>
      <c r="V16">
        <v>1.6</v>
      </c>
    </row>
    <row r="18" spans="1:22" ht="13" x14ac:dyDescent="0.3">
      <c r="A18" s="832" t="s">
        <v>50</v>
      </c>
      <c r="B18" s="832"/>
      <c r="C18" s="832"/>
      <c r="D18" s="832"/>
      <c r="E18" s="832"/>
      <c r="F18" s="832"/>
      <c r="G18" s="832"/>
      <c r="H18" s="832"/>
      <c r="I18" s="832"/>
      <c r="J18" s="832"/>
      <c r="K18" s="832"/>
      <c r="L18" s="832"/>
      <c r="M18" s="832"/>
      <c r="N18" s="832"/>
    </row>
    <row r="19" spans="1:22" x14ac:dyDescent="0.25">
      <c r="A19" s="69" t="s">
        <v>46</v>
      </c>
      <c r="B19" s="6">
        <f>LN(B7)</f>
        <v>0.48550781578170082</v>
      </c>
      <c r="C19" s="6">
        <f t="shared" ref="C19:R19" si="0">LN(C7)</f>
        <v>0.77472716755236815</v>
      </c>
      <c r="D19" s="6">
        <f t="shared" si="0"/>
        <v>0.74193734472937733</v>
      </c>
      <c r="E19" s="6">
        <f t="shared" si="0"/>
        <v>1.0438040521731147</v>
      </c>
      <c r="F19" s="6">
        <f t="shared" si="0"/>
        <v>0.58221561985266368</v>
      </c>
      <c r="G19" s="6">
        <f t="shared" si="0"/>
        <v>0.76080582903376015</v>
      </c>
      <c r="H19" s="6">
        <f t="shared" si="0"/>
        <v>0.92127827338519419</v>
      </c>
      <c r="I19" s="6">
        <f t="shared" si="0"/>
        <v>0.53062825106217038</v>
      </c>
      <c r="J19" s="6">
        <f t="shared" si="0"/>
        <v>0.58778666490211906</v>
      </c>
      <c r="K19" s="6">
        <f t="shared" si="0"/>
        <v>0.58778666490211906</v>
      </c>
      <c r="L19" s="6">
        <f t="shared" si="0"/>
        <v>0.87546873735389985</v>
      </c>
      <c r="M19" s="6">
        <f t="shared" si="0"/>
        <v>0.83290912293510388</v>
      </c>
      <c r="N19" s="6">
        <f t="shared" si="0"/>
        <v>1.0986122886681098</v>
      </c>
      <c r="O19" s="6">
        <f t="shared" si="0"/>
        <v>0.53062825106217038</v>
      </c>
      <c r="P19" s="6">
        <f t="shared" si="0"/>
        <v>0.95551144502743635</v>
      </c>
      <c r="Q19" s="6">
        <f t="shared" si="0"/>
        <v>0.74193734472937733</v>
      </c>
      <c r="R19" s="6">
        <f t="shared" si="0"/>
        <v>0.87546873735389985</v>
      </c>
      <c r="S19" s="6">
        <f>LN(S7)</f>
        <v>0.53062825106217038</v>
      </c>
      <c r="T19" s="6">
        <f>LN(T7)</f>
        <v>0.87546873735389985</v>
      </c>
      <c r="U19" s="6">
        <f>LN(U7)</f>
        <v>0.99325177301028345</v>
      </c>
      <c r="V19" s="6">
        <f>LN(V7)</f>
        <v>0.53062825106217038</v>
      </c>
    </row>
    <row r="20" spans="1:22" x14ac:dyDescent="0.25">
      <c r="A20" s="69"/>
      <c r="B20" s="6">
        <f>60-(14.41*B19)</f>
        <v>53.003832374585691</v>
      </c>
      <c r="C20" s="6">
        <f t="shared" ref="C20:R20" si="1">60-(14.41*C19)</f>
        <v>48.836181515570374</v>
      </c>
      <c r="D20" s="6">
        <f t="shared" si="1"/>
        <v>49.308682862449672</v>
      </c>
      <c r="E20" s="6">
        <f t="shared" si="1"/>
        <v>44.958783608185414</v>
      </c>
      <c r="F20" s="6">
        <f t="shared" si="1"/>
        <v>51.610272917923112</v>
      </c>
      <c r="G20" s="6">
        <f t="shared" si="1"/>
        <v>49.036788003623514</v>
      </c>
      <c r="H20" s="6">
        <f t="shared" si="1"/>
        <v>46.724380080519353</v>
      </c>
      <c r="I20" s="6">
        <f t="shared" si="1"/>
        <v>52.353646902194129</v>
      </c>
      <c r="J20" s="6">
        <f t="shared" si="1"/>
        <v>51.529994158760466</v>
      </c>
      <c r="K20" s="6">
        <f t="shared" si="1"/>
        <v>51.529994158760466</v>
      </c>
      <c r="L20" s="6">
        <f t="shared" si="1"/>
        <v>47.384495494730302</v>
      </c>
      <c r="M20" s="6">
        <f t="shared" si="1"/>
        <v>47.997779538505156</v>
      </c>
      <c r="N20" s="6">
        <f t="shared" si="1"/>
        <v>44.168996920292535</v>
      </c>
      <c r="O20" s="6">
        <f t="shared" si="1"/>
        <v>52.353646902194129</v>
      </c>
      <c r="P20" s="6">
        <f t="shared" si="1"/>
        <v>46.231080077154644</v>
      </c>
      <c r="Q20" s="6">
        <f t="shared" si="1"/>
        <v>49.308682862449672</v>
      </c>
      <c r="R20" s="6">
        <f t="shared" si="1"/>
        <v>47.384495494730302</v>
      </c>
      <c r="S20" s="6">
        <f>60-(14.41*S19)</f>
        <v>52.353646902194129</v>
      </c>
      <c r="T20" s="6">
        <f>60-(14.41*T19)</f>
        <v>47.384495494730302</v>
      </c>
      <c r="U20" s="6">
        <f>60-(14.41*U19)</f>
        <v>45.687241950921816</v>
      </c>
      <c r="V20" s="6">
        <f>60-(14.41*V19)</f>
        <v>52.353646902194129</v>
      </c>
    </row>
    <row r="21" spans="1:22" x14ac:dyDescent="0.25">
      <c r="A21" s="69"/>
      <c r="B21" s="6"/>
      <c r="C21" s="6"/>
      <c r="D21" s="6"/>
      <c r="E21" s="6"/>
      <c r="F21" s="6"/>
      <c r="G21" s="6"/>
      <c r="H21" s="6"/>
      <c r="I21" s="6"/>
      <c r="J21" s="6"/>
      <c r="K21" s="6"/>
      <c r="L21" s="6"/>
      <c r="M21" s="6"/>
      <c r="N21" s="6"/>
    </row>
    <row r="22" spans="1:22" x14ac:dyDescent="0.25">
      <c r="A22" s="69" t="s">
        <v>47</v>
      </c>
      <c r="B22" s="6">
        <f>LN(B5)</f>
        <v>2.0110862220155639</v>
      </c>
      <c r="C22" s="6">
        <f t="shared" ref="C22:R22" si="2">LN(C5)</f>
        <v>3.0549441331858369</v>
      </c>
      <c r="D22" s="6">
        <f t="shared" si="2"/>
        <v>2.9449651565003379</v>
      </c>
      <c r="E22" s="6">
        <f t="shared" si="2"/>
        <v>2.1860512767380942</v>
      </c>
      <c r="F22" s="6">
        <f t="shared" si="2"/>
        <v>3.0170044088295307</v>
      </c>
      <c r="G22" s="6">
        <f t="shared" si="2"/>
        <v>1.6272778305624314</v>
      </c>
      <c r="H22" s="6">
        <f t="shared" si="2"/>
        <v>2.8390784635086144</v>
      </c>
      <c r="I22" s="6">
        <f t="shared" si="2"/>
        <v>2.1041341542702074</v>
      </c>
      <c r="J22" s="6">
        <f t="shared" si="2"/>
        <v>1.4586150226995167</v>
      </c>
      <c r="K22" s="6">
        <f t="shared" si="2"/>
        <v>1.7578579175523736</v>
      </c>
      <c r="L22" s="6">
        <f t="shared" si="2"/>
        <v>2.6461747973841225</v>
      </c>
      <c r="M22" s="6">
        <f t="shared" si="2"/>
        <v>3.202746442938317</v>
      </c>
      <c r="N22" s="6">
        <f t="shared" si="2"/>
        <v>2.7343675094195836</v>
      </c>
      <c r="O22" s="6">
        <f t="shared" si="2"/>
        <v>2.6946271807700692</v>
      </c>
      <c r="P22" s="6">
        <f t="shared" si="2"/>
        <v>1.8870696490323797</v>
      </c>
      <c r="Q22" s="6">
        <f t="shared" si="2"/>
        <v>2.7408400239252009</v>
      </c>
      <c r="R22" s="6">
        <f t="shared" si="2"/>
        <v>2.2082744135228043</v>
      </c>
      <c r="S22" s="6">
        <f>LN(S5)</f>
        <v>2.2300144001592104</v>
      </c>
      <c r="T22" s="6">
        <f>LN(T5)</f>
        <v>2.8507065015037334</v>
      </c>
      <c r="U22" s="6">
        <f>LN(U5)</f>
        <v>2.5257286443082556</v>
      </c>
      <c r="V22" s="6">
        <f>LN(V5)</f>
        <v>2.3608540011180215</v>
      </c>
    </row>
    <row r="23" spans="1:22" x14ac:dyDescent="0.25">
      <c r="A23" s="69"/>
      <c r="B23" s="6">
        <f>(9.81*B22)+30.6</f>
        <v>50.328755837972679</v>
      </c>
      <c r="C23" s="6">
        <f t="shared" ref="C23:R23" si="3">(9.81*C22)+30.6</f>
        <v>60.569001946553058</v>
      </c>
      <c r="D23" s="6">
        <f t="shared" si="3"/>
        <v>59.490108185268312</v>
      </c>
      <c r="E23" s="6">
        <f t="shared" si="3"/>
        <v>52.045163024800708</v>
      </c>
      <c r="F23" s="6">
        <f t="shared" si="3"/>
        <v>60.196813250617694</v>
      </c>
      <c r="G23" s="6">
        <f t="shared" si="3"/>
        <v>46.563595517817454</v>
      </c>
      <c r="H23" s="6">
        <f t="shared" si="3"/>
        <v>58.451359727019508</v>
      </c>
      <c r="I23" s="6">
        <f t="shared" si="3"/>
        <v>51.241556053390738</v>
      </c>
      <c r="J23" s="6">
        <f t="shared" si="3"/>
        <v>44.90901337268226</v>
      </c>
      <c r="K23" s="6">
        <f t="shared" si="3"/>
        <v>47.844586171188787</v>
      </c>
      <c r="L23" s="6">
        <f t="shared" si="3"/>
        <v>56.558974762338245</v>
      </c>
      <c r="M23" s="6">
        <f t="shared" si="3"/>
        <v>62.018942605224893</v>
      </c>
      <c r="N23" s="6">
        <f t="shared" si="3"/>
        <v>57.424145267406118</v>
      </c>
      <c r="O23" s="6">
        <f t="shared" si="3"/>
        <v>57.034292643354384</v>
      </c>
      <c r="P23" s="6">
        <f t="shared" si="3"/>
        <v>49.112153257007648</v>
      </c>
      <c r="Q23" s="6">
        <f t="shared" si="3"/>
        <v>57.487640634706224</v>
      </c>
      <c r="R23" s="6">
        <f t="shared" si="3"/>
        <v>52.263171996658713</v>
      </c>
      <c r="S23" s="6">
        <f>(9.81*S22)+30.6</f>
        <v>52.47644126556186</v>
      </c>
      <c r="T23" s="6">
        <f>(9.81*T22)+30.6</f>
        <v>58.565430779751622</v>
      </c>
      <c r="U23" s="6">
        <f>(9.81*U22)+30.6</f>
        <v>55.377398000663987</v>
      </c>
      <c r="V23" s="6">
        <f>(9.81*V22)+30.6</f>
        <v>53.759977750967792</v>
      </c>
    </row>
    <row r="24" spans="1:22" x14ac:dyDescent="0.25">
      <c r="A24" s="69"/>
      <c r="B24" s="6"/>
      <c r="C24" s="6"/>
      <c r="D24" s="6"/>
      <c r="E24" s="6"/>
      <c r="F24" s="6"/>
      <c r="G24" s="6"/>
      <c r="H24" s="6"/>
      <c r="I24" s="6"/>
      <c r="J24" s="6"/>
      <c r="K24" s="6"/>
      <c r="L24" s="6"/>
      <c r="M24" s="6"/>
      <c r="N24" s="6"/>
    </row>
    <row r="25" spans="1:22" x14ac:dyDescent="0.25">
      <c r="A25" s="69" t="s">
        <v>48</v>
      </c>
      <c r="B25" s="6">
        <f>LN(B3)</f>
        <v>5.1119877883565437</v>
      </c>
      <c r="C25" s="6">
        <f t="shared" ref="C25:R25" si="4">LN(C3)</f>
        <v>5.2158049449735726</v>
      </c>
      <c r="D25" s="6">
        <f t="shared" si="4"/>
        <v>5.0891999869669187</v>
      </c>
      <c r="E25" s="6">
        <f t="shared" si="4"/>
        <v>5.1234281215713775</v>
      </c>
      <c r="F25" s="6">
        <f t="shared" si="4"/>
        <v>4.4662528868014224</v>
      </c>
      <c r="G25" s="6">
        <f t="shared" si="4"/>
        <v>3.7113745319413072</v>
      </c>
      <c r="H25" s="6">
        <f t="shared" si="4"/>
        <v>3.3823542938606757</v>
      </c>
      <c r="I25" s="6">
        <f t="shared" si="4"/>
        <v>3.629660094453965</v>
      </c>
      <c r="J25" s="6">
        <f t="shared" si="4"/>
        <v>3.6000482404073204</v>
      </c>
      <c r="K25" s="6">
        <f t="shared" si="4"/>
        <v>3.7281001672672178</v>
      </c>
      <c r="L25" s="6">
        <f t="shared" si="4"/>
        <v>4.0943445622221004</v>
      </c>
      <c r="M25" s="6">
        <f t="shared" si="4"/>
        <v>3.9080149840306073</v>
      </c>
      <c r="N25" s="6">
        <f t="shared" si="4"/>
        <v>3.9160150266976834</v>
      </c>
      <c r="O25" s="6">
        <f t="shared" si="4"/>
        <v>3.9019726695746448</v>
      </c>
      <c r="P25" s="6">
        <f t="shared" si="4"/>
        <v>3.4626060097907989</v>
      </c>
      <c r="Q25" s="6">
        <f t="shared" si="4"/>
        <v>3.6686767467964168</v>
      </c>
      <c r="R25" s="6">
        <f t="shared" si="4"/>
        <v>3.1780538303479458</v>
      </c>
      <c r="S25" s="6">
        <f>LN(S3)</f>
        <v>3.4242626545931514</v>
      </c>
      <c r="T25" s="6">
        <f>LN(T3)</f>
        <v>3.9239515762934198</v>
      </c>
      <c r="U25" s="6">
        <f>LN(U3)</f>
        <v>3.5496173867804286</v>
      </c>
      <c r="V25" s="6">
        <f>LN(V3)</f>
        <v>3.5145260669691587</v>
      </c>
    </row>
    <row r="26" spans="1:22" x14ac:dyDescent="0.25">
      <c r="A26" s="69"/>
      <c r="B26" s="6">
        <f>+(14.42*B25)+4.15</f>
        <v>77.86486390810137</v>
      </c>
      <c r="C26" s="6">
        <f t="shared" ref="C26:R26" si="5">+(14.42*C25)+4.15</f>
        <v>79.361907306518916</v>
      </c>
      <c r="D26" s="6">
        <f t="shared" si="5"/>
        <v>77.53626381206297</v>
      </c>
      <c r="E26" s="6">
        <f t="shared" si="5"/>
        <v>78.029833513059273</v>
      </c>
      <c r="F26" s="6">
        <f t="shared" si="5"/>
        <v>68.55336662767651</v>
      </c>
      <c r="G26" s="6">
        <f t="shared" si="5"/>
        <v>57.668020750593648</v>
      </c>
      <c r="H26" s="6">
        <f t="shared" si="5"/>
        <v>52.923548917470939</v>
      </c>
      <c r="I26" s="6">
        <f t="shared" si="5"/>
        <v>56.48969856202617</v>
      </c>
      <c r="J26" s="6">
        <f t="shared" si="5"/>
        <v>56.062695626673559</v>
      </c>
      <c r="K26" s="6">
        <f t="shared" si="5"/>
        <v>57.909204411993279</v>
      </c>
      <c r="L26" s="6">
        <f t="shared" si="5"/>
        <v>63.190448587242685</v>
      </c>
      <c r="M26" s="6">
        <f t="shared" si="5"/>
        <v>60.503576069721355</v>
      </c>
      <c r="N26" s="6">
        <f t="shared" si="5"/>
        <v>60.618936684980596</v>
      </c>
      <c r="O26" s="6">
        <f t="shared" si="5"/>
        <v>60.416445895266378</v>
      </c>
      <c r="P26" s="6">
        <f t="shared" si="5"/>
        <v>54.080778661183317</v>
      </c>
      <c r="Q26" s="6">
        <f t="shared" si="5"/>
        <v>57.052318688804327</v>
      </c>
      <c r="R26" s="6">
        <f t="shared" si="5"/>
        <v>49.977536233617379</v>
      </c>
      <c r="S26" s="6">
        <f>+(14.42*S25)+4.15</f>
        <v>53.527867479233244</v>
      </c>
      <c r="T26" s="6">
        <f>+(14.42*T25)+4.15</f>
        <v>60.733381730151109</v>
      </c>
      <c r="U26" s="6">
        <f>+(14.42*U25)+4.15</f>
        <v>55.335482717373779</v>
      </c>
      <c r="V26" s="6">
        <f>+(14.42*V25)+4.15</f>
        <v>54.829465885695264</v>
      </c>
    </row>
    <row r="27" spans="1:22" x14ac:dyDescent="0.25">
      <c r="A27" s="69"/>
      <c r="B27" s="67">
        <v>1988</v>
      </c>
      <c r="C27" s="67">
        <v>1991</v>
      </c>
      <c r="D27" s="67">
        <v>1992</v>
      </c>
      <c r="E27" s="67">
        <v>1993</v>
      </c>
      <c r="F27" s="67">
        <v>1994</v>
      </c>
      <c r="G27" s="67">
        <v>1995</v>
      </c>
      <c r="H27" s="67">
        <v>1996</v>
      </c>
      <c r="I27" s="67">
        <v>1997</v>
      </c>
      <c r="J27" s="67">
        <v>1998</v>
      </c>
      <c r="K27" s="67">
        <v>1999</v>
      </c>
      <c r="L27" s="67">
        <v>2000</v>
      </c>
      <c r="M27" s="67">
        <v>2001</v>
      </c>
      <c r="N27" s="67">
        <v>2002</v>
      </c>
      <c r="O27" s="67">
        <v>2003</v>
      </c>
      <c r="P27" s="67">
        <v>2004</v>
      </c>
      <c r="Q27" s="67">
        <v>2005</v>
      </c>
      <c r="R27" s="67">
        <v>2006</v>
      </c>
      <c r="S27" s="67">
        <v>2007</v>
      </c>
      <c r="T27" s="67">
        <v>2008</v>
      </c>
      <c r="U27" s="67">
        <v>2009</v>
      </c>
      <c r="V27" s="67">
        <v>2010</v>
      </c>
    </row>
    <row r="28" spans="1:22" x14ac:dyDescent="0.25">
      <c r="A28" s="6"/>
      <c r="B28" s="6"/>
      <c r="C28" s="6"/>
      <c r="D28" s="6"/>
      <c r="E28" s="6"/>
      <c r="F28" s="6"/>
      <c r="G28" s="6"/>
      <c r="H28" s="6"/>
      <c r="I28" s="6"/>
      <c r="J28" s="6"/>
      <c r="K28" s="6"/>
      <c r="L28" s="6"/>
      <c r="M28" s="6"/>
      <c r="N28" s="6"/>
    </row>
    <row r="29" spans="1:22" ht="13" x14ac:dyDescent="0.3">
      <c r="A29" s="833" t="s">
        <v>51</v>
      </c>
      <c r="B29" s="833"/>
      <c r="C29" s="833"/>
      <c r="D29" s="833"/>
      <c r="E29" s="833"/>
      <c r="F29" s="833"/>
      <c r="G29" s="833"/>
      <c r="H29" s="833"/>
      <c r="I29" s="833"/>
      <c r="J29" s="833"/>
      <c r="K29" s="833"/>
      <c r="L29" s="833"/>
      <c r="M29" s="833"/>
      <c r="N29" s="833"/>
    </row>
    <row r="30" spans="1:22" x14ac:dyDescent="0.25">
      <c r="A30" s="69" t="s">
        <v>46</v>
      </c>
      <c r="B30" s="6"/>
      <c r="C30" s="6">
        <f>LN(C16)</f>
        <v>0.70803579305369591</v>
      </c>
      <c r="D30" s="6">
        <f t="shared" ref="D30:R30" si="6">LN(D16)</f>
        <v>0.75141608868392118</v>
      </c>
      <c r="E30" s="6">
        <f t="shared" si="6"/>
        <v>0.80200158547202738</v>
      </c>
      <c r="F30" s="6">
        <f t="shared" si="6"/>
        <v>0.53062825106217038</v>
      </c>
      <c r="G30" s="6">
        <f t="shared" si="6"/>
        <v>0.21511137961694549</v>
      </c>
      <c r="H30" s="6">
        <f t="shared" si="6"/>
        <v>0.9294043710195381</v>
      </c>
      <c r="I30" s="6">
        <f t="shared" si="6"/>
        <v>0.33647223662121289</v>
      </c>
      <c r="J30" s="6">
        <f t="shared" si="6"/>
        <v>0.53062825106217038</v>
      </c>
      <c r="K30" s="6">
        <f t="shared" si="6"/>
        <v>0.58778666490211906</v>
      </c>
      <c r="L30" s="6">
        <f t="shared" si="6"/>
        <v>0.83724752453370221</v>
      </c>
      <c r="M30" s="6">
        <f t="shared" si="6"/>
        <v>0.83290912293510388</v>
      </c>
      <c r="N30" s="6">
        <f t="shared" si="6"/>
        <v>0.99325177301028345</v>
      </c>
      <c r="O30" s="6">
        <f t="shared" si="6"/>
        <v>0.47000362924573563</v>
      </c>
      <c r="P30" s="6">
        <f t="shared" si="6"/>
        <v>0.69314718055994529</v>
      </c>
      <c r="Q30" s="6">
        <f t="shared" si="6"/>
        <v>0.40546510810816438</v>
      </c>
      <c r="R30" s="6">
        <f t="shared" si="6"/>
        <v>0.87546873735389985</v>
      </c>
      <c r="S30" s="6">
        <f>LN(S16)</f>
        <v>0.91629073187415511</v>
      </c>
      <c r="T30" s="6">
        <f>LN(T16)</f>
        <v>0.40546510810816438</v>
      </c>
      <c r="U30" s="6">
        <f>LN(U16)</f>
        <v>0.58778666490211906</v>
      </c>
      <c r="V30" s="6">
        <f>LN(V16)</f>
        <v>0.47000362924573563</v>
      </c>
    </row>
    <row r="31" spans="1:22" x14ac:dyDescent="0.25">
      <c r="A31" s="69"/>
      <c r="B31" s="6"/>
      <c r="C31" s="6">
        <f t="shared" ref="C31:R31" si="7">60-(14.41*C30)</f>
        <v>49.797204222096241</v>
      </c>
      <c r="D31" s="6">
        <f t="shared" si="7"/>
        <v>49.172094162064695</v>
      </c>
      <c r="E31" s="6">
        <f t="shared" si="7"/>
        <v>48.443157153348082</v>
      </c>
      <c r="F31" s="6">
        <f t="shared" si="7"/>
        <v>52.353646902194129</v>
      </c>
      <c r="G31" s="6">
        <f t="shared" si="7"/>
        <v>56.900245019719819</v>
      </c>
      <c r="H31" s="6">
        <f t="shared" si="7"/>
        <v>46.607283013608452</v>
      </c>
      <c r="I31" s="6">
        <f t="shared" si="7"/>
        <v>55.151435070288322</v>
      </c>
      <c r="J31" s="6">
        <f t="shared" si="7"/>
        <v>52.353646902194129</v>
      </c>
      <c r="K31" s="6">
        <f t="shared" si="7"/>
        <v>51.529994158760466</v>
      </c>
      <c r="L31" s="6">
        <f t="shared" si="7"/>
        <v>47.935263171469352</v>
      </c>
      <c r="M31" s="6">
        <f t="shared" si="7"/>
        <v>47.997779538505156</v>
      </c>
      <c r="N31" s="6">
        <f t="shared" si="7"/>
        <v>45.687241950921816</v>
      </c>
      <c r="O31" s="6">
        <f t="shared" si="7"/>
        <v>53.227247702568953</v>
      </c>
      <c r="P31" s="6">
        <f t="shared" si="7"/>
        <v>50.011749128131186</v>
      </c>
      <c r="Q31" s="6">
        <f t="shared" si="7"/>
        <v>54.15724779216135</v>
      </c>
      <c r="R31" s="6">
        <f t="shared" si="7"/>
        <v>47.384495494730302</v>
      </c>
      <c r="S31" s="6">
        <f>60-(14.41*S30)</f>
        <v>46.796250553693426</v>
      </c>
      <c r="T31" s="6">
        <f>60-(14.41*T30)</f>
        <v>54.15724779216135</v>
      </c>
      <c r="U31" s="6">
        <f>60-(14.41*U30)</f>
        <v>51.529994158760466</v>
      </c>
      <c r="V31" s="6">
        <f>60-(14.41*V30)</f>
        <v>53.227247702568953</v>
      </c>
    </row>
    <row r="32" spans="1:22" x14ac:dyDescent="0.25">
      <c r="A32" s="69"/>
      <c r="B32" s="6"/>
      <c r="C32" s="6"/>
      <c r="D32" s="6"/>
      <c r="E32" s="6"/>
      <c r="F32" s="6"/>
      <c r="G32" s="6"/>
      <c r="H32" s="6"/>
      <c r="I32" s="6"/>
      <c r="J32" s="6"/>
      <c r="K32" s="6"/>
      <c r="L32" s="6"/>
      <c r="M32" s="6"/>
      <c r="N32" s="6"/>
    </row>
    <row r="33" spans="1:26" x14ac:dyDescent="0.25">
      <c r="A33" s="69" t="s">
        <v>47</v>
      </c>
      <c r="B33" s="6"/>
      <c r="C33" s="6">
        <f>LN(C14)</f>
        <v>1.3837912309017721</v>
      </c>
      <c r="D33" s="6">
        <f t="shared" ref="D33:R33" si="8">LN(D14)</f>
        <v>2.4664031782234406</v>
      </c>
      <c r="E33" s="6">
        <f t="shared" si="8"/>
        <v>2.6672282065819548</v>
      </c>
      <c r="F33" s="6">
        <f t="shared" si="8"/>
        <v>3.2733640101522705</v>
      </c>
      <c r="G33" s="6">
        <f t="shared" si="8"/>
        <v>2.3942522815198695</v>
      </c>
      <c r="H33" s="6">
        <f t="shared" si="8"/>
        <v>3.1701056604987712</v>
      </c>
      <c r="I33" s="6">
        <f t="shared" si="8"/>
        <v>1.791759469228055</v>
      </c>
      <c r="J33" s="6">
        <f t="shared" si="8"/>
        <v>0.99325177301028345</v>
      </c>
      <c r="K33" s="6">
        <f t="shared" si="8"/>
        <v>1.1314021114911006</v>
      </c>
      <c r="L33" s="6">
        <f t="shared" si="8"/>
        <v>2.6810215287142909</v>
      </c>
      <c r="M33" s="6">
        <f t="shared" si="8"/>
        <v>3.1570004211501135</v>
      </c>
      <c r="N33" s="6">
        <f t="shared" si="8"/>
        <v>3.0106208860477417</v>
      </c>
      <c r="O33" s="6">
        <f t="shared" si="8"/>
        <v>2.917770732084279</v>
      </c>
      <c r="P33" s="6">
        <f t="shared" si="8"/>
        <v>2.1400661634962708</v>
      </c>
      <c r="Q33" s="6">
        <f t="shared" si="8"/>
        <v>2.7343675094195836</v>
      </c>
      <c r="R33" s="6">
        <f t="shared" si="8"/>
        <v>2.5802168295923251</v>
      </c>
      <c r="S33" s="6">
        <f>LN(S14)</f>
        <v>1.8718021769015913</v>
      </c>
      <c r="T33" s="6">
        <f>LN(T14)</f>
        <v>3.2503744919275719</v>
      </c>
      <c r="U33" s="6">
        <f>LN(U14)</f>
        <v>3.1484533605716547</v>
      </c>
      <c r="V33" s="6">
        <f>LN(V14)</f>
        <v>2.7212954278522306</v>
      </c>
    </row>
    <row r="34" spans="1:26" x14ac:dyDescent="0.25">
      <c r="A34" s="69"/>
      <c r="B34" s="6"/>
      <c r="C34" s="6">
        <f t="shared" ref="C34:R34" si="9">(9.81*C33)+30.6</f>
        <v>44.174991975146384</v>
      </c>
      <c r="D34" s="6">
        <f t="shared" si="9"/>
        <v>54.795415178371954</v>
      </c>
      <c r="E34" s="6">
        <f t="shared" si="9"/>
        <v>56.76550870656898</v>
      </c>
      <c r="F34" s="6">
        <f t="shared" si="9"/>
        <v>62.711700939593776</v>
      </c>
      <c r="G34" s="6">
        <f t="shared" si="9"/>
        <v>54.087614881709925</v>
      </c>
      <c r="H34" s="6">
        <f t="shared" si="9"/>
        <v>61.698736529492948</v>
      </c>
      <c r="I34" s="6">
        <f t="shared" si="9"/>
        <v>48.177160393127224</v>
      </c>
      <c r="J34" s="6">
        <f t="shared" si="9"/>
        <v>40.34379989323088</v>
      </c>
      <c r="K34" s="6">
        <f t="shared" si="9"/>
        <v>41.699054713727698</v>
      </c>
      <c r="L34" s="6">
        <f t="shared" si="9"/>
        <v>56.900821196687197</v>
      </c>
      <c r="M34" s="6">
        <f t="shared" si="9"/>
        <v>61.570174131482617</v>
      </c>
      <c r="N34" s="6">
        <f t="shared" si="9"/>
        <v>60.134190892128345</v>
      </c>
      <c r="O34" s="6">
        <f t="shared" si="9"/>
        <v>59.223330881746776</v>
      </c>
      <c r="P34" s="6">
        <f t="shared" si="9"/>
        <v>51.594049063898417</v>
      </c>
      <c r="Q34" s="6">
        <f t="shared" si="9"/>
        <v>57.424145267406118</v>
      </c>
      <c r="R34" s="6">
        <f t="shared" si="9"/>
        <v>55.911927098300708</v>
      </c>
      <c r="S34" s="6">
        <f>(9.81*S33)+30.6</f>
        <v>48.962379355404615</v>
      </c>
      <c r="T34" s="6">
        <f>(9.81*T33)+30.6</f>
        <v>62.486173765809482</v>
      </c>
      <c r="U34" s="6">
        <f>(9.81*U33)+30.6</f>
        <v>61.486327467207936</v>
      </c>
      <c r="V34" s="6">
        <f>(9.81*V33)+30.6</f>
        <v>57.295908147230385</v>
      </c>
    </row>
    <row r="35" spans="1:26" x14ac:dyDescent="0.25">
      <c r="A35" s="69"/>
      <c r="B35" s="6"/>
      <c r="C35" s="6"/>
      <c r="D35" s="6"/>
      <c r="E35" s="6"/>
      <c r="F35" s="6"/>
      <c r="G35" s="6"/>
      <c r="H35" s="6"/>
      <c r="I35" s="6"/>
      <c r="J35" s="6"/>
      <c r="K35" s="6"/>
      <c r="L35" s="6"/>
      <c r="M35" s="6"/>
      <c r="N35" s="6"/>
    </row>
    <row r="36" spans="1:26" x14ac:dyDescent="0.25">
      <c r="A36" s="69" t="s">
        <v>48</v>
      </c>
      <c r="B36" s="6"/>
      <c r="C36" s="6">
        <f>LN(C12)</f>
        <v>5.2566095631482463</v>
      </c>
      <c r="D36" s="6">
        <f t="shared" ref="D36:P36" si="10">LN(D12)</f>
        <v>5.2021368080740675</v>
      </c>
      <c r="E36" s="6">
        <f t="shared" si="10"/>
        <v>5.3322355847514977</v>
      </c>
      <c r="F36" s="6">
        <f t="shared" si="10"/>
        <v>4.5247190615904644</v>
      </c>
      <c r="G36" s="6">
        <f t="shared" si="10"/>
        <v>4.0673158898341812</v>
      </c>
      <c r="H36" s="6">
        <f t="shared" si="10"/>
        <v>3.4307561839036995</v>
      </c>
      <c r="I36" s="6">
        <f t="shared" si="10"/>
        <v>3.6635616461296463</v>
      </c>
      <c r="J36" s="6">
        <f t="shared" si="10"/>
        <v>3.5553480614894135</v>
      </c>
      <c r="K36" s="6">
        <f t="shared" si="10"/>
        <v>3.8372994592322094</v>
      </c>
      <c r="L36" s="6">
        <f t="shared" si="10"/>
        <v>3.7471483622379123</v>
      </c>
      <c r="M36" s="6">
        <f t="shared" si="10"/>
        <v>4.1303549997451334</v>
      </c>
      <c r="N36" s="6">
        <f t="shared" si="10"/>
        <v>3.9318256327243257</v>
      </c>
      <c r="O36" s="6">
        <f t="shared" si="10"/>
        <v>4.133565275375382</v>
      </c>
      <c r="P36" s="6">
        <f t="shared" si="10"/>
        <v>3.6963514689526371</v>
      </c>
      <c r="Q36" s="6">
        <f t="shared" ref="Q36:V36" si="11">LN(Q12)</f>
        <v>3.824284091120139</v>
      </c>
      <c r="R36" s="6">
        <f t="shared" si="11"/>
        <v>3.2386784521643803</v>
      </c>
      <c r="S36" s="6">
        <f t="shared" si="11"/>
        <v>3.3534067178258069</v>
      </c>
      <c r="T36" s="6">
        <f t="shared" si="11"/>
        <v>4.1174098351530963</v>
      </c>
      <c r="U36" s="6">
        <f t="shared" si="11"/>
        <v>3.8938590348004749</v>
      </c>
      <c r="V36" s="6">
        <f t="shared" si="11"/>
        <v>3.6584202466292277</v>
      </c>
    </row>
    <row r="37" spans="1:26" x14ac:dyDescent="0.25">
      <c r="A37" s="69"/>
      <c r="B37" s="6"/>
      <c r="C37" s="6">
        <f t="shared" ref="C37:R37" si="12">+(14.42*C36)+4.15</f>
        <v>79.950309900597716</v>
      </c>
      <c r="D37" s="6">
        <f t="shared" si="12"/>
        <v>79.164812772428064</v>
      </c>
      <c r="E37" s="6">
        <f t="shared" si="12"/>
        <v>81.040837132116607</v>
      </c>
      <c r="F37" s="6">
        <f t="shared" si="12"/>
        <v>69.396448868134499</v>
      </c>
      <c r="G37" s="6">
        <f t="shared" si="12"/>
        <v>62.800695131408894</v>
      </c>
      <c r="H37" s="6">
        <f t="shared" si="12"/>
        <v>53.621504171891345</v>
      </c>
      <c r="I37" s="6">
        <f t="shared" si="12"/>
        <v>56.978558937189497</v>
      </c>
      <c r="J37" s="6">
        <f t="shared" si="12"/>
        <v>55.41811904667734</v>
      </c>
      <c r="K37" s="6">
        <f t="shared" si="12"/>
        <v>59.483858202128459</v>
      </c>
      <c r="L37" s="6">
        <f t="shared" si="12"/>
        <v>58.183879383470696</v>
      </c>
      <c r="M37" s="6">
        <f t="shared" si="12"/>
        <v>63.709719096324825</v>
      </c>
      <c r="N37" s="6">
        <f t="shared" si="12"/>
        <v>60.846925623884772</v>
      </c>
      <c r="O37" s="6">
        <f t="shared" si="12"/>
        <v>63.756011270913007</v>
      </c>
      <c r="P37" s="6">
        <f t="shared" si="12"/>
        <v>57.451388182297023</v>
      </c>
      <c r="Q37" s="6">
        <f t="shared" si="12"/>
        <v>59.296176593952403</v>
      </c>
      <c r="R37" s="6">
        <f t="shared" si="12"/>
        <v>50.851743280210364</v>
      </c>
      <c r="S37" s="6">
        <f>+(14.42*S36)+4.15</f>
        <v>52.506124871048137</v>
      </c>
      <c r="T37" s="6">
        <f>+(14.42*T36)+4.15</f>
        <v>63.523049822907645</v>
      </c>
      <c r="U37" s="6">
        <f>+(14.42*U36)+4.15</f>
        <v>60.299447281822843</v>
      </c>
      <c r="V37" s="6">
        <f>+(14.42*V36)+4.15</f>
        <v>56.904419956393461</v>
      </c>
    </row>
    <row r="38" spans="1:26" x14ac:dyDescent="0.25">
      <c r="A38" s="67"/>
      <c r="B38" s="67"/>
      <c r="C38" s="67">
        <v>1991</v>
      </c>
      <c r="D38" s="67">
        <v>1992</v>
      </c>
      <c r="E38" s="67">
        <v>1993</v>
      </c>
      <c r="F38" s="67">
        <v>1994</v>
      </c>
      <c r="G38" s="67">
        <v>1995</v>
      </c>
      <c r="H38" s="67">
        <v>1996</v>
      </c>
      <c r="I38" s="67">
        <v>1997</v>
      </c>
      <c r="J38" s="67">
        <v>1998</v>
      </c>
      <c r="K38" s="67">
        <v>1999</v>
      </c>
      <c r="L38" s="67">
        <v>2000</v>
      </c>
      <c r="M38" s="67">
        <v>2001</v>
      </c>
      <c r="N38" s="67">
        <v>2002</v>
      </c>
      <c r="O38" s="67">
        <v>2003</v>
      </c>
      <c r="P38" s="67">
        <v>2004</v>
      </c>
      <c r="Q38" s="67">
        <v>2005</v>
      </c>
      <c r="R38" s="67">
        <v>2006</v>
      </c>
      <c r="S38" s="67">
        <v>2007</v>
      </c>
      <c r="T38" s="67">
        <v>2008</v>
      </c>
      <c r="U38" s="67">
        <v>2009</v>
      </c>
      <c r="V38" s="67">
        <v>2010</v>
      </c>
    </row>
    <row r="42" spans="1:26" ht="15.5" x14ac:dyDescent="0.45">
      <c r="Z42" s="70" t="s">
        <v>127</v>
      </c>
    </row>
    <row r="43" spans="1:26" ht="15.5" x14ac:dyDescent="0.45">
      <c r="Z43" s="70" t="s">
        <v>80</v>
      </c>
    </row>
    <row r="44" spans="1:26" ht="15.5" x14ac:dyDescent="0.45">
      <c r="Z44" s="70" t="s">
        <v>125</v>
      </c>
    </row>
    <row r="60" spans="1:2" x14ac:dyDescent="0.25">
      <c r="A60" s="105" t="s">
        <v>175</v>
      </c>
      <c r="B60" s="105" t="s">
        <v>176</v>
      </c>
    </row>
    <row r="61" spans="1:2" x14ac:dyDescent="0.25">
      <c r="A61" s="105" t="s">
        <v>69</v>
      </c>
      <c r="B61" s="105" t="s">
        <v>177</v>
      </c>
    </row>
    <row r="62" spans="1:2" x14ac:dyDescent="0.25">
      <c r="A62" s="105" t="s">
        <v>114</v>
      </c>
      <c r="B62" s="105" t="s">
        <v>115</v>
      </c>
    </row>
    <row r="63" spans="1:2" x14ac:dyDescent="0.25">
      <c r="A63" s="105" t="s">
        <v>71</v>
      </c>
      <c r="B63" s="105" t="s">
        <v>72</v>
      </c>
    </row>
    <row r="64" spans="1:2" x14ac:dyDescent="0.25">
      <c r="A64" s="105" t="s">
        <v>112</v>
      </c>
      <c r="B64" s="105" t="s">
        <v>113</v>
      </c>
    </row>
    <row r="65" spans="1:2" x14ac:dyDescent="0.25">
      <c r="A65" s="105" t="s">
        <v>178</v>
      </c>
      <c r="B65" s="105" t="s">
        <v>97</v>
      </c>
    </row>
  </sheetData>
  <mergeCells count="4">
    <mergeCell ref="A1:N1"/>
    <mergeCell ref="A10:N10"/>
    <mergeCell ref="A18:N18"/>
    <mergeCell ref="A29:N29"/>
  </mergeCells>
  <phoneticPr fontId="8"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R90"/>
  <sheetViews>
    <sheetView topLeftCell="A25" workbookViewId="0">
      <selection activeCell="A90" sqref="A90"/>
    </sheetView>
  </sheetViews>
  <sheetFormatPr defaultRowHeight="12.5" x14ac:dyDescent="0.25"/>
  <cols>
    <col min="1" max="1" width="8.36328125" bestFit="1" customWidth="1"/>
    <col min="2" max="2" width="5" bestFit="1" customWidth="1"/>
    <col min="3" max="5" width="7" bestFit="1" customWidth="1"/>
    <col min="6" max="6" width="6" bestFit="1" customWidth="1"/>
    <col min="7" max="7" width="7" bestFit="1" customWidth="1"/>
    <col min="8" max="9" width="6" bestFit="1" customWidth="1"/>
    <col min="10" max="11" width="5.54296875" bestFit="1" customWidth="1"/>
    <col min="12" max="12" width="6" bestFit="1" customWidth="1"/>
    <col min="13" max="14" width="5.54296875" bestFit="1" customWidth="1"/>
    <col min="15" max="22" width="5.54296875" customWidth="1"/>
    <col min="23" max="23" width="4.6328125" customWidth="1"/>
    <col min="24" max="24" width="6.54296875" bestFit="1" customWidth="1"/>
    <col min="25" max="25" width="7.54296875" bestFit="1" customWidth="1"/>
    <col min="26" max="28" width="6.54296875" bestFit="1" customWidth="1"/>
    <col min="29" max="29" width="6.90625" bestFit="1" customWidth="1"/>
    <col min="30" max="34" width="6.54296875" bestFit="1" customWidth="1"/>
    <col min="35" max="35" width="7.08984375" bestFit="1" customWidth="1"/>
    <col min="36" max="36" width="6.54296875" bestFit="1" customWidth="1"/>
    <col min="46" max="47" width="11.54296875" customWidth="1"/>
    <col min="48" max="48" width="25.08984375" bestFit="1" customWidth="1"/>
    <col min="49" max="49" width="24.453125" bestFit="1" customWidth="1"/>
  </cols>
  <sheetData>
    <row r="1" spans="1:44" ht="13" x14ac:dyDescent="0.3">
      <c r="W1" s="835" t="s">
        <v>58</v>
      </c>
      <c r="X1" s="835"/>
      <c r="Y1" s="835"/>
      <c r="Z1" s="835"/>
      <c r="AA1" s="835"/>
      <c r="AB1" s="835"/>
      <c r="AC1" s="835"/>
      <c r="AD1" s="835"/>
      <c r="AE1" s="835"/>
      <c r="AF1" s="835"/>
      <c r="AG1" s="835"/>
      <c r="AH1" s="835"/>
      <c r="AI1" s="835"/>
      <c r="AJ1" s="835"/>
    </row>
    <row r="2" spans="1:44" ht="13" x14ac:dyDescent="0.3">
      <c r="A2" s="835" t="s">
        <v>49</v>
      </c>
      <c r="B2" s="835"/>
      <c r="C2" s="835"/>
      <c r="D2" s="835"/>
      <c r="E2" s="835"/>
      <c r="F2" s="835"/>
      <c r="G2" s="835"/>
      <c r="H2" s="835"/>
      <c r="I2" s="835"/>
      <c r="J2" s="835"/>
      <c r="K2" s="835"/>
      <c r="L2" s="835"/>
      <c r="M2" s="835"/>
      <c r="N2" s="835"/>
      <c r="O2" s="669"/>
      <c r="P2" s="669"/>
      <c r="Q2" s="669"/>
      <c r="R2" s="669"/>
      <c r="S2" s="669"/>
      <c r="T2" s="669"/>
      <c r="U2" s="669"/>
      <c r="V2" s="669"/>
      <c r="W2" s="67"/>
      <c r="X2" s="67">
        <v>1988</v>
      </c>
      <c r="Y2" s="67">
        <v>1991</v>
      </c>
      <c r="Z2" s="67">
        <v>1992</v>
      </c>
      <c r="AA2" s="67">
        <v>1993</v>
      </c>
      <c r="AB2" s="67">
        <v>1994</v>
      </c>
      <c r="AC2" s="67">
        <v>1995</v>
      </c>
      <c r="AD2" s="67">
        <v>1996</v>
      </c>
      <c r="AE2" s="67">
        <v>1997</v>
      </c>
      <c r="AF2" s="67">
        <v>1998</v>
      </c>
      <c r="AG2" s="67">
        <v>1999</v>
      </c>
      <c r="AH2" s="67">
        <v>2000</v>
      </c>
      <c r="AI2" s="67">
        <v>2001</v>
      </c>
      <c r="AJ2" s="67">
        <v>2002</v>
      </c>
      <c r="AK2" s="67">
        <v>2003</v>
      </c>
      <c r="AL2" s="67">
        <v>2004</v>
      </c>
      <c r="AM2" s="67">
        <v>2005</v>
      </c>
      <c r="AN2" s="67">
        <v>2006</v>
      </c>
      <c r="AO2" s="67">
        <v>2007</v>
      </c>
      <c r="AP2" s="67">
        <v>2008</v>
      </c>
      <c r="AQ2" s="67">
        <v>2009</v>
      </c>
      <c r="AR2" s="67">
        <v>2010</v>
      </c>
    </row>
    <row r="3" spans="1:44" ht="15.5" x14ac:dyDescent="0.35">
      <c r="A3" s="67"/>
      <c r="B3" s="67">
        <v>1988</v>
      </c>
      <c r="C3" s="67">
        <v>1991</v>
      </c>
      <c r="D3" s="67">
        <v>1992</v>
      </c>
      <c r="E3" s="67">
        <v>1993</v>
      </c>
      <c r="F3" s="67">
        <v>1994</v>
      </c>
      <c r="G3" s="67">
        <v>1995</v>
      </c>
      <c r="H3" s="67">
        <v>1996</v>
      </c>
      <c r="I3" s="67">
        <v>1997</v>
      </c>
      <c r="J3" s="67">
        <v>1998</v>
      </c>
      <c r="K3" s="67">
        <v>1999</v>
      </c>
      <c r="L3" s="67">
        <v>2000</v>
      </c>
      <c r="M3" s="67">
        <v>2001</v>
      </c>
      <c r="N3" s="67">
        <v>2002</v>
      </c>
      <c r="O3" s="67">
        <v>2003</v>
      </c>
      <c r="P3" s="67">
        <v>2004</v>
      </c>
      <c r="Q3" s="67">
        <v>2005</v>
      </c>
      <c r="R3" s="67">
        <v>2006</v>
      </c>
      <c r="S3" s="67">
        <v>2007</v>
      </c>
      <c r="T3" s="67">
        <v>2008</v>
      </c>
      <c r="U3" s="67">
        <v>2009</v>
      </c>
      <c r="V3" s="67">
        <v>2010</v>
      </c>
      <c r="W3" s="71" t="s">
        <v>52</v>
      </c>
      <c r="X3" s="6">
        <f t="shared" ref="X3:AM3" si="0">LN(B6)</f>
        <v>2.0110862220155639</v>
      </c>
      <c r="Y3" s="6">
        <f t="shared" si="0"/>
        <v>3.0549441331858369</v>
      </c>
      <c r="Z3" s="6">
        <f t="shared" si="0"/>
        <v>2.9449651565003379</v>
      </c>
      <c r="AA3" s="6">
        <f t="shared" si="0"/>
        <v>2.1860512767380942</v>
      </c>
      <c r="AB3" s="6">
        <f t="shared" si="0"/>
        <v>3.0170044088295307</v>
      </c>
      <c r="AC3" s="6">
        <f t="shared" si="0"/>
        <v>1.6272778305624314</v>
      </c>
      <c r="AD3" s="6">
        <f t="shared" si="0"/>
        <v>2.8390784635086144</v>
      </c>
      <c r="AE3" s="6">
        <f t="shared" si="0"/>
        <v>2.1041341542702074</v>
      </c>
      <c r="AF3" s="6">
        <f t="shared" si="0"/>
        <v>1.4586150226995167</v>
      </c>
      <c r="AG3" s="6">
        <f t="shared" si="0"/>
        <v>1.7578579175523736</v>
      </c>
      <c r="AH3" s="6">
        <f t="shared" si="0"/>
        <v>2.6461747973841225</v>
      </c>
      <c r="AI3" s="6">
        <f t="shared" si="0"/>
        <v>3.202746442938317</v>
      </c>
      <c r="AJ3" s="6">
        <f t="shared" si="0"/>
        <v>2.7343675094195836</v>
      </c>
      <c r="AK3" s="6">
        <f t="shared" si="0"/>
        <v>2.6946271807700692</v>
      </c>
      <c r="AL3" s="6">
        <f t="shared" si="0"/>
        <v>1.8870696490323797</v>
      </c>
      <c r="AM3" s="6">
        <f t="shared" si="0"/>
        <v>2.7343675094195836</v>
      </c>
      <c r="AN3" s="6">
        <f>LN(R6)</f>
        <v>2.2082744135228043</v>
      </c>
      <c r="AO3" s="6">
        <f>LN(S6)</f>
        <v>2.2300144001592104</v>
      </c>
      <c r="AP3" s="6">
        <f>LN(T6)</f>
        <v>2.8507065015037334</v>
      </c>
      <c r="AQ3" s="6">
        <f>LN(U6)</f>
        <v>2.5257286443082556</v>
      </c>
      <c r="AR3" s="6">
        <f>LN(V6)</f>
        <v>2.3608540011180215</v>
      </c>
    </row>
    <row r="4" spans="1:44" ht="15.5" x14ac:dyDescent="0.35">
      <c r="A4" s="67" t="s">
        <v>41</v>
      </c>
      <c r="B4">
        <v>166</v>
      </c>
      <c r="C4">
        <v>184.16</v>
      </c>
      <c r="D4">
        <v>162.26</v>
      </c>
      <c r="E4">
        <v>167.91</v>
      </c>
      <c r="F4">
        <v>87.03</v>
      </c>
      <c r="G4">
        <v>40.909999999999997</v>
      </c>
      <c r="H4" s="6">
        <v>29.44</v>
      </c>
      <c r="I4" s="6">
        <v>37.700000000000003</v>
      </c>
      <c r="J4">
        <v>36.5</v>
      </c>
      <c r="K4">
        <v>41.6</v>
      </c>
      <c r="L4">
        <v>60</v>
      </c>
      <c r="M4">
        <v>49.8</v>
      </c>
      <c r="N4">
        <v>50.2</v>
      </c>
      <c r="O4">
        <v>49.5</v>
      </c>
      <c r="P4">
        <v>31.9</v>
      </c>
      <c r="Q4">
        <v>39.200000000000003</v>
      </c>
      <c r="R4">
        <v>24</v>
      </c>
      <c r="S4">
        <v>30.7</v>
      </c>
      <c r="T4">
        <v>50.6</v>
      </c>
      <c r="U4">
        <v>34.799999999999997</v>
      </c>
      <c r="V4">
        <v>33.6</v>
      </c>
      <c r="W4" s="71"/>
      <c r="X4" s="6">
        <f>20+(14.42*X3)</f>
        <v>48.999863321464431</v>
      </c>
      <c r="Y4" s="6">
        <f t="shared" ref="Y4:AM4" si="1">20+(14.42*Y3)</f>
        <v>64.052294400539765</v>
      </c>
      <c r="Z4" s="6">
        <f t="shared" si="1"/>
        <v>62.466397556734869</v>
      </c>
      <c r="AA4" s="6">
        <f t="shared" si="1"/>
        <v>51.522859410563314</v>
      </c>
      <c r="AB4" s="6">
        <f t="shared" si="1"/>
        <v>63.505203575321829</v>
      </c>
      <c r="AC4" s="6">
        <f t="shared" si="1"/>
        <v>43.46534631671026</v>
      </c>
      <c r="AD4" s="6">
        <f t="shared" si="1"/>
        <v>60.939511443794217</v>
      </c>
      <c r="AE4" s="6">
        <f t="shared" si="1"/>
        <v>50.341614504576391</v>
      </c>
      <c r="AF4" s="6">
        <f t="shared" si="1"/>
        <v>41.033228627327034</v>
      </c>
      <c r="AG4" s="6">
        <f t="shared" si="1"/>
        <v>45.348311171105223</v>
      </c>
      <c r="AH4" s="6">
        <f t="shared" si="1"/>
        <v>58.15784057827905</v>
      </c>
      <c r="AI4" s="6">
        <f t="shared" si="1"/>
        <v>66.183603707170533</v>
      </c>
      <c r="AJ4" s="6">
        <f t="shared" si="1"/>
        <v>59.429579485830395</v>
      </c>
      <c r="AK4" s="6">
        <f t="shared" si="1"/>
        <v>58.856523946704399</v>
      </c>
      <c r="AL4" s="6">
        <f t="shared" si="1"/>
        <v>47.211544339046917</v>
      </c>
      <c r="AM4" s="6">
        <f t="shared" si="1"/>
        <v>59.429579485830395</v>
      </c>
      <c r="AN4" s="6">
        <f>20+(14.42*AN3)</f>
        <v>51.843317042998834</v>
      </c>
      <c r="AO4" s="6">
        <f>20+(14.42*AO3)</f>
        <v>52.156807650295811</v>
      </c>
      <c r="AP4" s="6">
        <f>20+(14.42*AP3)</f>
        <v>61.107187751683838</v>
      </c>
      <c r="AQ4" s="6">
        <f>20+(14.42*AQ3)</f>
        <v>56.421007050925049</v>
      </c>
      <c r="AR4" s="6">
        <f>20+(14.42*AR3)</f>
        <v>54.043514696121868</v>
      </c>
    </row>
    <row r="5" spans="1:44" ht="15.5" x14ac:dyDescent="0.35">
      <c r="A5" s="67" t="s">
        <v>42</v>
      </c>
      <c r="B5" s="5">
        <v>255.14285714285714</v>
      </c>
      <c r="C5" s="5">
        <v>349.27</v>
      </c>
      <c r="D5" s="5">
        <v>266.27</v>
      </c>
      <c r="E5" s="5">
        <v>442.5</v>
      </c>
      <c r="F5" s="5">
        <v>348.74</v>
      </c>
      <c r="G5" s="5">
        <v>492.7</v>
      </c>
      <c r="H5" s="5">
        <v>577.75</v>
      </c>
      <c r="I5" s="5">
        <v>393</v>
      </c>
      <c r="J5" s="5">
        <v>368</v>
      </c>
      <c r="K5" s="5">
        <v>402</v>
      </c>
      <c r="L5" s="5">
        <v>441</v>
      </c>
      <c r="M5" s="5">
        <v>387</v>
      </c>
      <c r="N5" s="5">
        <v>282</v>
      </c>
      <c r="O5" s="5">
        <v>266</v>
      </c>
      <c r="P5" s="5">
        <v>47</v>
      </c>
      <c r="Q5" s="5">
        <v>207</v>
      </c>
      <c r="R5" s="5">
        <v>153</v>
      </c>
      <c r="S5" s="5">
        <v>229</v>
      </c>
      <c r="T5" s="5">
        <v>232</v>
      </c>
      <c r="U5">
        <v>267</v>
      </c>
      <c r="V5" s="5">
        <v>254</v>
      </c>
      <c r="W5" s="71"/>
      <c r="X5" s="6"/>
      <c r="Y5" s="6"/>
      <c r="Z5" s="6"/>
      <c r="AA5" s="6"/>
      <c r="AB5" s="6"/>
      <c r="AC5" s="6"/>
      <c r="AD5" s="6"/>
      <c r="AE5" s="6"/>
      <c r="AF5" s="6"/>
      <c r="AG5" s="6"/>
      <c r="AH5" s="6"/>
      <c r="AI5" s="6"/>
      <c r="AJ5" s="6"/>
    </row>
    <row r="6" spans="1:44" ht="15.5" x14ac:dyDescent="0.35">
      <c r="A6" s="67" t="s">
        <v>43</v>
      </c>
      <c r="B6" s="6">
        <v>7.4714285714285706</v>
      </c>
      <c r="C6">
        <v>21.22</v>
      </c>
      <c r="D6">
        <v>19.010000000000002</v>
      </c>
      <c r="E6">
        <v>8.9</v>
      </c>
      <c r="F6">
        <v>20.43</v>
      </c>
      <c r="G6">
        <v>5.09</v>
      </c>
      <c r="H6" s="6">
        <v>17.100000000000001</v>
      </c>
      <c r="I6" s="6">
        <v>8.1999999999999993</v>
      </c>
      <c r="J6">
        <v>4.3</v>
      </c>
      <c r="K6">
        <v>5.8</v>
      </c>
      <c r="L6">
        <v>14.1</v>
      </c>
      <c r="M6">
        <v>24.6</v>
      </c>
      <c r="N6">
        <v>15.4</v>
      </c>
      <c r="O6">
        <v>14.8</v>
      </c>
      <c r="P6">
        <v>6.6</v>
      </c>
      <c r="Q6">
        <v>15.4</v>
      </c>
      <c r="R6">
        <v>9.1</v>
      </c>
      <c r="S6">
        <v>9.3000000000000007</v>
      </c>
      <c r="T6">
        <v>17.3</v>
      </c>
      <c r="U6">
        <v>12.5</v>
      </c>
      <c r="V6">
        <v>10.6</v>
      </c>
      <c r="W6" s="71" t="s">
        <v>53</v>
      </c>
      <c r="X6" s="6">
        <f>LN(B4)</f>
        <v>5.1119877883565437</v>
      </c>
      <c r="Y6" s="6">
        <f t="shared" ref="Y6:AR6" si="2">LN(C4)</f>
        <v>5.2158049449735726</v>
      </c>
      <c r="Z6" s="6">
        <f t="shared" si="2"/>
        <v>5.0891999869669187</v>
      </c>
      <c r="AA6" s="6">
        <f t="shared" si="2"/>
        <v>5.1234281215713775</v>
      </c>
      <c r="AB6" s="6">
        <f t="shared" si="2"/>
        <v>4.4662528868014224</v>
      </c>
      <c r="AC6" s="6">
        <f t="shared" si="2"/>
        <v>3.7113745319413072</v>
      </c>
      <c r="AD6" s="6">
        <f t="shared" si="2"/>
        <v>3.3823542938606757</v>
      </c>
      <c r="AE6" s="6">
        <f t="shared" si="2"/>
        <v>3.629660094453965</v>
      </c>
      <c r="AF6" s="6">
        <f t="shared" si="2"/>
        <v>3.597312260588446</v>
      </c>
      <c r="AG6" s="6">
        <f t="shared" si="2"/>
        <v>3.7281001672672178</v>
      </c>
      <c r="AH6" s="6">
        <f t="shared" si="2"/>
        <v>4.0943445622221004</v>
      </c>
      <c r="AI6" s="6">
        <f t="shared" si="2"/>
        <v>3.9080149840306073</v>
      </c>
      <c r="AJ6" s="6">
        <f t="shared" si="2"/>
        <v>3.9160150266976834</v>
      </c>
      <c r="AK6" s="6">
        <f t="shared" si="2"/>
        <v>3.9019726695746448</v>
      </c>
      <c r="AL6" s="6">
        <f t="shared" si="2"/>
        <v>3.4626060097907989</v>
      </c>
      <c r="AM6" s="6">
        <f t="shared" si="2"/>
        <v>3.6686767467964168</v>
      </c>
      <c r="AN6" s="6">
        <f t="shared" si="2"/>
        <v>3.1780538303479458</v>
      </c>
      <c r="AO6" s="6">
        <f t="shared" si="2"/>
        <v>3.4242626545931514</v>
      </c>
      <c r="AP6" s="6">
        <f t="shared" si="2"/>
        <v>3.9239515762934198</v>
      </c>
      <c r="AQ6" s="6">
        <f t="shared" si="2"/>
        <v>3.5496173867804286</v>
      </c>
      <c r="AR6" s="6">
        <f t="shared" si="2"/>
        <v>3.5145260669691587</v>
      </c>
    </row>
    <row r="7" spans="1:44" ht="15.5" x14ac:dyDescent="0.35">
      <c r="A7" s="67" t="s">
        <v>44</v>
      </c>
      <c r="B7">
        <v>14</v>
      </c>
      <c r="C7">
        <v>69.67</v>
      </c>
      <c r="D7">
        <v>65.67</v>
      </c>
      <c r="E7">
        <v>32</v>
      </c>
      <c r="F7">
        <v>69.5</v>
      </c>
      <c r="G7">
        <v>36.85</v>
      </c>
      <c r="H7" s="6">
        <v>97.3</v>
      </c>
      <c r="I7" s="6">
        <v>31.7</v>
      </c>
      <c r="J7">
        <v>41.1</v>
      </c>
      <c r="K7">
        <v>36.700000000000003</v>
      </c>
      <c r="L7">
        <v>104.9</v>
      </c>
      <c r="M7">
        <v>69.7</v>
      </c>
      <c r="N7">
        <v>43.7</v>
      </c>
      <c r="O7">
        <v>37.700000000000003</v>
      </c>
      <c r="P7">
        <v>15.2</v>
      </c>
      <c r="Q7">
        <v>75.5</v>
      </c>
      <c r="R7">
        <v>28.7</v>
      </c>
      <c r="S7">
        <v>50.8</v>
      </c>
      <c r="T7">
        <v>73.900000000000006</v>
      </c>
      <c r="U7">
        <v>80.400000000000006</v>
      </c>
      <c r="V7">
        <v>24.1</v>
      </c>
      <c r="W7" s="71"/>
      <c r="X7" s="6">
        <f>20.02*X6</f>
        <v>102.341995522898</v>
      </c>
      <c r="Y7" s="6">
        <f t="shared" ref="Y7:AQ7" si="3">20.02*Y6</f>
        <v>104.42041499837092</v>
      </c>
      <c r="Z7" s="6">
        <f t="shared" si="3"/>
        <v>101.88578373907771</v>
      </c>
      <c r="AA7" s="6">
        <f t="shared" si="3"/>
        <v>102.57103099385897</v>
      </c>
      <c r="AB7" s="6">
        <f t="shared" si="3"/>
        <v>89.414382793764474</v>
      </c>
      <c r="AC7" s="6">
        <f t="shared" si="3"/>
        <v>74.301718129464973</v>
      </c>
      <c r="AD7" s="6">
        <f t="shared" si="3"/>
        <v>67.714732963090725</v>
      </c>
      <c r="AE7" s="6">
        <f t="shared" si="3"/>
        <v>72.665795090968373</v>
      </c>
      <c r="AF7" s="6">
        <f t="shared" si="3"/>
        <v>72.018191456980688</v>
      </c>
      <c r="AG7" s="6">
        <f t="shared" si="3"/>
        <v>74.6365653486897</v>
      </c>
      <c r="AH7" s="6">
        <f t="shared" si="3"/>
        <v>81.968778135686449</v>
      </c>
      <c r="AI7" s="6">
        <f t="shared" si="3"/>
        <v>78.23845998029276</v>
      </c>
      <c r="AJ7" s="6">
        <f t="shared" si="3"/>
        <v>78.398620834487616</v>
      </c>
      <c r="AK7" s="6">
        <f t="shared" si="3"/>
        <v>78.117492844884381</v>
      </c>
      <c r="AL7" s="6">
        <f t="shared" si="3"/>
        <v>69.321372316011789</v>
      </c>
      <c r="AM7" s="6">
        <f t="shared" si="3"/>
        <v>73.446908470864258</v>
      </c>
      <c r="AN7" s="6">
        <f t="shared" si="3"/>
        <v>63.624637683565872</v>
      </c>
      <c r="AO7" s="6">
        <f t="shared" si="3"/>
        <v>68.553738344954894</v>
      </c>
      <c r="AP7" s="6">
        <f t="shared" si="3"/>
        <v>78.557510557394266</v>
      </c>
      <c r="AQ7" s="6">
        <f t="shared" si="3"/>
        <v>71.063340083344173</v>
      </c>
      <c r="AR7" s="6">
        <f>20.02*AR6</f>
        <v>70.360811860722549</v>
      </c>
    </row>
    <row r="8" spans="1:44" ht="15.5" x14ac:dyDescent="0.35">
      <c r="A8" s="67" t="s">
        <v>39</v>
      </c>
      <c r="B8" s="3">
        <v>1.625</v>
      </c>
      <c r="C8">
        <v>2.17</v>
      </c>
      <c r="D8">
        <v>2.1</v>
      </c>
      <c r="E8">
        <v>2.84</v>
      </c>
      <c r="F8">
        <v>1.79</v>
      </c>
      <c r="G8">
        <v>2.14</v>
      </c>
      <c r="H8" s="6">
        <v>2.5125000000000002</v>
      </c>
      <c r="I8" s="6">
        <v>1.7</v>
      </c>
      <c r="J8">
        <v>1.76</v>
      </c>
      <c r="K8">
        <v>1.8</v>
      </c>
      <c r="L8">
        <v>2.4</v>
      </c>
      <c r="M8">
        <v>2.2999999999999998</v>
      </c>
      <c r="N8">
        <v>3</v>
      </c>
      <c r="O8">
        <v>1.7</v>
      </c>
      <c r="P8">
        <v>2.6</v>
      </c>
      <c r="Q8">
        <v>2.1</v>
      </c>
      <c r="R8">
        <v>2.4</v>
      </c>
      <c r="S8">
        <v>1.7</v>
      </c>
      <c r="T8">
        <v>2.4</v>
      </c>
      <c r="U8">
        <v>2.7</v>
      </c>
      <c r="V8">
        <v>1.7</v>
      </c>
      <c r="W8" s="71"/>
      <c r="X8" s="6"/>
      <c r="Y8" s="6"/>
      <c r="Z8" s="6"/>
      <c r="AA8" s="6"/>
      <c r="AB8" s="6"/>
      <c r="AC8" s="6"/>
      <c r="AD8" s="6"/>
      <c r="AE8" s="6"/>
      <c r="AF8" s="6"/>
      <c r="AG8" s="6"/>
      <c r="AH8" s="6"/>
      <c r="AI8" s="6"/>
      <c r="AJ8" s="6"/>
    </row>
    <row r="9" spans="1:44" ht="15.5" x14ac:dyDescent="0.35">
      <c r="W9" s="71" t="s">
        <v>54</v>
      </c>
      <c r="X9" s="6">
        <f>LN(1/B8-0.08)</f>
        <v>-0.62476988311520831</v>
      </c>
      <c r="Y9" s="6">
        <f t="shared" ref="Y9:AM9" si="4">LN(1/C8-0.08)</f>
        <v>-0.96540352872907653</v>
      </c>
      <c r="Z9" s="6">
        <f t="shared" si="4"/>
        <v>-0.92586018289030592</v>
      </c>
      <c r="AA9" s="6">
        <f t="shared" si="4"/>
        <v>-1.3015390482569433</v>
      </c>
      <c r="AB9" s="6">
        <f t="shared" si="4"/>
        <v>-0.7367663797012618</v>
      </c>
      <c r="AC9" s="6">
        <f t="shared" si="4"/>
        <v>-0.94858223651067863</v>
      </c>
      <c r="AD9" s="6">
        <f t="shared" si="4"/>
        <v>-1.1456726066010567</v>
      </c>
      <c r="AE9" s="6">
        <f t="shared" si="4"/>
        <v>-0.67681076124025175</v>
      </c>
      <c r="AF9" s="6">
        <f t="shared" si="4"/>
        <v>-0.71706736427759721</v>
      </c>
      <c r="AG9" s="6">
        <f t="shared" si="4"/>
        <v>-0.74327156774251391</v>
      </c>
      <c r="AH9" s="6">
        <f t="shared" si="4"/>
        <v>-1.0886619578149417</v>
      </c>
      <c r="AI9" s="6">
        <f t="shared" si="4"/>
        <v>-1.0362500469531339</v>
      </c>
      <c r="AJ9" s="6">
        <f t="shared" si="4"/>
        <v>-1.3730491343698701</v>
      </c>
      <c r="AK9" s="6">
        <f t="shared" si="4"/>
        <v>-0.67681076124025175</v>
      </c>
      <c r="AL9" s="6">
        <f t="shared" si="4"/>
        <v>-1.1887053321951477</v>
      </c>
      <c r="AM9" s="6">
        <f t="shared" si="4"/>
        <v>-0.92586018289030592</v>
      </c>
      <c r="AN9" s="6">
        <f>LN(1/R8-0.08)</f>
        <v>-1.0886619578149417</v>
      </c>
      <c r="AO9" s="6">
        <f>LN(1/S8-0.08)</f>
        <v>-0.67681076124025175</v>
      </c>
      <c r="AP9" s="6">
        <f>LN(1/T8-0.08)</f>
        <v>-1.0886619578149417</v>
      </c>
      <c r="AQ9" s="6">
        <f>LN(1/U8-0.08)</f>
        <v>-1.2365980316420127</v>
      </c>
      <c r="AR9" s="6">
        <f>LN(1/V8-0.08)</f>
        <v>-0.67681076124025175</v>
      </c>
    </row>
    <row r="10" spans="1:44" ht="15.5" x14ac:dyDescent="0.35">
      <c r="W10" s="71"/>
      <c r="X10" s="6">
        <f>75.34+(19.46*X9)</f>
        <v>63.181978074578048</v>
      </c>
      <c r="Y10" s="6">
        <f t="shared" ref="Y10:AM10" si="5">75.34+(19.46*Y9)</f>
        <v>56.553247330932173</v>
      </c>
      <c r="Z10" s="6">
        <f t="shared" si="5"/>
        <v>57.322760840954651</v>
      </c>
      <c r="AA10" s="6">
        <f t="shared" si="5"/>
        <v>50.012050120919881</v>
      </c>
      <c r="AB10" s="6">
        <f t="shared" si="5"/>
        <v>61.00252625101345</v>
      </c>
      <c r="AC10" s="6">
        <f t="shared" si="5"/>
        <v>56.880589677502201</v>
      </c>
      <c r="AD10" s="6">
        <f t="shared" si="5"/>
        <v>53.045211075543435</v>
      </c>
      <c r="AE10" s="6">
        <f t="shared" si="5"/>
        <v>62.169262586264708</v>
      </c>
      <c r="AF10" s="6">
        <f t="shared" si="5"/>
        <v>61.385869091157957</v>
      </c>
      <c r="AG10" s="6">
        <f t="shared" si="5"/>
        <v>60.875935291730684</v>
      </c>
      <c r="AH10" s="6">
        <f t="shared" si="5"/>
        <v>54.154638300921235</v>
      </c>
      <c r="AI10" s="6">
        <f t="shared" si="5"/>
        <v>55.174574086292012</v>
      </c>
      <c r="AJ10" s="6">
        <f t="shared" si="5"/>
        <v>48.620463845162334</v>
      </c>
      <c r="AK10" s="6">
        <f t="shared" si="5"/>
        <v>62.169262586264708</v>
      </c>
      <c r="AL10" s="6">
        <f t="shared" si="5"/>
        <v>52.207794235482424</v>
      </c>
      <c r="AM10" s="6">
        <f t="shared" si="5"/>
        <v>57.322760840954651</v>
      </c>
      <c r="AN10" s="6">
        <f>75.34+(19.46*AN9)</f>
        <v>54.154638300921235</v>
      </c>
      <c r="AO10" s="6">
        <f>75.34+(19.46*AO9)</f>
        <v>62.169262586264708</v>
      </c>
      <c r="AP10" s="6">
        <f>75.34+(19.46*AP9)</f>
        <v>54.154638300921235</v>
      </c>
      <c r="AQ10" s="6">
        <f>75.34+(19.46*AQ9)</f>
        <v>51.27580230424644</v>
      </c>
      <c r="AR10" s="6">
        <f>75.34+(19.46*AR9)</f>
        <v>62.169262586264708</v>
      </c>
    </row>
    <row r="11" spans="1:44" ht="15.5" x14ac:dyDescent="0.35">
      <c r="W11" s="71"/>
      <c r="X11" s="6"/>
      <c r="Y11" s="6"/>
      <c r="Z11" s="6"/>
      <c r="AA11" s="6"/>
      <c r="AB11" s="6"/>
      <c r="AC11" s="6"/>
      <c r="AD11" s="6"/>
      <c r="AE11" s="6"/>
      <c r="AF11" s="6"/>
      <c r="AG11" s="6"/>
      <c r="AH11" s="6"/>
      <c r="AI11" s="6"/>
      <c r="AJ11" s="6"/>
    </row>
    <row r="12" spans="1:44" ht="15.5" x14ac:dyDescent="0.35">
      <c r="W12" s="71" t="s">
        <v>55</v>
      </c>
      <c r="X12" s="6">
        <f>+(X4+X7+X10)/3</f>
        <v>71.50794563964682</v>
      </c>
      <c r="Y12" s="6">
        <f t="shared" ref="Y12:AL12" si="6">+(Y4+Y7+Y10)/3</f>
        <v>75.008652243280963</v>
      </c>
      <c r="Z12" s="6">
        <f t="shared" si="6"/>
        <v>73.891647378922414</v>
      </c>
      <c r="AA12" s="6">
        <f t="shared" si="6"/>
        <v>68.035313508447373</v>
      </c>
      <c r="AB12" s="6">
        <f t="shared" si="6"/>
        <v>71.30737087336658</v>
      </c>
      <c r="AC12" s="6">
        <f t="shared" si="6"/>
        <v>58.215884707892478</v>
      </c>
      <c r="AD12" s="6">
        <f t="shared" si="6"/>
        <v>60.566485160809464</v>
      </c>
      <c r="AE12" s="6">
        <f t="shared" si="6"/>
        <v>61.725557393936491</v>
      </c>
      <c r="AF12" s="6">
        <f t="shared" si="6"/>
        <v>58.145763058488562</v>
      </c>
      <c r="AG12" s="6">
        <f t="shared" si="6"/>
        <v>60.286937270508531</v>
      </c>
      <c r="AH12" s="6">
        <f t="shared" si="6"/>
        <v>64.760419004962259</v>
      </c>
      <c r="AI12" s="6">
        <f t="shared" si="6"/>
        <v>66.532212591251763</v>
      </c>
      <c r="AJ12" s="6">
        <f t="shared" si="6"/>
        <v>62.149554721826782</v>
      </c>
      <c r="AK12" s="6">
        <f t="shared" si="6"/>
        <v>66.381093125951168</v>
      </c>
      <c r="AL12" s="6">
        <f t="shared" si="6"/>
        <v>56.246903630180377</v>
      </c>
      <c r="AM12" s="6">
        <f t="shared" ref="AM12:AR12" si="7">+(AM4+AM7+AM10)/3</f>
        <v>63.399749599216442</v>
      </c>
      <c r="AN12" s="6">
        <f t="shared" si="7"/>
        <v>56.540864342495318</v>
      </c>
      <c r="AO12" s="6">
        <f t="shared" si="7"/>
        <v>60.959936193838473</v>
      </c>
      <c r="AP12" s="6">
        <f t="shared" si="7"/>
        <v>64.606445536666456</v>
      </c>
      <c r="AQ12" s="6">
        <f t="shared" si="7"/>
        <v>59.58671647950522</v>
      </c>
      <c r="AR12" s="6">
        <f t="shared" si="7"/>
        <v>62.191196381036377</v>
      </c>
    </row>
    <row r="13" spans="1:44" x14ac:dyDescent="0.25">
      <c r="W13" s="67"/>
      <c r="X13" s="6" t="s">
        <v>56</v>
      </c>
      <c r="Y13" s="6" t="s">
        <v>56</v>
      </c>
      <c r="Z13" s="6" t="s">
        <v>56</v>
      </c>
      <c r="AA13" s="6" t="s">
        <v>56</v>
      </c>
      <c r="AB13" s="6" t="s">
        <v>56</v>
      </c>
      <c r="AC13" s="6" t="s">
        <v>57</v>
      </c>
      <c r="AD13" s="6" t="s">
        <v>57</v>
      </c>
      <c r="AE13" s="6" t="s">
        <v>57</v>
      </c>
      <c r="AF13" s="6" t="s">
        <v>57</v>
      </c>
      <c r="AG13" s="6" t="s">
        <v>57</v>
      </c>
      <c r="AH13" s="6" t="s">
        <v>57</v>
      </c>
      <c r="AI13" s="6" t="s">
        <v>57</v>
      </c>
      <c r="AJ13" s="6" t="s">
        <v>57</v>
      </c>
    </row>
    <row r="14" spans="1:44"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9"/>
      <c r="Y14" s="9"/>
      <c r="Z14" s="9"/>
      <c r="AA14" s="9"/>
      <c r="AB14" s="9"/>
      <c r="AC14" s="9"/>
      <c r="AD14" s="9"/>
      <c r="AE14" s="9"/>
      <c r="AF14" s="9"/>
      <c r="AG14" s="9"/>
      <c r="AH14" s="9"/>
      <c r="AI14" s="9"/>
      <c r="AJ14" s="6"/>
    </row>
    <row r="15" spans="1:44" ht="13" x14ac:dyDescent="0.3">
      <c r="A15" s="835" t="s">
        <v>45</v>
      </c>
      <c r="B15" s="835"/>
      <c r="C15" s="835"/>
      <c r="D15" s="835"/>
      <c r="E15" s="835"/>
      <c r="F15" s="835"/>
      <c r="G15" s="835"/>
      <c r="H15" s="835"/>
      <c r="I15" s="835"/>
      <c r="J15" s="835"/>
      <c r="K15" s="835"/>
      <c r="L15" s="835"/>
      <c r="M15" s="835"/>
      <c r="N15" s="835"/>
      <c r="O15" s="669"/>
      <c r="P15" s="669"/>
      <c r="Q15" s="669"/>
      <c r="R15" s="669"/>
      <c r="S15" s="669"/>
      <c r="T15" s="669"/>
      <c r="U15" s="669"/>
      <c r="V15" s="669"/>
      <c r="W15" s="835" t="s">
        <v>59</v>
      </c>
      <c r="X15" s="835"/>
      <c r="Y15" s="835"/>
      <c r="Z15" s="835"/>
      <c r="AA15" s="835"/>
      <c r="AB15" s="835"/>
      <c r="AC15" s="835"/>
      <c r="AD15" s="835"/>
      <c r="AE15" s="835"/>
      <c r="AF15" s="835"/>
      <c r="AG15" s="835"/>
      <c r="AH15" s="835"/>
      <c r="AI15" s="835"/>
      <c r="AJ15" s="835"/>
    </row>
    <row r="16" spans="1:44" x14ac:dyDescent="0.25">
      <c r="A16" s="67"/>
      <c r="B16" s="67"/>
      <c r="C16" s="67">
        <v>1991</v>
      </c>
      <c r="D16" s="67">
        <v>1992</v>
      </c>
      <c r="E16" s="67">
        <v>1993</v>
      </c>
      <c r="F16" s="67">
        <v>1994</v>
      </c>
      <c r="G16" s="67">
        <v>1995</v>
      </c>
      <c r="H16" s="67">
        <v>1996</v>
      </c>
      <c r="I16" s="67">
        <v>1997</v>
      </c>
      <c r="J16" s="67">
        <v>1998</v>
      </c>
      <c r="K16" s="67">
        <v>1999</v>
      </c>
      <c r="L16" s="67">
        <v>2000</v>
      </c>
      <c r="M16" s="67">
        <v>2001</v>
      </c>
      <c r="N16" s="67">
        <v>2002</v>
      </c>
      <c r="O16" s="67">
        <v>2003</v>
      </c>
      <c r="P16" s="67">
        <v>2004</v>
      </c>
      <c r="Q16" s="67">
        <v>2005</v>
      </c>
      <c r="R16" s="67">
        <v>2006</v>
      </c>
      <c r="S16" s="67">
        <v>2007</v>
      </c>
      <c r="T16" s="67">
        <v>2008</v>
      </c>
      <c r="U16" s="67">
        <v>2009</v>
      </c>
      <c r="V16" s="67">
        <v>2010</v>
      </c>
      <c r="W16" s="67"/>
      <c r="X16" s="67">
        <v>1988</v>
      </c>
      <c r="Y16" s="67">
        <v>1991</v>
      </c>
      <c r="Z16" s="67">
        <v>1992</v>
      </c>
      <c r="AA16" s="67">
        <v>1993</v>
      </c>
      <c r="AB16" s="67">
        <v>1994</v>
      </c>
      <c r="AC16" s="67">
        <v>1995</v>
      </c>
      <c r="AD16" s="67">
        <v>1996</v>
      </c>
      <c r="AE16" s="67">
        <v>1997</v>
      </c>
      <c r="AF16" s="67">
        <v>1998</v>
      </c>
      <c r="AG16" s="67">
        <v>1999</v>
      </c>
      <c r="AH16" s="67">
        <v>2000</v>
      </c>
      <c r="AI16" s="67">
        <v>2001</v>
      </c>
      <c r="AJ16" s="67">
        <v>2002</v>
      </c>
      <c r="AK16" s="67">
        <v>2003</v>
      </c>
      <c r="AL16" s="67">
        <v>2004</v>
      </c>
      <c r="AM16" s="67">
        <v>2005</v>
      </c>
      <c r="AN16" s="67">
        <v>2006</v>
      </c>
      <c r="AO16" s="67">
        <v>2007</v>
      </c>
      <c r="AP16" s="67">
        <v>2008</v>
      </c>
      <c r="AQ16" s="67">
        <v>2009</v>
      </c>
      <c r="AR16" s="67">
        <v>2010</v>
      </c>
    </row>
    <row r="17" spans="1:44" ht="15.5" x14ac:dyDescent="0.35">
      <c r="A17" s="67" t="s">
        <v>41</v>
      </c>
      <c r="C17">
        <v>191.83</v>
      </c>
      <c r="D17">
        <v>181.66</v>
      </c>
      <c r="E17">
        <v>206.9</v>
      </c>
      <c r="F17">
        <v>92.27</v>
      </c>
      <c r="G17">
        <v>58.4</v>
      </c>
      <c r="H17">
        <v>30.9</v>
      </c>
      <c r="I17">
        <v>39</v>
      </c>
      <c r="J17" s="6">
        <v>35</v>
      </c>
      <c r="K17" s="6">
        <v>46.4</v>
      </c>
      <c r="L17" s="6">
        <v>42.4</v>
      </c>
      <c r="M17" s="6">
        <v>62.2</v>
      </c>
      <c r="N17" s="6">
        <v>51</v>
      </c>
      <c r="O17" s="6">
        <v>62.4</v>
      </c>
      <c r="P17">
        <v>40.299999999999997</v>
      </c>
      <c r="Q17" s="6">
        <v>45.8</v>
      </c>
      <c r="R17" s="6">
        <v>25.5</v>
      </c>
      <c r="S17" s="6">
        <v>28.6</v>
      </c>
      <c r="T17" s="6">
        <v>61.4</v>
      </c>
      <c r="U17">
        <v>49.1</v>
      </c>
      <c r="V17" s="6">
        <v>38.799999999999997</v>
      </c>
      <c r="W17" s="71" t="s">
        <v>52</v>
      </c>
      <c r="X17" s="6"/>
      <c r="Y17" s="6">
        <f t="shared" ref="Y17:AR17" si="8">LN(C19)</f>
        <v>1.3837912309017721</v>
      </c>
      <c r="Z17" s="6">
        <f t="shared" si="8"/>
        <v>2.4664031782234406</v>
      </c>
      <c r="AA17" s="6">
        <f t="shared" si="8"/>
        <v>2.6672282065819548</v>
      </c>
      <c r="AB17" s="6">
        <f t="shared" si="8"/>
        <v>3.2733640101522705</v>
      </c>
      <c r="AC17" s="6">
        <f t="shared" si="8"/>
        <v>2.3942522815198695</v>
      </c>
      <c r="AD17" s="6">
        <f t="shared" si="8"/>
        <v>3.1701056604987712</v>
      </c>
      <c r="AE17" s="6">
        <f t="shared" si="8"/>
        <v>1.791759469228055</v>
      </c>
      <c r="AF17" s="6">
        <f t="shared" si="8"/>
        <v>0.9895411936137477</v>
      </c>
      <c r="AG17" s="6">
        <f t="shared" si="8"/>
        <v>1.1314021114911006</v>
      </c>
      <c r="AH17" s="6">
        <f t="shared" si="8"/>
        <v>2.6810215287142909</v>
      </c>
      <c r="AI17" s="6">
        <f t="shared" si="8"/>
        <v>3.1570004211501135</v>
      </c>
      <c r="AJ17" s="6">
        <f t="shared" si="8"/>
        <v>3.0106208860477417</v>
      </c>
      <c r="AK17" s="6">
        <f t="shared" si="8"/>
        <v>2.917770732084279</v>
      </c>
      <c r="AL17" s="6">
        <f t="shared" si="8"/>
        <v>2.1400661634962708</v>
      </c>
      <c r="AM17" s="6">
        <f t="shared" si="8"/>
        <v>2.7408400239252009</v>
      </c>
      <c r="AN17" s="6">
        <f t="shared" si="8"/>
        <v>2.5802168295923251</v>
      </c>
      <c r="AO17" s="6">
        <f t="shared" si="8"/>
        <v>1.8718021769015913</v>
      </c>
      <c r="AP17" s="6">
        <f t="shared" si="8"/>
        <v>3.2503744919275719</v>
      </c>
      <c r="AQ17" s="6">
        <f t="shared" si="8"/>
        <v>3.1484533605716547</v>
      </c>
      <c r="AR17" s="6">
        <f t="shared" si="8"/>
        <v>2.7212954278522306</v>
      </c>
    </row>
    <row r="18" spans="1:44" ht="15.5" x14ac:dyDescent="0.35">
      <c r="A18" s="67" t="s">
        <v>42</v>
      </c>
      <c r="C18">
        <v>234.14</v>
      </c>
      <c r="D18">
        <v>133.19999999999999</v>
      </c>
      <c r="E18">
        <v>198.57</v>
      </c>
      <c r="F18">
        <v>156.69999999999999</v>
      </c>
      <c r="G18">
        <v>284.52999999999997</v>
      </c>
      <c r="H18">
        <v>340.4</v>
      </c>
      <c r="I18">
        <v>302.89999999999998</v>
      </c>
      <c r="J18">
        <v>228</v>
      </c>
      <c r="K18">
        <v>201</v>
      </c>
      <c r="L18">
        <v>347</v>
      </c>
      <c r="M18">
        <v>208</v>
      </c>
      <c r="N18">
        <v>171</v>
      </c>
      <c r="O18">
        <v>121</v>
      </c>
      <c r="P18">
        <v>175</v>
      </c>
      <c r="Q18">
        <v>150</v>
      </c>
      <c r="R18">
        <v>12</v>
      </c>
      <c r="S18">
        <v>145</v>
      </c>
      <c r="T18">
        <v>79</v>
      </c>
      <c r="U18">
        <v>180</v>
      </c>
      <c r="V18">
        <v>112</v>
      </c>
      <c r="W18" s="71"/>
      <c r="X18" s="6"/>
      <c r="Y18" s="6">
        <f>20+(14.42*Y17)</f>
        <v>39.954269549603552</v>
      </c>
      <c r="Z18" s="6">
        <f t="shared" ref="Z18:AN18" si="9">20+(14.42*Z17)</f>
        <v>55.565533829982016</v>
      </c>
      <c r="AA18" s="6">
        <f t="shared" si="9"/>
        <v>58.461430738911787</v>
      </c>
      <c r="AB18" s="6">
        <f t="shared" si="9"/>
        <v>67.201909026395739</v>
      </c>
      <c r="AC18" s="6">
        <f t="shared" si="9"/>
        <v>54.525117899516516</v>
      </c>
      <c r="AD18" s="6">
        <f t="shared" si="9"/>
        <v>65.712923624392289</v>
      </c>
      <c r="AE18" s="6">
        <f t="shared" si="9"/>
        <v>45.83717154626855</v>
      </c>
      <c r="AF18" s="6">
        <f t="shared" si="9"/>
        <v>34.269184011910241</v>
      </c>
      <c r="AG18" s="6">
        <f t="shared" si="9"/>
        <v>36.314818447701668</v>
      </c>
      <c r="AH18" s="6">
        <f t="shared" si="9"/>
        <v>58.660330444060072</v>
      </c>
      <c r="AI18" s="6">
        <f t="shared" si="9"/>
        <v>65.523946072984643</v>
      </c>
      <c r="AJ18" s="6">
        <f t="shared" si="9"/>
        <v>63.413153176808436</v>
      </c>
      <c r="AK18" s="6">
        <f t="shared" si="9"/>
        <v>62.074253956655305</v>
      </c>
      <c r="AL18" s="6">
        <f t="shared" si="9"/>
        <v>50.859754077616223</v>
      </c>
      <c r="AM18" s="6">
        <f t="shared" si="9"/>
        <v>59.522913145001397</v>
      </c>
      <c r="AN18" s="6">
        <f t="shared" si="9"/>
        <v>57.206726682721325</v>
      </c>
      <c r="AO18" s="6">
        <f>20+(14.42*AO17)</f>
        <v>46.991387390920949</v>
      </c>
      <c r="AP18" s="6">
        <f>20+(14.42*AP17)</f>
        <v>66.870400173595584</v>
      </c>
      <c r="AQ18" s="6">
        <f>20+(14.42*AQ17)</f>
        <v>65.400697459443251</v>
      </c>
      <c r="AR18" s="6">
        <f>20+(14.42*AR17)</f>
        <v>59.241080069629163</v>
      </c>
    </row>
    <row r="19" spans="1:44" ht="15.5" x14ac:dyDescent="0.35">
      <c r="A19" s="67" t="s">
        <v>43</v>
      </c>
      <c r="C19">
        <v>3.99</v>
      </c>
      <c r="D19">
        <v>11.78</v>
      </c>
      <c r="E19">
        <v>14.4</v>
      </c>
      <c r="F19">
        <v>26.4</v>
      </c>
      <c r="G19">
        <v>10.96</v>
      </c>
      <c r="H19">
        <v>23.81</v>
      </c>
      <c r="I19">
        <v>6</v>
      </c>
      <c r="J19">
        <v>2.69</v>
      </c>
      <c r="K19">
        <v>3.1</v>
      </c>
      <c r="L19">
        <v>14.6</v>
      </c>
      <c r="M19">
        <v>23.5</v>
      </c>
      <c r="N19">
        <v>20.3</v>
      </c>
      <c r="O19">
        <v>18.5</v>
      </c>
      <c r="P19">
        <v>8.5</v>
      </c>
      <c r="Q19">
        <v>15.5</v>
      </c>
      <c r="R19">
        <v>13.2</v>
      </c>
      <c r="S19">
        <v>6.5</v>
      </c>
      <c r="T19">
        <v>25.8</v>
      </c>
      <c r="U19">
        <v>23.3</v>
      </c>
      <c r="V19">
        <v>15.2</v>
      </c>
      <c r="W19" s="71"/>
      <c r="X19" s="6"/>
      <c r="Y19" s="6"/>
      <c r="Z19" s="6"/>
      <c r="AA19" s="6"/>
      <c r="AB19" s="6"/>
      <c r="AC19" s="6"/>
      <c r="AD19" s="6"/>
      <c r="AE19" s="6"/>
      <c r="AF19" s="6"/>
      <c r="AG19" s="6"/>
      <c r="AH19" s="6"/>
      <c r="AI19" s="6"/>
      <c r="AJ19" s="6"/>
    </row>
    <row r="20" spans="1:44" ht="15.5" x14ac:dyDescent="0.35">
      <c r="A20" s="67" t="s">
        <v>44</v>
      </c>
      <c r="C20">
        <v>6.25</v>
      </c>
      <c r="D20">
        <v>26.18</v>
      </c>
      <c r="E20">
        <v>32</v>
      </c>
      <c r="F20">
        <v>69.5</v>
      </c>
      <c r="G20">
        <v>36.85</v>
      </c>
      <c r="H20">
        <v>91.4</v>
      </c>
      <c r="I20">
        <v>16.399999999999999</v>
      </c>
      <c r="J20">
        <v>5.8</v>
      </c>
      <c r="K20">
        <v>7.7</v>
      </c>
      <c r="L20">
        <v>95.9</v>
      </c>
      <c r="M20">
        <v>69.7</v>
      </c>
      <c r="N20">
        <v>43.7</v>
      </c>
      <c r="O20">
        <v>37.700000000000003</v>
      </c>
      <c r="P20">
        <v>15.2</v>
      </c>
      <c r="Q20">
        <v>75.5</v>
      </c>
      <c r="R20">
        <v>28.7</v>
      </c>
      <c r="S20">
        <v>20.7</v>
      </c>
      <c r="T20">
        <v>73.900000000000006</v>
      </c>
      <c r="U20">
        <v>80.400000000000006</v>
      </c>
      <c r="V20">
        <v>22.8</v>
      </c>
      <c r="W20" s="71" t="s">
        <v>53</v>
      </c>
      <c r="X20" s="6"/>
      <c r="Y20" s="6">
        <f>LN(C17)</f>
        <v>5.2566095631482463</v>
      </c>
      <c r="Z20" s="6">
        <f t="shared" ref="Z20:AR20" si="10">LN(D17)</f>
        <v>5.2021368080740675</v>
      </c>
      <c r="AA20" s="6">
        <f t="shared" si="10"/>
        <v>5.3322355847514977</v>
      </c>
      <c r="AB20" s="6">
        <f t="shared" si="10"/>
        <v>4.5247190615904644</v>
      </c>
      <c r="AC20" s="6">
        <f t="shared" si="10"/>
        <v>4.0673158898341812</v>
      </c>
      <c r="AD20" s="6">
        <f t="shared" si="10"/>
        <v>3.4307561839036995</v>
      </c>
      <c r="AE20" s="6">
        <f t="shared" si="10"/>
        <v>3.6635616461296463</v>
      </c>
      <c r="AF20" s="6">
        <f t="shared" si="10"/>
        <v>3.5553480614894135</v>
      </c>
      <c r="AG20" s="6">
        <f t="shared" si="10"/>
        <v>3.8372994592322094</v>
      </c>
      <c r="AH20" s="6">
        <f t="shared" si="10"/>
        <v>3.7471483622379123</v>
      </c>
      <c r="AI20" s="6">
        <f t="shared" si="10"/>
        <v>4.1303549997451334</v>
      </c>
      <c r="AJ20" s="6">
        <f t="shared" si="10"/>
        <v>3.9318256327243257</v>
      </c>
      <c r="AK20" s="6">
        <f t="shared" si="10"/>
        <v>4.133565275375382</v>
      </c>
      <c r="AL20" s="6">
        <f t="shared" si="10"/>
        <v>3.6963514689526371</v>
      </c>
      <c r="AM20" s="6">
        <f t="shared" si="10"/>
        <v>3.824284091120139</v>
      </c>
      <c r="AN20" s="6">
        <f t="shared" si="10"/>
        <v>3.2386784521643803</v>
      </c>
      <c r="AO20" s="6">
        <f t="shared" si="10"/>
        <v>3.3534067178258069</v>
      </c>
      <c r="AP20" s="6">
        <f t="shared" si="10"/>
        <v>4.1174098351530963</v>
      </c>
      <c r="AQ20" s="6">
        <f t="shared" si="10"/>
        <v>3.8938590348004749</v>
      </c>
      <c r="AR20" s="6">
        <f t="shared" si="10"/>
        <v>3.6584202466292277</v>
      </c>
    </row>
    <row r="21" spans="1:44" ht="15.5" x14ac:dyDescent="0.35">
      <c r="A21" s="67" t="s">
        <v>39</v>
      </c>
      <c r="C21">
        <v>2.0299999999999998</v>
      </c>
      <c r="D21">
        <v>2.12</v>
      </c>
      <c r="E21">
        <v>2.23</v>
      </c>
      <c r="F21">
        <v>1.7</v>
      </c>
      <c r="G21">
        <v>1.24</v>
      </c>
      <c r="H21">
        <v>2.5329999999999999</v>
      </c>
      <c r="I21">
        <v>1.4</v>
      </c>
      <c r="J21">
        <v>1.7</v>
      </c>
      <c r="K21">
        <v>1.8</v>
      </c>
      <c r="L21">
        <v>2.31</v>
      </c>
      <c r="M21">
        <v>2.2999999999999998</v>
      </c>
      <c r="N21">
        <v>2.7</v>
      </c>
      <c r="O21">
        <v>1.6</v>
      </c>
      <c r="P21">
        <v>2</v>
      </c>
      <c r="Q21">
        <v>1.5</v>
      </c>
      <c r="R21">
        <v>2.4</v>
      </c>
      <c r="S21">
        <v>2.5</v>
      </c>
      <c r="T21">
        <v>1.5</v>
      </c>
      <c r="U21">
        <v>1.8</v>
      </c>
      <c r="V21">
        <v>1.6</v>
      </c>
      <c r="W21" s="71"/>
      <c r="X21" s="6"/>
      <c r="Y21" s="6">
        <f>20.02*Y20</f>
        <v>105.23732345422789</v>
      </c>
      <c r="Z21" s="6">
        <f t="shared" ref="Z21:AN21" si="11">20.02*Z20</f>
        <v>104.14677889764283</v>
      </c>
      <c r="AA21" s="6">
        <f t="shared" si="11"/>
        <v>106.75135640672498</v>
      </c>
      <c r="AB21" s="6">
        <f t="shared" si="11"/>
        <v>90.584875613041092</v>
      </c>
      <c r="AC21" s="6">
        <f t="shared" si="11"/>
        <v>81.427664114480308</v>
      </c>
      <c r="AD21" s="6">
        <f t="shared" si="11"/>
        <v>68.683738801752057</v>
      </c>
      <c r="AE21" s="6">
        <f t="shared" si="11"/>
        <v>73.344504155515523</v>
      </c>
      <c r="AF21" s="6">
        <f t="shared" si="11"/>
        <v>71.178068191018056</v>
      </c>
      <c r="AG21" s="6">
        <f t="shared" si="11"/>
        <v>76.822735173828832</v>
      </c>
      <c r="AH21" s="6">
        <f t="shared" si="11"/>
        <v>75.017910212003002</v>
      </c>
      <c r="AI21" s="6">
        <f t="shared" si="11"/>
        <v>82.689707094897571</v>
      </c>
      <c r="AJ21" s="6">
        <f t="shared" si="11"/>
        <v>78.715149167140993</v>
      </c>
      <c r="AK21" s="6">
        <f t="shared" si="11"/>
        <v>82.753976813015143</v>
      </c>
      <c r="AL21" s="6">
        <f t="shared" si="11"/>
        <v>74.00095640843179</v>
      </c>
      <c r="AM21" s="6">
        <f t="shared" si="11"/>
        <v>76.562167504225187</v>
      </c>
      <c r="AN21" s="6">
        <f t="shared" si="11"/>
        <v>64.838342612330891</v>
      </c>
      <c r="AO21" s="6">
        <f>20.02*AO20</f>
        <v>67.135202490872658</v>
      </c>
      <c r="AP21" s="6">
        <f>20.02*AP20</f>
        <v>82.430544899764982</v>
      </c>
      <c r="AQ21" s="6">
        <f>20.02*AQ20</f>
        <v>77.95505787670551</v>
      </c>
      <c r="AR21" s="6">
        <f>20.02*AR20</f>
        <v>73.241573337517138</v>
      </c>
    </row>
    <row r="22" spans="1:44" ht="15.5" x14ac:dyDescent="0.35">
      <c r="W22" s="71"/>
      <c r="X22" s="6"/>
      <c r="Y22" s="6"/>
      <c r="Z22" s="6"/>
      <c r="AA22" s="6"/>
      <c r="AB22" s="6"/>
      <c r="AC22" s="6"/>
      <c r="AD22" s="6"/>
      <c r="AE22" s="6"/>
      <c r="AF22" s="6"/>
      <c r="AG22" s="6"/>
      <c r="AH22" s="6"/>
      <c r="AI22" s="6"/>
      <c r="AJ22" s="6"/>
    </row>
    <row r="23" spans="1:44" ht="15.5" x14ac:dyDescent="0.35">
      <c r="W23" s="71" t="s">
        <v>54</v>
      </c>
      <c r="X23" s="6"/>
      <c r="Y23" s="6">
        <f>LN(1/C21-0.08)</f>
        <v>-0.88525041247950575</v>
      </c>
      <c r="Z23" s="6">
        <f t="shared" ref="Z23:AN23" si="12">LN(1/D21-0.08)</f>
        <v>-0.93726385525443412</v>
      </c>
      <c r="AA23" s="6">
        <f t="shared" si="12"/>
        <v>-0.998503205839816</v>
      </c>
      <c r="AB23" s="6">
        <f t="shared" si="12"/>
        <v>-0.67681076124025175</v>
      </c>
      <c r="AC23" s="6">
        <f t="shared" si="12"/>
        <v>-0.31958340121365647</v>
      </c>
      <c r="AD23" s="6">
        <f t="shared" si="12"/>
        <v>-1.1558533793424743</v>
      </c>
      <c r="AE23" s="6">
        <f t="shared" si="12"/>
        <v>-0.45525577261117983</v>
      </c>
      <c r="AF23" s="6">
        <f t="shared" si="12"/>
        <v>-0.67681076124025175</v>
      </c>
      <c r="AG23" s="6">
        <f t="shared" si="12"/>
        <v>-0.74327156774251391</v>
      </c>
      <c r="AH23" s="6">
        <f t="shared" si="12"/>
        <v>-1.0415693216073243</v>
      </c>
      <c r="AI23" s="6">
        <f t="shared" si="12"/>
        <v>-1.0362500469531339</v>
      </c>
      <c r="AJ23" s="6">
        <f t="shared" si="12"/>
        <v>-1.2365980316420127</v>
      </c>
      <c r="AK23" s="6">
        <f t="shared" si="12"/>
        <v>-0.60696948431889286</v>
      </c>
      <c r="AL23" s="6">
        <f t="shared" si="12"/>
        <v>-0.86750056770472306</v>
      </c>
      <c r="AM23" s="6">
        <f t="shared" si="12"/>
        <v>-0.53329847961804933</v>
      </c>
      <c r="AN23" s="6">
        <f t="shared" si="12"/>
        <v>-1.0886619578149417</v>
      </c>
      <c r="AO23" s="6">
        <f>LN(1/S21-0.08)</f>
        <v>-1.1394342831883648</v>
      </c>
      <c r="AP23" s="6">
        <f>LN(1/T21-0.08)</f>
        <v>-0.53329847961804933</v>
      </c>
      <c r="AQ23" s="6">
        <f>LN(1/U21-0.08)</f>
        <v>-0.74327156774251391</v>
      </c>
      <c r="AR23" s="6">
        <f>LN(1/V21-0.08)</f>
        <v>-0.60696948431889286</v>
      </c>
    </row>
    <row r="24" spans="1:44" ht="15.5" x14ac:dyDescent="0.35">
      <c r="W24" s="71"/>
      <c r="X24" s="6"/>
      <c r="Y24" s="6">
        <f>75.3+19.46*Y23</f>
        <v>58.073026973148814</v>
      </c>
      <c r="Z24" s="6">
        <f t="shared" ref="Z24:AN24" si="13">75.3+19.46*Z23</f>
        <v>57.060845376748709</v>
      </c>
      <c r="AA24" s="6">
        <f t="shared" si="13"/>
        <v>55.869127614357176</v>
      </c>
      <c r="AB24" s="6">
        <f t="shared" si="13"/>
        <v>62.129262586264701</v>
      </c>
      <c r="AC24" s="6">
        <f t="shared" si="13"/>
        <v>69.080907012382241</v>
      </c>
      <c r="AD24" s="6">
        <f t="shared" si="13"/>
        <v>52.807093237995446</v>
      </c>
      <c r="AE24" s="6">
        <f t="shared" si="13"/>
        <v>66.440722664986438</v>
      </c>
      <c r="AF24" s="6">
        <f t="shared" si="13"/>
        <v>62.129262586264701</v>
      </c>
      <c r="AG24" s="6">
        <f t="shared" si="13"/>
        <v>60.835935291730678</v>
      </c>
      <c r="AH24" s="6">
        <f t="shared" si="13"/>
        <v>55.031061001521465</v>
      </c>
      <c r="AI24" s="6">
        <f t="shared" si="13"/>
        <v>55.134574086292005</v>
      </c>
      <c r="AJ24" s="6">
        <f t="shared" si="13"/>
        <v>51.235802304246434</v>
      </c>
      <c r="AK24" s="6">
        <f t="shared" si="13"/>
        <v>63.488373835154341</v>
      </c>
      <c r="AL24" s="6">
        <f t="shared" si="13"/>
        <v>58.41843895246609</v>
      </c>
      <c r="AM24" s="6">
        <f t="shared" si="13"/>
        <v>64.922011586632749</v>
      </c>
      <c r="AN24" s="6">
        <f t="shared" si="13"/>
        <v>54.114638300921229</v>
      </c>
      <c r="AO24" s="6">
        <f>75.3+19.46*AO23</f>
        <v>53.126608849154415</v>
      </c>
      <c r="AP24" s="6">
        <f>75.3+19.46*AP23</f>
        <v>64.922011586632749</v>
      </c>
      <c r="AQ24" s="6">
        <f>75.3+19.46*AQ23</f>
        <v>60.835935291730678</v>
      </c>
      <c r="AR24" s="6">
        <f>75.3+19.46*AR23</f>
        <v>63.488373835154341</v>
      </c>
    </row>
    <row r="25" spans="1:44" ht="15.5" x14ac:dyDescent="0.35">
      <c r="W25" s="71"/>
      <c r="X25" s="6"/>
      <c r="Y25" s="6"/>
      <c r="Z25" s="6"/>
      <c r="AA25" s="6"/>
      <c r="AB25" s="6"/>
      <c r="AC25" s="6"/>
      <c r="AD25" s="6"/>
      <c r="AE25" s="6"/>
      <c r="AF25" s="6"/>
      <c r="AG25" s="6"/>
      <c r="AH25" s="6"/>
      <c r="AI25" s="6"/>
      <c r="AJ25" s="6"/>
      <c r="AK25" s="6"/>
      <c r="AL25" s="6"/>
      <c r="AM25" s="6"/>
    </row>
    <row r="26" spans="1:44" ht="15.5" x14ac:dyDescent="0.35">
      <c r="W26" s="71" t="s">
        <v>161</v>
      </c>
      <c r="X26" s="6"/>
      <c r="Y26" s="6">
        <f>LN(C18)</f>
        <v>5.4559192270515267</v>
      </c>
      <c r="Z26" s="6">
        <f t="shared" ref="Z26:AR26" si="14">LN(D18)</f>
        <v>4.8918517581062888</v>
      </c>
      <c r="AA26" s="6">
        <f t="shared" si="14"/>
        <v>5.2911416827989415</v>
      </c>
      <c r="AB26" s="6">
        <f t="shared" si="14"/>
        <v>5.054333149361975</v>
      </c>
      <c r="AC26" s="6">
        <f t="shared" si="14"/>
        <v>5.6508386961617774</v>
      </c>
      <c r="AD26" s="6">
        <f t="shared" si="14"/>
        <v>5.8301213966992194</v>
      </c>
      <c r="AE26" s="6">
        <f t="shared" si="14"/>
        <v>5.7134027180331914</v>
      </c>
      <c r="AF26" s="6">
        <f t="shared" si="14"/>
        <v>5.4293456289544411</v>
      </c>
      <c r="AG26" s="6">
        <f t="shared" si="14"/>
        <v>5.3033049080590757</v>
      </c>
      <c r="AH26" s="6">
        <f t="shared" si="14"/>
        <v>5.8493247799468593</v>
      </c>
      <c r="AI26" s="6">
        <f t="shared" si="14"/>
        <v>5.3375380797013179</v>
      </c>
      <c r="AJ26" s="6">
        <f t="shared" si="14"/>
        <v>5.1416635565026603</v>
      </c>
      <c r="AK26" s="6">
        <f t="shared" si="14"/>
        <v>4.7957905455967413</v>
      </c>
      <c r="AL26" s="6">
        <f t="shared" si="14"/>
        <v>5.1647859739235145</v>
      </c>
      <c r="AM26" s="6">
        <f t="shared" si="14"/>
        <v>5.0106352940962555</v>
      </c>
      <c r="AN26" s="6">
        <f t="shared" si="14"/>
        <v>2.4849066497880004</v>
      </c>
      <c r="AO26" s="6">
        <f t="shared" si="14"/>
        <v>4.9767337424205742</v>
      </c>
      <c r="AP26" s="6">
        <f t="shared" si="14"/>
        <v>4.3694478524670215</v>
      </c>
      <c r="AQ26" s="6">
        <f t="shared" si="14"/>
        <v>5.1929568508902104</v>
      </c>
      <c r="AR26" s="6">
        <f t="shared" si="14"/>
        <v>4.7184988712950942</v>
      </c>
    </row>
    <row r="27" spans="1:44" ht="15.5" x14ac:dyDescent="0.35">
      <c r="W27" s="71"/>
      <c r="X27" s="6"/>
      <c r="Y27" s="6">
        <f>20.02*Y26</f>
        <v>109.22750292557156</v>
      </c>
      <c r="Z27" s="6">
        <f t="shared" ref="Z27:AN27" si="15">20.02*Z26</f>
        <v>97.934872197287902</v>
      </c>
      <c r="AA27" s="6">
        <f t="shared" si="15"/>
        <v>105.9286564896348</v>
      </c>
      <c r="AB27" s="6">
        <f t="shared" si="15"/>
        <v>101.18774965022673</v>
      </c>
      <c r="AC27" s="6">
        <f t="shared" si="15"/>
        <v>113.12979069715878</v>
      </c>
      <c r="AD27" s="6">
        <f t="shared" si="15"/>
        <v>116.71903036191837</v>
      </c>
      <c r="AE27" s="6">
        <f t="shared" si="15"/>
        <v>114.38232241502449</v>
      </c>
      <c r="AF27" s="6">
        <f t="shared" si="15"/>
        <v>108.6954994916679</v>
      </c>
      <c r="AG27" s="6">
        <f t="shared" si="15"/>
        <v>106.17216425934269</v>
      </c>
      <c r="AH27" s="6">
        <f t="shared" si="15"/>
        <v>117.10348209453612</v>
      </c>
      <c r="AI27" s="6">
        <f t="shared" si="15"/>
        <v>106.85751235562039</v>
      </c>
      <c r="AJ27" s="6">
        <f t="shared" si="15"/>
        <v>102.93610440118326</v>
      </c>
      <c r="AK27" s="6">
        <f t="shared" si="15"/>
        <v>96.01172672284676</v>
      </c>
      <c r="AL27" s="6">
        <f t="shared" si="15"/>
        <v>103.39901519794876</v>
      </c>
      <c r="AM27" s="6">
        <f t="shared" si="15"/>
        <v>100.31291858780703</v>
      </c>
      <c r="AN27" s="6">
        <f t="shared" si="15"/>
        <v>49.747831128755763</v>
      </c>
      <c r="AO27" s="6">
        <f>20.02*AO26</f>
        <v>99.634209523259898</v>
      </c>
      <c r="AP27" s="6">
        <f>20.02*AP26</f>
        <v>87.476346006389775</v>
      </c>
      <c r="AQ27" s="6">
        <f>20.02*AQ26</f>
        <v>103.96299615482201</v>
      </c>
      <c r="AR27" s="6">
        <f>20.02*AR26</f>
        <v>94.464347403327778</v>
      </c>
    </row>
    <row r="28" spans="1:44" ht="15.5" x14ac:dyDescent="0.35">
      <c r="W28" s="71"/>
      <c r="X28" s="6"/>
      <c r="Y28" s="6"/>
      <c r="Z28" s="6"/>
      <c r="AA28" s="6"/>
      <c r="AB28" s="6"/>
      <c r="AC28" s="6"/>
      <c r="AD28" s="6"/>
      <c r="AE28" s="6"/>
      <c r="AF28" s="6"/>
      <c r="AG28" s="6"/>
      <c r="AH28" s="6"/>
      <c r="AI28" s="6"/>
      <c r="AJ28" s="6"/>
    </row>
    <row r="29" spans="1:44" ht="15.5" x14ac:dyDescent="0.35">
      <c r="W29" s="71" t="s">
        <v>55</v>
      </c>
      <c r="X29" s="6"/>
      <c r="Y29" s="3">
        <f>+(Y18+Y21+Y24)/3</f>
        <v>67.754873325660085</v>
      </c>
      <c r="Z29" s="3">
        <f t="shared" ref="Z29:AL29" si="16">+(Z18+Z21+Z24)/3</f>
        <v>72.257719368124526</v>
      </c>
      <c r="AA29" s="3">
        <f t="shared" si="16"/>
        <v>73.693971586664645</v>
      </c>
      <c r="AB29" s="3">
        <f t="shared" si="16"/>
        <v>73.305349075233849</v>
      </c>
      <c r="AC29" s="3">
        <f t="shared" si="16"/>
        <v>68.344563008793031</v>
      </c>
      <c r="AD29" s="3">
        <f t="shared" si="16"/>
        <v>62.401251888046602</v>
      </c>
      <c r="AE29" s="3">
        <f t="shared" si="16"/>
        <v>61.874132788923504</v>
      </c>
      <c r="AF29" s="3">
        <f t="shared" si="16"/>
        <v>55.858838263064335</v>
      </c>
      <c r="AG29" s="3">
        <f t="shared" si="16"/>
        <v>57.991162971087057</v>
      </c>
      <c r="AH29" s="3">
        <f t="shared" si="16"/>
        <v>62.90310055252818</v>
      </c>
      <c r="AI29" s="3">
        <f t="shared" si="16"/>
        <v>67.782742418058078</v>
      </c>
      <c r="AJ29" s="3">
        <f t="shared" si="16"/>
        <v>64.454701549398621</v>
      </c>
      <c r="AK29" s="3">
        <f t="shared" si="16"/>
        <v>69.438868201608258</v>
      </c>
      <c r="AL29" s="3">
        <f t="shared" si="16"/>
        <v>61.093049812838039</v>
      </c>
      <c r="AM29" s="3">
        <f>+(AM18+AM21+AM24)/3</f>
        <v>67.002364078619777</v>
      </c>
      <c r="AN29" s="3">
        <f>+(AN18+AN21+AN24)/3</f>
        <v>58.719902531991146</v>
      </c>
      <c r="AO29" s="3">
        <f>+(AO18+AO21+AO24)/3</f>
        <v>55.75106624364934</v>
      </c>
      <c r="AP29" s="3">
        <f>AVERAGE(Y29:AN29)</f>
        <v>65.304786963789965</v>
      </c>
      <c r="AQ29" s="3">
        <f>AVERAGE(Z29:AO29)</f>
        <v>64.554549021164291</v>
      </c>
      <c r="AR29" s="3">
        <f>AVERAGE(AA29:AP29)</f>
        <v>64.119990745893389</v>
      </c>
    </row>
    <row r="30" spans="1:44" ht="13" x14ac:dyDescent="0.3">
      <c r="W30" s="67"/>
      <c r="X30" s="6"/>
      <c r="Y30" s="668" t="s">
        <v>116</v>
      </c>
      <c r="Z30" s="668" t="s">
        <v>117</v>
      </c>
      <c r="AA30" s="668" t="s">
        <v>117</v>
      </c>
      <c r="AB30" s="668" t="s">
        <v>117</v>
      </c>
      <c r="AC30" s="668" t="s">
        <v>116</v>
      </c>
      <c r="AD30" s="668" t="s">
        <v>118</v>
      </c>
      <c r="AE30" s="668" t="s">
        <v>118</v>
      </c>
      <c r="AF30" s="668" t="s">
        <v>118</v>
      </c>
      <c r="AG30" s="668" t="s">
        <v>118</v>
      </c>
      <c r="AH30" s="668" t="s">
        <v>118</v>
      </c>
      <c r="AI30" s="668" t="s">
        <v>116</v>
      </c>
      <c r="AJ30" s="668" t="s">
        <v>118</v>
      </c>
      <c r="AK30" s="668" t="s">
        <v>116</v>
      </c>
      <c r="AL30" s="667" t="s">
        <v>118</v>
      </c>
      <c r="AM30" s="668" t="s">
        <v>116</v>
      </c>
      <c r="AN30" s="668" t="s">
        <v>118</v>
      </c>
      <c r="AO30" s="668" t="s">
        <v>118</v>
      </c>
      <c r="AP30" s="668" t="s">
        <v>118</v>
      </c>
      <c r="AQ30" s="668" t="s">
        <v>770</v>
      </c>
      <c r="AR30" s="699" t="s">
        <v>770</v>
      </c>
    </row>
    <row r="31" spans="1:44" x14ac:dyDescent="0.25">
      <c r="X31" s="6"/>
      <c r="Y31" s="76">
        <v>1991</v>
      </c>
      <c r="Z31" s="76">
        <v>1992</v>
      </c>
      <c r="AA31" s="76">
        <v>1993</v>
      </c>
      <c r="AB31" s="76">
        <v>1994</v>
      </c>
      <c r="AC31" s="76">
        <v>1995</v>
      </c>
      <c r="AD31" s="76">
        <v>1996</v>
      </c>
      <c r="AE31" s="76">
        <v>1997</v>
      </c>
      <c r="AF31" s="76">
        <v>1998</v>
      </c>
      <c r="AG31" s="76">
        <v>1999</v>
      </c>
      <c r="AH31" s="76">
        <v>2000</v>
      </c>
      <c r="AI31" s="76">
        <v>2001</v>
      </c>
      <c r="AJ31" s="76">
        <v>2002</v>
      </c>
      <c r="AK31" s="76">
        <v>2003</v>
      </c>
      <c r="AL31" s="76">
        <v>2004</v>
      </c>
      <c r="AM31" s="76">
        <v>2005</v>
      </c>
      <c r="AN31" s="76">
        <v>2006</v>
      </c>
      <c r="AO31" s="76">
        <v>2007</v>
      </c>
      <c r="AP31" s="76">
        <v>2008</v>
      </c>
      <c r="AQ31" s="76">
        <v>2009</v>
      </c>
      <c r="AR31" s="76">
        <v>2010</v>
      </c>
    </row>
    <row r="52" spans="1:7" ht="15.5" x14ac:dyDescent="0.45">
      <c r="A52" s="832" t="s">
        <v>179</v>
      </c>
      <c r="B52" s="832"/>
      <c r="C52" s="832"/>
      <c r="D52" s="832"/>
      <c r="E52" s="832"/>
      <c r="G52" s="70" t="s">
        <v>127</v>
      </c>
    </row>
    <row r="53" spans="1:7" ht="15.5" x14ac:dyDescent="0.45">
      <c r="A53" s="1" t="s">
        <v>68</v>
      </c>
      <c r="B53" s="834" t="s">
        <v>119</v>
      </c>
      <c r="C53" s="834"/>
      <c r="D53" s="834"/>
      <c r="E53" s="834"/>
      <c r="G53" s="70" t="s">
        <v>80</v>
      </c>
    </row>
    <row r="54" spans="1:7" ht="15.5" x14ac:dyDescent="0.45">
      <c r="A54" s="1" t="s">
        <v>69</v>
      </c>
      <c r="B54" s="834" t="s">
        <v>70</v>
      </c>
      <c r="C54" s="834"/>
      <c r="D54" s="834"/>
      <c r="E54" s="834"/>
      <c r="G54" s="70" t="s">
        <v>125</v>
      </c>
    </row>
    <row r="55" spans="1:7" ht="15.5" x14ac:dyDescent="0.45">
      <c r="A55" s="1" t="s">
        <v>114</v>
      </c>
      <c r="B55" s="834" t="s">
        <v>115</v>
      </c>
      <c r="C55" s="834"/>
      <c r="D55" s="834"/>
      <c r="E55" s="834"/>
      <c r="G55" s="70" t="s">
        <v>126</v>
      </c>
    </row>
    <row r="56" spans="1:7" ht="13" x14ac:dyDescent="0.3">
      <c r="A56" s="1" t="s">
        <v>71</v>
      </c>
      <c r="B56" s="834" t="s">
        <v>72</v>
      </c>
      <c r="C56" s="834"/>
      <c r="D56" s="834"/>
      <c r="E56" s="834"/>
    </row>
    <row r="57" spans="1:7" ht="13" x14ac:dyDescent="0.3">
      <c r="A57" s="1" t="s">
        <v>112</v>
      </c>
      <c r="B57" s="834" t="s">
        <v>113</v>
      </c>
      <c r="C57" s="834"/>
      <c r="D57" s="834"/>
      <c r="E57" s="834"/>
    </row>
    <row r="58" spans="1:7" ht="13" x14ac:dyDescent="0.3">
      <c r="A58" s="1" t="s">
        <v>73</v>
      </c>
      <c r="B58" s="834" t="s">
        <v>74</v>
      </c>
      <c r="C58" s="834"/>
      <c r="D58" s="834"/>
      <c r="E58" s="834"/>
    </row>
    <row r="59" spans="1:7" ht="13" x14ac:dyDescent="0.3">
      <c r="A59" s="1" t="s">
        <v>96</v>
      </c>
      <c r="B59" s="834" t="s">
        <v>97</v>
      </c>
      <c r="C59" s="834"/>
      <c r="D59" s="834"/>
      <c r="E59" s="834"/>
    </row>
    <row r="60" spans="1:7" ht="13" x14ac:dyDescent="0.3">
      <c r="A60" s="832" t="s">
        <v>75</v>
      </c>
      <c r="B60" s="832"/>
      <c r="C60" s="832"/>
      <c r="D60" s="832"/>
      <c r="E60" s="832"/>
    </row>
    <row r="61" spans="1:7" ht="13" x14ac:dyDescent="0.3">
      <c r="A61" s="1" t="s">
        <v>76</v>
      </c>
      <c r="B61" s="1" t="s">
        <v>72</v>
      </c>
    </row>
    <row r="88" spans="1:1" x14ac:dyDescent="0.25">
      <c r="A88" s="21"/>
    </row>
    <row r="89" spans="1:1" x14ac:dyDescent="0.25">
      <c r="A89" s="21"/>
    </row>
    <row r="90" spans="1:1" x14ac:dyDescent="0.25">
      <c r="A90" s="21"/>
    </row>
  </sheetData>
  <mergeCells count="13">
    <mergeCell ref="B53:E53"/>
    <mergeCell ref="W1:AJ1"/>
    <mergeCell ref="A2:N2"/>
    <mergeCell ref="A15:N15"/>
    <mergeCell ref="W15:AJ15"/>
    <mergeCell ref="A52:E52"/>
    <mergeCell ref="B54:E54"/>
    <mergeCell ref="B55:E55"/>
    <mergeCell ref="A60:E60"/>
    <mergeCell ref="B56:E56"/>
    <mergeCell ref="B57:E57"/>
    <mergeCell ref="B58:E58"/>
    <mergeCell ref="B59:E59"/>
  </mergeCells>
  <phoneticPr fontId="8" type="noConversion"/>
  <pageMargins left="0.75" right="0.75" top="1" bottom="1"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06"/>
  <sheetViews>
    <sheetView zoomScale="84" zoomScaleNormal="84" workbookViewId="0">
      <selection activeCell="B27" sqref="B27:M27"/>
    </sheetView>
  </sheetViews>
  <sheetFormatPr defaultRowHeight="13" x14ac:dyDescent="0.3"/>
  <cols>
    <col min="1" max="1" width="22.453125" style="1" bestFit="1" customWidth="1"/>
    <col min="2" max="2" width="12.90625" customWidth="1"/>
    <col min="3" max="3" width="14.08984375" customWidth="1"/>
    <col min="4" max="5" width="11.6328125" bestFit="1" customWidth="1"/>
    <col min="6" max="6" width="11.90625" bestFit="1" customWidth="1"/>
    <col min="7" max="7" width="11.08984375" bestFit="1" customWidth="1"/>
    <col min="8" max="8" width="10.6328125" bestFit="1" customWidth="1"/>
    <col min="9" max="9" width="10.54296875" bestFit="1" customWidth="1"/>
    <col min="10" max="10" width="11" bestFit="1" customWidth="1"/>
    <col min="11" max="11" width="11.6328125" bestFit="1" customWidth="1"/>
    <col min="12" max="12" width="11" bestFit="1" customWidth="1"/>
    <col min="13" max="13" width="12.54296875" customWidth="1"/>
    <col min="14" max="14" width="13.6328125" customWidth="1"/>
    <col min="15" max="15" width="13.08984375" customWidth="1"/>
    <col min="16" max="16" width="11.90625" customWidth="1"/>
    <col min="17" max="17" width="10.6328125" bestFit="1" customWidth="1"/>
    <col min="18" max="18" width="10.453125" bestFit="1" customWidth="1"/>
    <col min="19" max="19" width="10.36328125" bestFit="1" customWidth="1"/>
    <col min="20" max="20" width="11.453125" bestFit="1" customWidth="1"/>
    <col min="21" max="21" width="9.6328125" bestFit="1" customWidth="1"/>
    <col min="22" max="22" width="10.90625" bestFit="1" customWidth="1"/>
    <col min="23" max="23" width="10" bestFit="1" customWidth="1"/>
    <col min="24" max="24" width="10.453125" bestFit="1" customWidth="1"/>
    <col min="25" max="25" width="11" bestFit="1" customWidth="1"/>
    <col min="26" max="26" width="11.36328125" bestFit="1" customWidth="1"/>
    <col min="27" max="27" width="12" customWidth="1"/>
    <col min="28" max="28" width="12.08984375" customWidth="1"/>
    <col min="29" max="34" width="9.36328125" bestFit="1" customWidth="1"/>
    <col min="35" max="35" width="9.90625" bestFit="1" customWidth="1"/>
  </cols>
  <sheetData>
    <row r="1" spans="1:19" x14ac:dyDescent="0.3">
      <c r="A1" s="832" t="s">
        <v>759</v>
      </c>
      <c r="B1" s="832"/>
      <c r="C1" s="832"/>
      <c r="D1" s="832"/>
      <c r="E1" s="832"/>
      <c r="F1" s="832"/>
      <c r="G1" s="832"/>
      <c r="H1" s="832"/>
      <c r="I1" s="832"/>
      <c r="J1" s="832"/>
      <c r="K1" s="832"/>
      <c r="L1" s="832"/>
      <c r="M1" s="832"/>
      <c r="N1" s="832"/>
      <c r="O1" s="832"/>
      <c r="P1" s="832"/>
    </row>
    <row r="2" spans="1:19" ht="15" customHeight="1" x14ac:dyDescent="0.3"/>
    <row r="3" spans="1:19" x14ac:dyDescent="0.3">
      <c r="B3" s="1" t="s">
        <v>210</v>
      </c>
    </row>
    <row r="4" spans="1:19" s="7" customFormat="1" x14ac:dyDescent="0.3">
      <c r="A4" s="114" t="s">
        <v>2</v>
      </c>
      <c r="B4" s="534">
        <v>40203</v>
      </c>
      <c r="C4" s="534">
        <v>40231</v>
      </c>
      <c r="D4" s="534">
        <v>40266</v>
      </c>
      <c r="E4" s="534">
        <v>40294</v>
      </c>
      <c r="F4" s="534">
        <v>40322</v>
      </c>
      <c r="G4" s="534">
        <v>40358</v>
      </c>
      <c r="H4" s="535">
        <v>40372</v>
      </c>
      <c r="I4" s="535">
        <v>40385</v>
      </c>
      <c r="J4" s="535">
        <v>40399</v>
      </c>
      <c r="K4" s="534">
        <v>40413</v>
      </c>
      <c r="L4" s="534">
        <v>40428</v>
      </c>
      <c r="M4" s="536">
        <v>40448</v>
      </c>
      <c r="N4" s="536">
        <v>40477</v>
      </c>
      <c r="O4" s="536">
        <v>40497</v>
      </c>
      <c r="P4" s="535">
        <v>40514</v>
      </c>
      <c r="R4" s="724"/>
      <c r="S4" s="724"/>
    </row>
    <row r="5" spans="1:19" s="4" customFormat="1" x14ac:dyDescent="0.3">
      <c r="A5" s="72" t="s">
        <v>31</v>
      </c>
      <c r="B5" s="723">
        <v>3.2</v>
      </c>
      <c r="C5" s="704">
        <v>1.8</v>
      </c>
      <c r="D5" s="704">
        <v>13.5</v>
      </c>
      <c r="E5" s="704">
        <v>164</v>
      </c>
      <c r="F5" s="704">
        <v>46</v>
      </c>
      <c r="G5" s="704">
        <v>9.1999999999999993</v>
      </c>
      <c r="H5" s="704">
        <v>4.0999999999999996</v>
      </c>
      <c r="I5" s="704">
        <v>2.9</v>
      </c>
      <c r="J5" s="704">
        <v>3.6</v>
      </c>
      <c r="K5" s="704">
        <v>2.2999999999999998</v>
      </c>
      <c r="L5" s="704">
        <v>1.2</v>
      </c>
      <c r="M5" s="704">
        <v>0.63</v>
      </c>
      <c r="N5" s="704">
        <v>5.2</v>
      </c>
      <c r="O5" s="704">
        <v>1.4</v>
      </c>
      <c r="P5" s="704">
        <v>1.1000000000000001</v>
      </c>
      <c r="Q5" s="684"/>
      <c r="R5" s="725"/>
      <c r="S5" s="725"/>
    </row>
    <row r="6" spans="1:19" s="4" customFormat="1" x14ac:dyDescent="0.3">
      <c r="A6" s="72" t="s">
        <v>32</v>
      </c>
      <c r="B6" s="723">
        <v>8.6999999999999993</v>
      </c>
      <c r="C6" s="704">
        <v>5.3</v>
      </c>
      <c r="D6" s="704">
        <v>35.299999999999997</v>
      </c>
      <c r="E6" s="704">
        <v>130</v>
      </c>
      <c r="F6" s="704">
        <v>140</v>
      </c>
      <c r="G6" s="704">
        <v>38.299999999999997</v>
      </c>
      <c r="H6" s="704">
        <v>22.2</v>
      </c>
      <c r="I6" s="704">
        <v>10.6</v>
      </c>
      <c r="J6" s="704">
        <v>36.799999999999997</v>
      </c>
      <c r="K6" s="704">
        <v>13.8</v>
      </c>
      <c r="L6" s="704">
        <v>6.47</v>
      </c>
      <c r="M6" s="704">
        <v>5.3</v>
      </c>
      <c r="N6" s="704">
        <v>17.3</v>
      </c>
      <c r="O6" s="704">
        <v>8.1999999999999993</v>
      </c>
      <c r="P6" s="704">
        <v>1.2</v>
      </c>
      <c r="Q6" s="684"/>
      <c r="R6" s="725"/>
      <c r="S6" s="725"/>
    </row>
    <row r="7" spans="1:19" s="4" customFormat="1" x14ac:dyDescent="0.3">
      <c r="A7" s="72" t="s">
        <v>34</v>
      </c>
      <c r="B7" s="723">
        <v>7.8</v>
      </c>
      <c r="C7" s="704">
        <v>7.9</v>
      </c>
      <c r="D7" s="704">
        <v>58.7</v>
      </c>
      <c r="E7" s="704">
        <v>150</v>
      </c>
      <c r="F7" s="704">
        <v>148</v>
      </c>
      <c r="G7" s="704">
        <v>70.7</v>
      </c>
      <c r="H7" s="704">
        <v>24.2</v>
      </c>
      <c r="I7" s="704">
        <v>14.9</v>
      </c>
      <c r="J7" s="704">
        <v>50</v>
      </c>
      <c r="K7" s="704">
        <v>20.100000000000001</v>
      </c>
      <c r="L7" s="704">
        <v>2.9</v>
      </c>
      <c r="M7" s="704">
        <v>3.2</v>
      </c>
      <c r="N7" s="704">
        <v>10</v>
      </c>
      <c r="O7" s="704">
        <v>3.9</v>
      </c>
      <c r="P7" s="704">
        <v>1.5</v>
      </c>
      <c r="Q7" s="685"/>
      <c r="R7" s="725"/>
      <c r="S7" s="725"/>
    </row>
    <row r="8" spans="1:19" x14ac:dyDescent="0.3">
      <c r="C8" s="686">
        <v>25</v>
      </c>
    </row>
    <row r="11" spans="1:19" x14ac:dyDescent="0.3">
      <c r="A11" s="73" t="s">
        <v>211</v>
      </c>
      <c r="B11" s="370" t="s">
        <v>81</v>
      </c>
      <c r="C11" s="370" t="s">
        <v>82</v>
      </c>
      <c r="D11" s="370" t="s">
        <v>83</v>
      </c>
      <c r="E11" s="370" t="s">
        <v>84</v>
      </c>
      <c r="F11" s="370" t="s">
        <v>85</v>
      </c>
      <c r="G11" s="370" t="s">
        <v>86</v>
      </c>
      <c r="H11" s="370" t="s">
        <v>87</v>
      </c>
      <c r="I11" s="370" t="s">
        <v>88</v>
      </c>
      <c r="J11" s="370" t="s">
        <v>89</v>
      </c>
      <c r="K11" s="370" t="s">
        <v>90</v>
      </c>
      <c r="L11" s="370" t="s">
        <v>91</v>
      </c>
      <c r="M11" s="370" t="s">
        <v>92</v>
      </c>
    </row>
    <row r="12" spans="1:19" ht="14" x14ac:dyDescent="0.3">
      <c r="A12" s="72" t="s">
        <v>31</v>
      </c>
      <c r="B12" s="722">
        <f>B5</f>
        <v>3.2</v>
      </c>
      <c r="C12" s="722">
        <f>C5</f>
        <v>1.8</v>
      </c>
      <c r="D12" s="722">
        <f>D5</f>
        <v>13.5</v>
      </c>
      <c r="E12" s="722">
        <v>50</v>
      </c>
      <c r="F12" s="722">
        <f>F5</f>
        <v>46</v>
      </c>
      <c r="G12" s="722">
        <f>G5</f>
        <v>9.1999999999999993</v>
      </c>
      <c r="H12" s="88">
        <f>AVERAGE(H5:I5)</f>
        <v>3.5</v>
      </c>
      <c r="I12" s="88">
        <f>AVERAGE(J5:K5)</f>
        <v>2.95</v>
      </c>
      <c r="J12" s="88">
        <f>AVERAGE(L5:M5)</f>
        <v>0.91500000000000004</v>
      </c>
      <c r="K12" s="371">
        <f>N5</f>
        <v>5.2</v>
      </c>
      <c r="L12" s="371">
        <f t="shared" ref="L12:M14" si="0">O5</f>
        <v>1.4</v>
      </c>
      <c r="M12" s="371">
        <f t="shared" si="0"/>
        <v>1.1000000000000001</v>
      </c>
    </row>
    <row r="13" spans="1:19" ht="14" x14ac:dyDescent="0.3">
      <c r="A13" s="72" t="s">
        <v>32</v>
      </c>
      <c r="B13" s="722">
        <v>10.6</v>
      </c>
      <c r="C13" s="722">
        <v>11.2</v>
      </c>
      <c r="D13" s="722">
        <v>13.7</v>
      </c>
      <c r="E13" s="722">
        <v>76.599999999999994</v>
      </c>
      <c r="F13" s="722">
        <v>101.6</v>
      </c>
      <c r="G13" s="722">
        <v>64.099999999999994</v>
      </c>
      <c r="H13" s="88">
        <f>AVERAGE(H6:I6)</f>
        <v>16.399999999999999</v>
      </c>
      <c r="I13" s="88">
        <f>AVERAGE(J6:K6)</f>
        <v>25.299999999999997</v>
      </c>
      <c r="J13" s="88">
        <f>AVERAGE(L6:M6)</f>
        <v>5.8849999999999998</v>
      </c>
      <c r="K13" s="371">
        <v>9.4</v>
      </c>
      <c r="L13" s="371">
        <v>4.3</v>
      </c>
      <c r="M13" s="371">
        <v>1.7</v>
      </c>
    </row>
    <row r="14" spans="1:19" ht="14" x14ac:dyDescent="0.3">
      <c r="A14" s="72" t="s">
        <v>34</v>
      </c>
      <c r="B14" s="722">
        <f t="shared" ref="B14:G14" si="1">B7</f>
        <v>7.8</v>
      </c>
      <c r="C14" s="722">
        <f t="shared" si="1"/>
        <v>7.9</v>
      </c>
      <c r="D14" s="722">
        <f t="shared" si="1"/>
        <v>58.7</v>
      </c>
      <c r="E14" s="722">
        <v>120</v>
      </c>
      <c r="F14" s="722">
        <f t="shared" si="1"/>
        <v>148</v>
      </c>
      <c r="G14" s="722">
        <f t="shared" si="1"/>
        <v>70.7</v>
      </c>
      <c r="H14" s="88">
        <f>AVERAGE(H7:I7)</f>
        <v>19.55</v>
      </c>
      <c r="I14" s="88">
        <f>AVERAGE(J7:K7)</f>
        <v>35.049999999999997</v>
      </c>
      <c r="J14" s="88">
        <f>AVERAGE(L7:M7)</f>
        <v>3.05</v>
      </c>
      <c r="K14" s="371">
        <f>N7</f>
        <v>10</v>
      </c>
      <c r="L14" s="371">
        <f t="shared" si="0"/>
        <v>3.9</v>
      </c>
      <c r="M14" s="371">
        <f t="shared" si="0"/>
        <v>1.5</v>
      </c>
    </row>
    <row r="16" spans="1:19" x14ac:dyDescent="0.3">
      <c r="A16" s="73" t="s">
        <v>135</v>
      </c>
      <c r="B16" s="73" t="s">
        <v>81</v>
      </c>
      <c r="C16" s="73" t="s">
        <v>82</v>
      </c>
      <c r="D16" s="73" t="s">
        <v>83</v>
      </c>
      <c r="E16" s="73" t="s">
        <v>84</v>
      </c>
      <c r="F16" s="73" t="s">
        <v>85</v>
      </c>
      <c r="G16" s="73" t="s">
        <v>86</v>
      </c>
      <c r="H16" s="73" t="s">
        <v>87</v>
      </c>
      <c r="I16" s="73" t="s">
        <v>88</v>
      </c>
      <c r="J16" s="73" t="s">
        <v>89</v>
      </c>
      <c r="K16" s="73" t="s">
        <v>90</v>
      </c>
      <c r="L16" s="73" t="s">
        <v>91</v>
      </c>
      <c r="M16" s="73" t="s">
        <v>92</v>
      </c>
    </row>
    <row r="17" spans="1:35" x14ac:dyDescent="0.3">
      <c r="A17" s="72" t="s">
        <v>31</v>
      </c>
      <c r="B17" s="74">
        <f>B12*1.983</f>
        <v>6.345600000000001</v>
      </c>
      <c r="C17" s="74">
        <f>C12*1.983</f>
        <v>3.5694000000000004</v>
      </c>
      <c r="D17" s="74">
        <f>D12*1.983</f>
        <v>26.770500000000002</v>
      </c>
      <c r="E17" s="74">
        <f t="shared" ref="E17:M19" si="2">E12*1.983</f>
        <v>99.15</v>
      </c>
      <c r="F17" s="74">
        <f t="shared" si="2"/>
        <v>91.218000000000004</v>
      </c>
      <c r="G17" s="74">
        <f t="shared" si="2"/>
        <v>18.243600000000001</v>
      </c>
      <c r="H17" s="74">
        <f t="shared" si="2"/>
        <v>6.9405000000000001</v>
      </c>
      <c r="I17" s="74">
        <f t="shared" si="2"/>
        <v>5.8498500000000009</v>
      </c>
      <c r="J17" s="74">
        <f t="shared" si="2"/>
        <v>1.8144450000000001</v>
      </c>
      <c r="K17" s="74">
        <f t="shared" si="2"/>
        <v>10.3116</v>
      </c>
      <c r="L17" s="74">
        <f t="shared" si="2"/>
        <v>2.7761999999999998</v>
      </c>
      <c r="M17" s="74">
        <f t="shared" si="2"/>
        <v>2.1813000000000002</v>
      </c>
    </row>
    <row r="18" spans="1:35" x14ac:dyDescent="0.3">
      <c r="A18" s="72" t="s">
        <v>32</v>
      </c>
      <c r="B18" s="74">
        <f t="shared" ref="B18:D19" si="3">B13*1.983</f>
        <v>21.0198</v>
      </c>
      <c r="C18" s="74">
        <f t="shared" si="3"/>
        <v>22.209599999999998</v>
      </c>
      <c r="D18" s="74">
        <f t="shared" si="3"/>
        <v>27.167100000000001</v>
      </c>
      <c r="E18" s="74">
        <f t="shared" si="2"/>
        <v>151.89779999999999</v>
      </c>
      <c r="F18" s="74">
        <f t="shared" si="2"/>
        <v>201.47280000000001</v>
      </c>
      <c r="G18" s="74">
        <f t="shared" si="2"/>
        <v>127.1103</v>
      </c>
      <c r="H18" s="74">
        <f t="shared" si="2"/>
        <v>32.5212</v>
      </c>
      <c r="I18" s="74">
        <f t="shared" si="2"/>
        <v>50.169899999999998</v>
      </c>
      <c r="J18" s="74">
        <f t="shared" si="2"/>
        <v>11.669955</v>
      </c>
      <c r="K18" s="74">
        <f t="shared" si="2"/>
        <v>18.6402</v>
      </c>
      <c r="L18" s="74">
        <f t="shared" si="2"/>
        <v>8.5268999999999995</v>
      </c>
      <c r="M18" s="74">
        <f t="shared" si="2"/>
        <v>3.3711000000000002</v>
      </c>
    </row>
    <row r="19" spans="1:35" x14ac:dyDescent="0.3">
      <c r="A19" s="72" t="s">
        <v>34</v>
      </c>
      <c r="B19" s="74">
        <f t="shared" si="3"/>
        <v>15.4674</v>
      </c>
      <c r="C19" s="74">
        <f t="shared" si="3"/>
        <v>15.665700000000001</v>
      </c>
      <c r="D19" s="74">
        <f t="shared" si="3"/>
        <v>116.4021</v>
      </c>
      <c r="E19" s="74">
        <f t="shared" si="2"/>
        <v>237.96</v>
      </c>
      <c r="F19" s="74">
        <f t="shared" si="2"/>
        <v>293.48400000000004</v>
      </c>
      <c r="G19" s="74">
        <f t="shared" si="2"/>
        <v>140.19810000000001</v>
      </c>
      <c r="H19" s="74">
        <f t="shared" si="2"/>
        <v>38.767650000000003</v>
      </c>
      <c r="I19" s="74">
        <f t="shared" si="2"/>
        <v>69.504149999999996</v>
      </c>
      <c r="J19" s="74">
        <f t="shared" si="2"/>
        <v>6.0481499999999997</v>
      </c>
      <c r="K19" s="74">
        <f t="shared" si="2"/>
        <v>19.830000000000002</v>
      </c>
      <c r="L19" s="74">
        <f t="shared" si="2"/>
        <v>7.7336999999999998</v>
      </c>
      <c r="M19" s="74">
        <f t="shared" si="2"/>
        <v>2.9744999999999999</v>
      </c>
    </row>
    <row r="20" spans="1:35" x14ac:dyDescent="0.3">
      <c r="A20" s="8"/>
      <c r="B20" s="8"/>
      <c r="C20" s="8"/>
      <c r="D20" s="8"/>
      <c r="E20" s="8"/>
      <c r="F20" s="8"/>
      <c r="G20" s="8"/>
      <c r="H20" s="8"/>
      <c r="I20" s="8"/>
      <c r="J20" s="8"/>
      <c r="K20" s="8"/>
      <c r="L20" s="8"/>
      <c r="V20" t="s">
        <v>869</v>
      </c>
    </row>
    <row r="21" spans="1:35" ht="15.5" x14ac:dyDescent="0.35">
      <c r="A21" s="8"/>
      <c r="B21" s="836"/>
      <c r="C21" s="836"/>
      <c r="D21" s="836"/>
      <c r="E21" s="836"/>
      <c r="F21" s="836"/>
      <c r="G21" s="836"/>
      <c r="H21" s="836"/>
      <c r="I21" s="836"/>
      <c r="J21" s="836"/>
      <c r="K21" s="836"/>
      <c r="L21" s="836"/>
      <c r="W21" t="s">
        <v>81</v>
      </c>
      <c r="X21" t="s">
        <v>82</v>
      </c>
      <c r="Y21" t="s">
        <v>83</v>
      </c>
      <c r="Z21" t="s">
        <v>84</v>
      </c>
      <c r="AA21" t="s">
        <v>85</v>
      </c>
      <c r="AB21" t="s">
        <v>86</v>
      </c>
      <c r="AC21" t="s">
        <v>87</v>
      </c>
      <c r="AD21" t="s">
        <v>88</v>
      </c>
      <c r="AE21" t="s">
        <v>89</v>
      </c>
      <c r="AF21" t="s">
        <v>90</v>
      </c>
      <c r="AG21" t="s">
        <v>91</v>
      </c>
      <c r="AH21" t="s">
        <v>92</v>
      </c>
      <c r="AI21" t="s">
        <v>81</v>
      </c>
    </row>
    <row r="22" spans="1:35" ht="14.25" customHeight="1" x14ac:dyDescent="0.3">
      <c r="A22" s="106" t="s">
        <v>101</v>
      </c>
      <c r="B22" s="109">
        <v>31</v>
      </c>
      <c r="C22" s="107">
        <v>29</v>
      </c>
      <c r="D22" s="107">
        <v>31</v>
      </c>
      <c r="E22" s="107">
        <v>30</v>
      </c>
      <c r="F22" s="107">
        <v>31</v>
      </c>
      <c r="G22" s="107">
        <v>30</v>
      </c>
      <c r="H22" s="107">
        <v>31</v>
      </c>
      <c r="I22" s="107">
        <v>31</v>
      </c>
      <c r="J22" s="107">
        <v>30</v>
      </c>
      <c r="K22" s="107">
        <v>31</v>
      </c>
      <c r="L22" s="107">
        <v>30</v>
      </c>
      <c r="M22" s="107">
        <v>31</v>
      </c>
      <c r="N22" s="837" t="s">
        <v>780</v>
      </c>
      <c r="O22" s="838"/>
      <c r="P22" s="838"/>
      <c r="V22" t="s">
        <v>29</v>
      </c>
      <c r="W22" s="3">
        <v>10.619354838709675</v>
      </c>
      <c r="X22" s="3">
        <v>11.200000000000001</v>
      </c>
      <c r="Y22" s="3">
        <v>13.661290322580646</v>
      </c>
      <c r="Z22" s="3">
        <v>76.599999999999994</v>
      </c>
      <c r="AA22" s="3">
        <v>101.61290322580645</v>
      </c>
      <c r="AB22" s="3">
        <v>63.93333333333333</v>
      </c>
      <c r="AC22" s="3">
        <v>28.873333333333335</v>
      </c>
      <c r="AD22" s="3">
        <v>27.113333333333333</v>
      </c>
      <c r="AE22" s="3">
        <v>7.6946666666666639</v>
      </c>
      <c r="AF22" s="3">
        <v>9.2633333333333319</v>
      </c>
      <c r="AG22" s="3">
        <v>4.3983333333333352</v>
      </c>
      <c r="AH22" s="3">
        <v>1.7129032258064512</v>
      </c>
      <c r="AI22" s="3">
        <v>29.723565412186375</v>
      </c>
    </row>
    <row r="23" spans="1:35" ht="23.5" x14ac:dyDescent="0.3">
      <c r="A23" s="106"/>
      <c r="B23" s="109" t="s">
        <v>81</v>
      </c>
      <c r="C23" s="107" t="s">
        <v>82</v>
      </c>
      <c r="D23" s="107" t="s">
        <v>83</v>
      </c>
      <c r="E23" s="107" t="s">
        <v>84</v>
      </c>
      <c r="F23" s="107" t="s">
        <v>85</v>
      </c>
      <c r="G23" s="107" t="s">
        <v>86</v>
      </c>
      <c r="H23" s="107" t="s">
        <v>87</v>
      </c>
      <c r="I23" s="107" t="s">
        <v>88</v>
      </c>
      <c r="J23" s="107" t="s">
        <v>89</v>
      </c>
      <c r="K23" s="107" t="s">
        <v>90</v>
      </c>
      <c r="L23" s="107" t="s">
        <v>91</v>
      </c>
      <c r="M23" s="107" t="s">
        <v>92</v>
      </c>
      <c r="N23" s="108" t="s">
        <v>174</v>
      </c>
      <c r="O23" s="687" t="s">
        <v>870</v>
      </c>
      <c r="P23" s="688"/>
      <c r="V23" t="s">
        <v>868</v>
      </c>
      <c r="W23" s="3">
        <v>652.80359999999985</v>
      </c>
      <c r="X23" s="3">
        <v>621.86880000000008</v>
      </c>
      <c r="Y23" s="3">
        <v>839.80050000000006</v>
      </c>
      <c r="Z23" s="3">
        <v>4556.9339999999993</v>
      </c>
      <c r="AA23" s="3">
        <v>6044.9516129032254</v>
      </c>
      <c r="AB23" s="3">
        <v>3803.3939999999998</v>
      </c>
      <c r="AC23" s="3">
        <v>1717.6746000000003</v>
      </c>
      <c r="AD23" s="3">
        <v>1612.9721999999999</v>
      </c>
      <c r="AE23" s="3">
        <v>457.75571999999988</v>
      </c>
      <c r="AF23" s="3">
        <v>551.07569999999998</v>
      </c>
      <c r="AG23" s="3">
        <v>261.65685000000008</v>
      </c>
      <c r="AH23" s="3">
        <v>105.29729999999998</v>
      </c>
      <c r="AI23" s="3">
        <v>21226.184882903228</v>
      </c>
    </row>
    <row r="24" spans="1:35" x14ac:dyDescent="0.3">
      <c r="A24" s="72" t="s">
        <v>31</v>
      </c>
      <c r="B24" s="689">
        <f>B17*B22</f>
        <v>196.71360000000004</v>
      </c>
      <c r="C24" s="689">
        <f>C17*C22</f>
        <v>103.51260000000001</v>
      </c>
      <c r="D24" s="689">
        <f>D17*D22</f>
        <v>829.88550000000009</v>
      </c>
      <c r="E24" s="689">
        <f t="shared" ref="E24:M24" si="4">E17*E22</f>
        <v>2974.5</v>
      </c>
      <c r="F24" s="689">
        <f t="shared" si="4"/>
        <v>2827.7580000000003</v>
      </c>
      <c r="G24" s="689">
        <f t="shared" si="4"/>
        <v>547.30799999999999</v>
      </c>
      <c r="H24" s="689">
        <f t="shared" si="4"/>
        <v>215.15550000000002</v>
      </c>
      <c r="I24" s="689">
        <f t="shared" si="4"/>
        <v>181.34535000000002</v>
      </c>
      <c r="J24" s="689">
        <f t="shared" si="4"/>
        <v>54.433350000000004</v>
      </c>
      <c r="K24" s="689">
        <f t="shared" si="4"/>
        <v>319.65960000000001</v>
      </c>
      <c r="L24" s="689">
        <f t="shared" si="4"/>
        <v>83.285999999999987</v>
      </c>
      <c r="M24" s="689">
        <f t="shared" si="4"/>
        <v>67.620300000000015</v>
      </c>
      <c r="N24" s="102">
        <f>SUM(B24:M24)</f>
        <v>8401.1778000000013</v>
      </c>
      <c r="O24" s="690"/>
      <c r="P24" s="691"/>
    </row>
    <row r="25" spans="1:35" x14ac:dyDescent="0.3">
      <c r="A25" s="72" t="s">
        <v>32</v>
      </c>
      <c r="B25" s="784">
        <v>652.80359999999985</v>
      </c>
      <c r="C25" s="784">
        <v>621.86880000000008</v>
      </c>
      <c r="D25" s="784">
        <v>839.80050000000006</v>
      </c>
      <c r="E25" s="784">
        <v>4556.9339999999993</v>
      </c>
      <c r="F25" s="784">
        <v>6044.9516129032254</v>
      </c>
      <c r="G25" s="784">
        <v>3803.3939999999998</v>
      </c>
      <c r="H25" s="784">
        <v>1717.6746000000003</v>
      </c>
      <c r="I25" s="784">
        <v>1612.9721999999999</v>
      </c>
      <c r="J25" s="784">
        <v>457.75571999999988</v>
      </c>
      <c r="K25" s="784">
        <v>551.07569999999998</v>
      </c>
      <c r="L25" s="784">
        <v>261.65685000000008</v>
      </c>
      <c r="M25" s="784">
        <v>105.29729999999998</v>
      </c>
      <c r="N25" s="102">
        <f>SUM(B25:M25)</f>
        <v>21226.184882903228</v>
      </c>
      <c r="O25" s="690"/>
      <c r="P25" s="691"/>
    </row>
    <row r="26" spans="1:35" x14ac:dyDescent="0.3">
      <c r="A26" s="692" t="s">
        <v>35</v>
      </c>
      <c r="B26" s="693">
        <f>SUM(B24:B25)</f>
        <v>849.51719999999989</v>
      </c>
      <c r="C26" s="693">
        <f>SUM(C24:C25)</f>
        <v>725.3814000000001</v>
      </c>
      <c r="D26" s="693">
        <f>SUM(D24:D25)</f>
        <v>1669.6860000000001</v>
      </c>
      <c r="E26" s="693">
        <f t="shared" ref="E26:M26" si="5">SUM(E24:E25)</f>
        <v>7531.4339999999993</v>
      </c>
      <c r="F26" s="693">
        <f t="shared" si="5"/>
        <v>8872.7096129032252</v>
      </c>
      <c r="G26" s="693">
        <f t="shared" si="5"/>
        <v>4350.7019999999993</v>
      </c>
      <c r="H26" s="693">
        <f t="shared" si="5"/>
        <v>1932.8301000000004</v>
      </c>
      <c r="I26" s="693">
        <f t="shared" si="5"/>
        <v>1794.31755</v>
      </c>
      <c r="J26" s="693">
        <f t="shared" si="5"/>
        <v>512.1890699999999</v>
      </c>
      <c r="K26" s="693">
        <f t="shared" si="5"/>
        <v>870.73530000000005</v>
      </c>
      <c r="L26" s="693">
        <f t="shared" si="5"/>
        <v>344.94285000000008</v>
      </c>
      <c r="M26" s="693">
        <f t="shared" si="5"/>
        <v>172.91759999999999</v>
      </c>
      <c r="N26" s="102">
        <f>SUM(B26:M26)</f>
        <v>29627.362682903222</v>
      </c>
      <c r="O26" s="785">
        <f>N26-N27</f>
        <v>165.53508290322134</v>
      </c>
      <c r="P26" s="691"/>
    </row>
    <row r="27" spans="1:35" x14ac:dyDescent="0.3">
      <c r="A27" s="72" t="s">
        <v>34</v>
      </c>
      <c r="B27" s="689">
        <f>B19*B22</f>
        <v>479.48939999999999</v>
      </c>
      <c r="C27" s="689">
        <f>C19*C22</f>
        <v>454.30530000000005</v>
      </c>
      <c r="D27" s="689">
        <f>D19*D22</f>
        <v>3608.4651000000003</v>
      </c>
      <c r="E27" s="689">
        <f t="shared" ref="E27:M27" si="6">E19*E22</f>
        <v>7138.8</v>
      </c>
      <c r="F27" s="689">
        <f t="shared" si="6"/>
        <v>9098.0040000000008</v>
      </c>
      <c r="G27" s="689">
        <f t="shared" si="6"/>
        <v>4205.9430000000002</v>
      </c>
      <c r="H27" s="689">
        <f t="shared" si="6"/>
        <v>1201.7971500000001</v>
      </c>
      <c r="I27" s="689">
        <f t="shared" si="6"/>
        <v>2154.6286499999997</v>
      </c>
      <c r="J27" s="689">
        <f t="shared" si="6"/>
        <v>181.44450000000001</v>
      </c>
      <c r="K27" s="689">
        <f t="shared" si="6"/>
        <v>614.73</v>
      </c>
      <c r="L27" s="689">
        <f t="shared" si="6"/>
        <v>232.011</v>
      </c>
      <c r="M27" s="689">
        <f t="shared" si="6"/>
        <v>92.209499999999991</v>
      </c>
      <c r="N27" s="102">
        <f>SUM(B27:M27)</f>
        <v>29461.827600000001</v>
      </c>
      <c r="O27" s="690"/>
      <c r="P27" s="84"/>
    </row>
    <row r="53" spans="1:7" ht="12.75" customHeight="1" x14ac:dyDescent="0.3">
      <c r="A53" s="839" t="s">
        <v>166</v>
      </c>
      <c r="B53" s="839"/>
      <c r="C53" s="839"/>
      <c r="D53" s="839"/>
      <c r="E53" s="198"/>
    </row>
    <row r="54" spans="1:7" ht="12.75" customHeight="1" x14ac:dyDescent="0.25">
      <c r="A54" s="839" t="s">
        <v>167</v>
      </c>
      <c r="B54" s="839"/>
      <c r="C54" s="839"/>
      <c r="D54" s="839"/>
      <c r="E54" s="387"/>
    </row>
    <row r="55" spans="1:7" ht="12.75" customHeight="1" x14ac:dyDescent="0.25">
      <c r="A55" s="839" t="s">
        <v>168</v>
      </c>
      <c r="B55" s="839"/>
      <c r="C55" s="839"/>
      <c r="D55" s="839"/>
      <c r="E55" s="387"/>
    </row>
    <row r="56" spans="1:7" ht="12.75" customHeight="1" x14ac:dyDescent="0.25">
      <c r="A56" s="839" t="s">
        <v>169</v>
      </c>
      <c r="B56" s="839"/>
      <c r="C56" s="839"/>
      <c r="D56" s="839"/>
      <c r="E56" s="387"/>
    </row>
    <row r="57" spans="1:7" ht="12.75" customHeight="1" x14ac:dyDescent="0.25">
      <c r="A57" s="839" t="s">
        <v>170</v>
      </c>
      <c r="B57" s="839"/>
      <c r="C57" s="839"/>
      <c r="D57" s="839"/>
      <c r="E57" s="388"/>
    </row>
    <row r="58" spans="1:7" ht="17.25" customHeight="1" x14ac:dyDescent="0.4">
      <c r="A58" s="839" t="s">
        <v>171</v>
      </c>
      <c r="B58" s="839"/>
      <c r="C58" s="839"/>
      <c r="D58" s="839"/>
      <c r="E58" s="388"/>
      <c r="G58" s="389" t="s">
        <v>781</v>
      </c>
    </row>
    <row r="59" spans="1:7" ht="31.5" x14ac:dyDescent="0.25">
      <c r="A59" s="390" t="s">
        <v>269</v>
      </c>
      <c r="B59" s="391" t="s">
        <v>272</v>
      </c>
      <c r="C59" s="391" t="s">
        <v>270</v>
      </c>
      <c r="E59" s="92"/>
      <c r="F59" s="92"/>
    </row>
    <row r="60" spans="1:7" ht="12.5" x14ac:dyDescent="0.25">
      <c r="A60" s="392">
        <v>1987</v>
      </c>
      <c r="B60" s="90">
        <v>61594.954499999993</v>
      </c>
      <c r="C60" s="84"/>
      <c r="E60" s="393"/>
      <c r="F60" s="393"/>
    </row>
    <row r="61" spans="1:7" ht="12.5" x14ac:dyDescent="0.25">
      <c r="A61" s="392">
        <v>1988</v>
      </c>
      <c r="B61" s="90">
        <v>26201.379000000001</v>
      </c>
      <c r="C61" s="84"/>
      <c r="E61" s="393"/>
      <c r="F61" s="393"/>
    </row>
    <row r="62" spans="1:7" ht="12.5" x14ac:dyDescent="0.25">
      <c r="A62" s="392">
        <v>1989</v>
      </c>
      <c r="B62" s="90">
        <v>7527.4679999999998</v>
      </c>
      <c r="C62" s="84"/>
      <c r="E62" s="393"/>
      <c r="F62" s="393"/>
    </row>
    <row r="63" spans="1:7" ht="12.5" x14ac:dyDescent="0.25">
      <c r="A63" s="392">
        <v>1990</v>
      </c>
      <c r="B63" s="90">
        <v>20266.259999999998</v>
      </c>
      <c r="C63" s="84"/>
      <c r="E63" s="393"/>
      <c r="F63" s="393"/>
    </row>
    <row r="64" spans="1:7" ht="12.5" x14ac:dyDescent="0.25">
      <c r="A64" s="392">
        <v>1991</v>
      </c>
      <c r="B64" s="90">
        <v>25694.7225</v>
      </c>
      <c r="C64" s="84"/>
      <c r="E64" s="393"/>
      <c r="F64" s="393"/>
    </row>
    <row r="65" spans="1:6" ht="12.5" x14ac:dyDescent="0.25">
      <c r="A65" s="392">
        <v>1992</v>
      </c>
      <c r="B65" s="90">
        <v>18384.392999999996</v>
      </c>
      <c r="C65" s="84"/>
      <c r="E65" s="92"/>
      <c r="F65" s="92"/>
    </row>
    <row r="66" spans="1:6" ht="12.5" x14ac:dyDescent="0.25">
      <c r="A66" s="392">
        <v>1993</v>
      </c>
      <c r="B66" s="90">
        <v>11291.201999999999</v>
      </c>
      <c r="C66" s="84"/>
      <c r="E66" s="92"/>
      <c r="F66" s="92"/>
    </row>
    <row r="67" spans="1:6" ht="12.5" x14ac:dyDescent="0.25">
      <c r="A67" s="392">
        <v>1994</v>
      </c>
      <c r="B67" s="90">
        <v>13173.069</v>
      </c>
      <c r="C67" s="84"/>
      <c r="E67" s="92"/>
      <c r="F67" s="92"/>
    </row>
    <row r="68" spans="1:6" ht="12.5" x14ac:dyDescent="0.25">
      <c r="A68" s="392">
        <v>1995</v>
      </c>
      <c r="B68" s="90">
        <v>69556.699499999988</v>
      </c>
      <c r="C68" s="84"/>
      <c r="E68" s="92"/>
      <c r="F68" s="92"/>
    </row>
    <row r="69" spans="1:6" ht="12.5" x14ac:dyDescent="0.25">
      <c r="A69" s="392">
        <v>1996</v>
      </c>
      <c r="B69" s="90">
        <v>22654.783499999998</v>
      </c>
      <c r="C69" s="84"/>
      <c r="E69" s="92"/>
      <c r="F69" s="92"/>
    </row>
    <row r="70" spans="1:6" ht="12.5" x14ac:dyDescent="0.25">
      <c r="A70" s="392">
        <v>1997</v>
      </c>
      <c r="B70" s="90">
        <v>38071.616999999998</v>
      </c>
      <c r="C70" s="84"/>
      <c r="E70" s="92"/>
      <c r="F70" s="92"/>
    </row>
    <row r="71" spans="1:6" ht="12.5" x14ac:dyDescent="0.25">
      <c r="A71" s="392">
        <v>1998</v>
      </c>
      <c r="B71" s="90">
        <v>69122.422500000001</v>
      </c>
      <c r="C71" s="84"/>
      <c r="E71" s="92"/>
      <c r="F71" s="92"/>
    </row>
    <row r="72" spans="1:6" ht="12.5" x14ac:dyDescent="0.25">
      <c r="A72" s="392">
        <v>1999</v>
      </c>
      <c r="B72" s="90">
        <v>52692.275999999998</v>
      </c>
      <c r="C72" s="84"/>
      <c r="E72" s="92"/>
      <c r="F72" s="92"/>
    </row>
    <row r="73" spans="1:6" ht="12.5" x14ac:dyDescent="0.25">
      <c r="A73" s="392">
        <v>2000</v>
      </c>
      <c r="B73" s="90">
        <v>13173.069</v>
      </c>
      <c r="C73" s="84"/>
      <c r="D73" s="402"/>
      <c r="E73" s="92"/>
      <c r="F73" s="92"/>
    </row>
    <row r="74" spans="1:6" ht="12.5" x14ac:dyDescent="0.25">
      <c r="A74" s="392">
        <v>2001</v>
      </c>
      <c r="B74" s="90">
        <v>15134.171499999999</v>
      </c>
      <c r="C74" s="84">
        <v>2323</v>
      </c>
      <c r="D74" s="403"/>
      <c r="E74" s="92"/>
      <c r="F74" s="92"/>
    </row>
    <row r="75" spans="1:6" ht="12.5" x14ac:dyDescent="0.25">
      <c r="A75" s="392">
        <v>2002</v>
      </c>
      <c r="B75" s="90">
        <v>4248.6766499999994</v>
      </c>
      <c r="C75" s="90">
        <v>528.37034999999992</v>
      </c>
      <c r="D75" s="403"/>
      <c r="E75" s="92"/>
      <c r="F75" s="92"/>
    </row>
    <row r="76" spans="1:6" ht="12.5" x14ac:dyDescent="0.25">
      <c r="A76" s="392">
        <v>2003</v>
      </c>
      <c r="B76" s="90">
        <v>21641.470499999999</v>
      </c>
      <c r="C76" s="90">
        <v>7455.0884999999998</v>
      </c>
      <c r="D76" s="403"/>
      <c r="E76" s="92"/>
      <c r="F76" s="92"/>
    </row>
    <row r="77" spans="1:6" ht="12.5" x14ac:dyDescent="0.25">
      <c r="A77" s="392">
        <v>2004</v>
      </c>
      <c r="B77" s="90">
        <v>20924.913449999996</v>
      </c>
      <c r="C77" s="90">
        <v>3988.1104499999997</v>
      </c>
      <c r="D77" s="403"/>
      <c r="E77" s="92"/>
      <c r="F77" s="92"/>
    </row>
    <row r="78" spans="1:6" ht="12.5" x14ac:dyDescent="0.25">
      <c r="A78" s="404">
        <v>2005</v>
      </c>
      <c r="B78" s="90">
        <v>36624.026999999995</v>
      </c>
      <c r="C78" s="90">
        <v>7455.0884999999998</v>
      </c>
      <c r="D78" s="403"/>
      <c r="E78" s="92"/>
      <c r="F78" s="92"/>
    </row>
    <row r="79" spans="1:6" x14ac:dyDescent="0.3">
      <c r="A79" s="405">
        <v>2006</v>
      </c>
      <c r="B79" s="90">
        <v>8497.4680000000008</v>
      </c>
      <c r="C79" s="90">
        <v>970</v>
      </c>
      <c r="D79" s="403"/>
      <c r="E79" s="92"/>
      <c r="F79" s="92"/>
    </row>
    <row r="80" spans="1:6" x14ac:dyDescent="0.3">
      <c r="A80" s="405">
        <v>2007</v>
      </c>
      <c r="B80" s="90">
        <v>56500</v>
      </c>
      <c r="C80" s="84">
        <v>14861</v>
      </c>
    </row>
    <row r="81" spans="1:4" ht="16.5" customHeight="1" x14ac:dyDescent="0.3">
      <c r="A81" s="405">
        <v>2008</v>
      </c>
      <c r="B81" s="394">
        <v>19400</v>
      </c>
      <c r="C81" s="84">
        <v>5613</v>
      </c>
    </row>
    <row r="82" spans="1:4" ht="16.5" customHeight="1" x14ac:dyDescent="0.3">
      <c r="A82" s="405">
        <v>2009</v>
      </c>
      <c r="B82" s="394">
        <v>25943</v>
      </c>
      <c r="C82" s="394">
        <v>8202</v>
      </c>
    </row>
    <row r="83" spans="1:4" x14ac:dyDescent="0.3">
      <c r="A83" s="405">
        <v>2010</v>
      </c>
      <c r="B83" s="394">
        <v>29007</v>
      </c>
      <c r="C83" s="394">
        <v>8401</v>
      </c>
      <c r="D83" s="670"/>
    </row>
    <row r="84" spans="1:4" ht="31.5" x14ac:dyDescent="0.25">
      <c r="A84" s="726" t="s">
        <v>269</v>
      </c>
      <c r="B84" s="727" t="s">
        <v>271</v>
      </c>
    </row>
    <row r="85" spans="1:4" ht="12.5" x14ac:dyDescent="0.25">
      <c r="A85" s="392">
        <v>1987</v>
      </c>
      <c r="B85" s="386">
        <v>85.1</v>
      </c>
    </row>
    <row r="86" spans="1:4" ht="12.5" x14ac:dyDescent="0.25">
      <c r="A86" s="392">
        <v>1988</v>
      </c>
      <c r="B86" s="386">
        <v>36.200000000000003</v>
      </c>
    </row>
    <row r="87" spans="1:4" ht="12.5" x14ac:dyDescent="0.25">
      <c r="A87" s="392">
        <v>1989</v>
      </c>
      <c r="B87" s="386">
        <v>10.4</v>
      </c>
    </row>
    <row r="88" spans="1:4" ht="12.5" x14ac:dyDescent="0.25">
      <c r="A88" s="392">
        <v>1990</v>
      </c>
      <c r="B88" s="386">
        <v>28</v>
      </c>
    </row>
    <row r="89" spans="1:4" ht="12.5" x14ac:dyDescent="0.25">
      <c r="A89" s="392">
        <v>1991</v>
      </c>
      <c r="B89" s="386">
        <v>35.5</v>
      </c>
    </row>
    <row r="90" spans="1:4" ht="12.5" x14ac:dyDescent="0.25">
      <c r="A90" s="392">
        <v>1992</v>
      </c>
      <c r="B90" s="386">
        <v>25.4</v>
      </c>
    </row>
    <row r="91" spans="1:4" ht="12.5" x14ac:dyDescent="0.25">
      <c r="A91" s="392">
        <v>1993</v>
      </c>
      <c r="B91" s="386">
        <v>15.6</v>
      </c>
    </row>
    <row r="92" spans="1:4" ht="12.5" x14ac:dyDescent="0.25">
      <c r="A92" s="392">
        <v>1994</v>
      </c>
      <c r="B92" s="386">
        <v>18.2</v>
      </c>
    </row>
    <row r="93" spans="1:4" ht="12.5" x14ac:dyDescent="0.25">
      <c r="A93" s="392">
        <v>1995</v>
      </c>
      <c r="B93" s="386">
        <v>96.1</v>
      </c>
    </row>
    <row r="94" spans="1:4" ht="12.5" x14ac:dyDescent="0.25">
      <c r="A94" s="392">
        <v>1996</v>
      </c>
      <c r="B94" s="386">
        <v>31.3</v>
      </c>
    </row>
    <row r="95" spans="1:4" ht="12.5" x14ac:dyDescent="0.25">
      <c r="A95" s="392">
        <v>1997</v>
      </c>
      <c r="B95" s="386">
        <v>52.6</v>
      </c>
    </row>
    <row r="96" spans="1:4" ht="12.5" x14ac:dyDescent="0.25">
      <c r="A96" s="392">
        <v>1998</v>
      </c>
      <c r="B96" s="386">
        <v>95.5</v>
      </c>
    </row>
    <row r="97" spans="1:2" ht="12.5" x14ac:dyDescent="0.25">
      <c r="A97" s="392">
        <v>1999</v>
      </c>
      <c r="B97" s="386">
        <v>72.8</v>
      </c>
    </row>
    <row r="98" spans="1:2" ht="12.5" x14ac:dyDescent="0.25">
      <c r="A98" s="392">
        <v>2000</v>
      </c>
      <c r="B98" s="386">
        <v>18.2</v>
      </c>
    </row>
    <row r="99" spans="1:2" ht="12.5" x14ac:dyDescent="0.25">
      <c r="A99" s="392">
        <v>2001</v>
      </c>
      <c r="B99" s="386">
        <v>17.7</v>
      </c>
    </row>
    <row r="100" spans="1:2" ht="12.5" x14ac:dyDescent="0.25">
      <c r="A100" s="392">
        <v>2002</v>
      </c>
      <c r="B100" s="386">
        <v>5.14</v>
      </c>
    </row>
    <row r="101" spans="1:2" ht="12.5" x14ac:dyDescent="0.25">
      <c r="A101" s="392">
        <v>2003</v>
      </c>
      <c r="B101" s="386">
        <v>19.600000000000001</v>
      </c>
    </row>
    <row r="102" spans="1:2" ht="12.5" x14ac:dyDescent="0.25">
      <c r="A102" s="392">
        <v>2004</v>
      </c>
      <c r="B102" s="386">
        <v>23.4</v>
      </c>
    </row>
    <row r="103" spans="1:2" ht="12.5" x14ac:dyDescent="0.25">
      <c r="A103" s="404">
        <v>2005</v>
      </c>
      <c r="B103" s="406">
        <v>40.299999999999997</v>
      </c>
    </row>
    <row r="104" spans="1:2" ht="15.5" x14ac:dyDescent="0.35">
      <c r="A104" s="405">
        <v>2006</v>
      </c>
      <c r="B104" s="407">
        <v>10.4</v>
      </c>
    </row>
    <row r="105" spans="1:2" x14ac:dyDescent="0.3">
      <c r="A105" s="405">
        <v>2007</v>
      </c>
      <c r="B105" s="84"/>
    </row>
    <row r="106" spans="1:2" x14ac:dyDescent="0.3">
      <c r="A106" s="405">
        <v>2008</v>
      </c>
      <c r="B106" s="84"/>
    </row>
  </sheetData>
  <mergeCells count="9">
    <mergeCell ref="A1:P1"/>
    <mergeCell ref="B21:L21"/>
    <mergeCell ref="N22:P22"/>
    <mergeCell ref="A58:D58"/>
    <mergeCell ref="A53:D53"/>
    <mergeCell ref="A54:D54"/>
    <mergeCell ref="A55:D55"/>
    <mergeCell ref="A56:D56"/>
    <mergeCell ref="A57:D57"/>
  </mergeCells>
  <phoneticPr fontId="8" type="noConversion"/>
  <pageMargins left="0.75" right="0.75" top="1" bottom="1" header="0.5" footer="0.5"/>
  <pageSetup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14</vt:i4>
      </vt:variant>
    </vt:vector>
  </HeadingPairs>
  <TitlesOfParts>
    <vt:vector size="60" baseType="lpstr">
      <vt:lpstr>Reservoir Sample Sites</vt:lpstr>
      <vt:lpstr>2010 Trophic</vt:lpstr>
      <vt:lpstr>Annual Reservoir Trends</vt:lpstr>
      <vt:lpstr>Nitrate Trends</vt:lpstr>
      <vt:lpstr>Phosphorus Trends</vt:lpstr>
      <vt:lpstr>Loading</vt:lpstr>
      <vt:lpstr>Carlson</vt:lpstr>
      <vt:lpstr>Walker</vt:lpstr>
      <vt:lpstr>Monthly Discharge</vt:lpstr>
      <vt:lpstr>Temperature</vt:lpstr>
      <vt:lpstr>Conductance</vt:lpstr>
      <vt:lpstr>pH</vt:lpstr>
      <vt:lpstr>Oxygen</vt:lpstr>
      <vt:lpstr>T &amp; Diss Phosphorus</vt:lpstr>
      <vt:lpstr>Nitrate &amp; T Nitrogen</vt:lpstr>
      <vt:lpstr>TSS</vt:lpstr>
      <vt:lpstr>Chlsecchi</vt:lpstr>
      <vt:lpstr>Phytoplankton</vt:lpstr>
      <vt:lpstr>1-25-10</vt:lpstr>
      <vt:lpstr>2-22-10</vt:lpstr>
      <vt:lpstr>3-29-10</vt:lpstr>
      <vt:lpstr>4-26-10</vt:lpstr>
      <vt:lpstr>5-24-10</vt:lpstr>
      <vt:lpstr>6-29-10</vt:lpstr>
      <vt:lpstr>7-13-10</vt:lpstr>
      <vt:lpstr>WS 7-8-10</vt:lpstr>
      <vt:lpstr>7-26-10</vt:lpstr>
      <vt:lpstr>8-9-10</vt:lpstr>
      <vt:lpstr>8-23-10</vt:lpstr>
      <vt:lpstr>9-07-10</vt:lpstr>
      <vt:lpstr>9-27-10</vt:lpstr>
      <vt:lpstr>10-25-10</vt:lpstr>
      <vt:lpstr>11-15-10</vt:lpstr>
      <vt:lpstr>12-2-10</vt:lpstr>
      <vt:lpstr>Field Sheet</vt:lpstr>
      <vt:lpstr>WS 2010 Data</vt:lpstr>
      <vt:lpstr>Monthly Chemistry</vt:lpstr>
      <vt:lpstr>Temp DO Comp</vt:lpstr>
      <vt:lpstr>Aeartion Log</vt:lpstr>
      <vt:lpstr>2010 Fishery Data</vt:lpstr>
      <vt:lpstr>NO3 review</vt:lpstr>
      <vt:lpstr>Kerr Swede</vt:lpstr>
      <vt:lpstr>Sediment</vt:lpstr>
      <vt:lpstr>Grain Size</vt:lpstr>
      <vt:lpstr>T Standards</vt:lpstr>
      <vt:lpstr>Rec Use</vt:lpstr>
      <vt:lpstr>Carlson!Print_Area</vt:lpstr>
      <vt:lpstr>Chlsecchi!Print_Area</vt:lpstr>
      <vt:lpstr>Conductance!Print_Area</vt:lpstr>
      <vt:lpstr>'Field Sheet'!Print_Area</vt:lpstr>
      <vt:lpstr>'Kerr Swede'!Print_Area</vt:lpstr>
      <vt:lpstr>Loading!Print_Area</vt:lpstr>
      <vt:lpstr>'Monthly Chemistry'!Print_Area</vt:lpstr>
      <vt:lpstr>Oxygen!Print_Area</vt:lpstr>
      <vt:lpstr>pH!Print_Area</vt:lpstr>
      <vt:lpstr>'Temp DO Comp'!Print_Area</vt:lpstr>
      <vt:lpstr>Temperature!Print_Area</vt:lpstr>
      <vt:lpstr>TSS!Print_Area</vt:lpstr>
      <vt:lpstr>Walker!Print_Area</vt:lpstr>
      <vt:lpstr>'WS 2010 Data'!Print_Area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RNC Consulting LLC</cp:lastModifiedBy>
  <cp:lastPrinted>2011-01-25T14:17:43Z</cp:lastPrinted>
  <dcterms:created xsi:type="dcterms:W3CDTF">2000-11-21T22:42:26Z</dcterms:created>
  <dcterms:modified xsi:type="dcterms:W3CDTF">2017-10-18T21:24:02Z</dcterms:modified>
</cp:coreProperties>
</file>