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 Master Spreadsheets\"/>
    </mc:Choice>
  </mc:AlternateContent>
  <xr:revisionPtr revIDLastSave="0" documentId="13_ncr:1_{BB99FDD3-DCEE-4FFC-8B8C-0697FD3947F8}" xr6:coauthVersionLast="43" xr6:coauthVersionMax="43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Bear Creek WSA Dues" sheetId="3" r:id="rId1"/>
    <sheet name="NPS Bear Creek" sheetId="1" r:id="rId2"/>
    <sheet name="PS Bear Creek" sheetId="2" r:id="rId3"/>
    <sheet name="Bear Creek 5050" sheetId="4" r:id="rId4"/>
    <sheet name="BCWA Dues Structur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5" l="1"/>
  <c r="B22" i="5" l="1"/>
  <c r="G41" i="5" l="1"/>
  <c r="E28" i="5" l="1"/>
  <c r="J17" i="5"/>
  <c r="E60" i="5" l="1"/>
  <c r="J22" i="5" l="1"/>
  <c r="H19" i="5"/>
  <c r="H21" i="5"/>
  <c r="E21" i="5"/>
  <c r="F21" i="5" s="1"/>
  <c r="I21" i="5" s="1"/>
  <c r="D20" i="5"/>
  <c r="F20" i="5" s="1"/>
  <c r="C19" i="5"/>
  <c r="F19" i="5" s="1"/>
  <c r="I18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H18" i="5"/>
  <c r="C73" i="5"/>
  <c r="C72" i="5"/>
  <c r="F17" i="2"/>
  <c r="G17" i="2" s="1"/>
  <c r="D17" i="2"/>
  <c r="F16" i="2"/>
  <c r="G16" i="2" s="1"/>
  <c r="D16" i="2"/>
  <c r="G22" i="5"/>
  <c r="F39" i="5"/>
  <c r="H39" i="5" s="1"/>
  <c r="F38" i="5"/>
  <c r="H38" i="5" s="1"/>
  <c r="E29" i="5"/>
  <c r="M18" i="5"/>
  <c r="P18" i="5" s="1"/>
  <c r="E75" i="5"/>
  <c r="D75" i="5"/>
  <c r="B75" i="5"/>
  <c r="C74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B49" i="5"/>
  <c r="C49" i="5" s="1"/>
  <c r="C41" i="5"/>
  <c r="B48" i="5" s="1"/>
  <c r="B41" i="5"/>
  <c r="F40" i="5"/>
  <c r="F37" i="5"/>
  <c r="H37" i="5" s="1"/>
  <c r="I37" i="5" s="1"/>
  <c r="K37" i="5" s="1"/>
  <c r="F36" i="5"/>
  <c r="H36" i="5" s="1"/>
  <c r="I36" i="5" s="1"/>
  <c r="K36" i="5" s="1"/>
  <c r="F35" i="5"/>
  <c r="H35" i="5" s="1"/>
  <c r="I35" i="5" s="1"/>
  <c r="K35" i="5" s="1"/>
  <c r="F34" i="5"/>
  <c r="H34" i="5" s="1"/>
  <c r="I34" i="5" s="1"/>
  <c r="K34" i="5" s="1"/>
  <c r="F33" i="5"/>
  <c r="H33" i="5" s="1"/>
  <c r="F32" i="5"/>
  <c r="H32" i="5" s="1"/>
  <c r="F31" i="5"/>
  <c r="H31" i="5" s="1"/>
  <c r="I31" i="5" s="1"/>
  <c r="K31" i="5" s="1"/>
  <c r="F30" i="5"/>
  <c r="F29" i="5"/>
  <c r="F28" i="5"/>
  <c r="H17" i="5"/>
  <c r="M16" i="5"/>
  <c r="N16" i="5" s="1"/>
  <c r="P16" i="5" s="1"/>
  <c r="H16" i="5"/>
  <c r="H15" i="5"/>
  <c r="H14" i="5"/>
  <c r="B9" i="5"/>
  <c r="D7" i="5" s="1"/>
  <c r="D8" i="5"/>
  <c r="M21" i="5" l="1"/>
  <c r="N21" i="5" s="1"/>
  <c r="P21" i="5" s="1"/>
  <c r="I32" i="5"/>
  <c r="K32" i="5" s="1"/>
  <c r="I38" i="5"/>
  <c r="K38" i="5" s="1"/>
  <c r="J38" i="5"/>
  <c r="J39" i="5"/>
  <c r="I39" i="5"/>
  <c r="K39" i="5" s="1"/>
  <c r="O18" i="5"/>
  <c r="H28" i="5"/>
  <c r="I28" i="5" s="1"/>
  <c r="K28" i="5" s="1"/>
  <c r="H30" i="5"/>
  <c r="I30" i="5" s="1"/>
  <c r="K30" i="5" s="1"/>
  <c r="H29" i="5"/>
  <c r="I29" i="5" s="1"/>
  <c r="K29" i="5" s="1"/>
  <c r="J33" i="5"/>
  <c r="I33" i="5"/>
  <c r="K33" i="5" s="1"/>
  <c r="J32" i="5"/>
  <c r="J35" i="5"/>
  <c r="J37" i="5"/>
  <c r="C7" i="5"/>
  <c r="O16" i="5"/>
  <c r="D41" i="5"/>
  <c r="H40" i="5"/>
  <c r="I40" i="5" s="1"/>
  <c r="K40" i="5" s="1"/>
  <c r="J31" i="5"/>
  <c r="C75" i="5"/>
  <c r="B77" i="5" s="1"/>
  <c r="H22" i="5"/>
  <c r="B47" i="5" s="1"/>
  <c r="B50" i="5" s="1"/>
  <c r="J34" i="5"/>
  <c r="J36" i="5"/>
  <c r="G49" i="5"/>
  <c r="H49" i="5" s="1"/>
  <c r="C8" i="5"/>
  <c r="C6" i="5"/>
  <c r="D6" i="5"/>
  <c r="D9" i="5" s="1"/>
  <c r="O21" i="5" l="1"/>
  <c r="J30" i="5"/>
  <c r="J29" i="5"/>
  <c r="C9" i="5"/>
  <c r="J40" i="5"/>
  <c r="F49" i="5"/>
  <c r="H41" i="5"/>
  <c r="J28" i="5"/>
  <c r="D49" i="5"/>
  <c r="D47" i="5"/>
  <c r="D48" i="5"/>
  <c r="J41" i="5" l="1"/>
  <c r="C48" i="5"/>
  <c r="F48" i="5" s="1"/>
  <c r="I41" i="5"/>
  <c r="G47" i="5" s="1"/>
  <c r="D50" i="5"/>
  <c r="K41" i="5"/>
  <c r="H47" i="5" s="1"/>
  <c r="D18" i="2" l="1"/>
  <c r="D15" i="2"/>
  <c r="D14" i="2"/>
  <c r="D13" i="2"/>
  <c r="D12" i="2"/>
  <c r="D11" i="2"/>
  <c r="D10" i="2"/>
  <c r="D9" i="2"/>
  <c r="D8" i="2"/>
  <c r="D7" i="2"/>
  <c r="D6" i="2"/>
  <c r="D34" i="4" l="1"/>
  <c r="D33" i="4"/>
  <c r="D32" i="4"/>
  <c r="D31" i="4"/>
  <c r="D30" i="4"/>
  <c r="D29" i="4"/>
  <c r="D28" i="4"/>
  <c r="D27" i="4"/>
  <c r="D26" i="4"/>
  <c r="D25" i="4"/>
  <c r="D24" i="4"/>
  <c r="D25" i="3"/>
  <c r="D24" i="3"/>
  <c r="D21" i="3"/>
  <c r="D20" i="3"/>
  <c r="F7" i="2"/>
  <c r="G7" i="2" s="1"/>
  <c r="F8" i="2"/>
  <c r="G8" i="2" s="1"/>
  <c r="D8" i="4"/>
  <c r="B9" i="4"/>
  <c r="C8" i="4" s="1"/>
  <c r="B42" i="4"/>
  <c r="C42" i="4" s="1"/>
  <c r="G42" i="4" s="1"/>
  <c r="H42" i="4" s="1"/>
  <c r="C35" i="4"/>
  <c r="B41" i="4" s="1"/>
  <c r="B35" i="4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E25" i="4"/>
  <c r="E24" i="4"/>
  <c r="B19" i="4"/>
  <c r="H18" i="4"/>
  <c r="J18" i="4" s="1"/>
  <c r="K18" i="4" s="1"/>
  <c r="D18" i="4"/>
  <c r="F17" i="4"/>
  <c r="F19" i="4" s="1"/>
  <c r="D17" i="4"/>
  <c r="H16" i="4"/>
  <c r="J16" i="4" s="1"/>
  <c r="K16" i="4" s="1"/>
  <c r="D16" i="4"/>
  <c r="D15" i="4"/>
  <c r="D14" i="4"/>
  <c r="N10" i="1"/>
  <c r="N8" i="1"/>
  <c r="G10" i="3"/>
  <c r="G8" i="3"/>
  <c r="F9" i="2"/>
  <c r="G9" i="2" s="1"/>
  <c r="F10" i="2"/>
  <c r="G10" i="2" s="1"/>
  <c r="F11" i="2"/>
  <c r="G11" i="2" s="1"/>
  <c r="F12" i="2"/>
  <c r="F13" i="2"/>
  <c r="G13" i="2" s="1"/>
  <c r="F14" i="2"/>
  <c r="G14" i="2" s="1"/>
  <c r="F15" i="2"/>
  <c r="F18" i="2"/>
  <c r="G18" i="2" s="1"/>
  <c r="F10" i="1"/>
  <c r="C18" i="4" s="1"/>
  <c r="E18" i="4" s="1"/>
  <c r="F9" i="1"/>
  <c r="F17" i="5" s="1"/>
  <c r="I17" i="5" s="1"/>
  <c r="M17" i="5" s="1"/>
  <c r="F8" i="1"/>
  <c r="F16" i="5" s="1"/>
  <c r="I16" i="5" s="1"/>
  <c r="F7" i="1"/>
  <c r="F15" i="5" s="1"/>
  <c r="I15" i="5" s="1"/>
  <c r="M15" i="5" s="1"/>
  <c r="F6" i="1"/>
  <c r="F14" i="5" s="1"/>
  <c r="D5" i="3"/>
  <c r="D23" i="3"/>
  <c r="E9" i="3"/>
  <c r="E11" i="3" s="1"/>
  <c r="I10" i="1"/>
  <c r="I9" i="1"/>
  <c r="I8" i="1"/>
  <c r="I7" i="1"/>
  <c r="I6" i="1"/>
  <c r="D26" i="3"/>
  <c r="D22" i="3"/>
  <c r="D19" i="3"/>
  <c r="D18" i="3"/>
  <c r="D16" i="3"/>
  <c r="E11" i="1"/>
  <c r="E26" i="3"/>
  <c r="F26" i="3" s="1"/>
  <c r="G26" i="3" s="1"/>
  <c r="E25" i="3"/>
  <c r="F25" i="3" s="1"/>
  <c r="G25" i="3" s="1"/>
  <c r="E24" i="3"/>
  <c r="F24" i="3" s="1"/>
  <c r="G24" i="3" s="1"/>
  <c r="E23" i="3"/>
  <c r="F23" i="3" s="1"/>
  <c r="G23" i="3" s="1"/>
  <c r="E22" i="3"/>
  <c r="F22" i="3" s="1"/>
  <c r="G22" i="3" s="1"/>
  <c r="E21" i="3"/>
  <c r="F21" i="3" s="1"/>
  <c r="G21" i="3" s="1"/>
  <c r="E20" i="3"/>
  <c r="F20" i="3" s="1"/>
  <c r="G20" i="3" s="1"/>
  <c r="E19" i="3"/>
  <c r="F19" i="3" s="1"/>
  <c r="E18" i="3"/>
  <c r="E17" i="3"/>
  <c r="E16" i="3"/>
  <c r="B34" i="3"/>
  <c r="C34" i="3" s="1"/>
  <c r="C10" i="3"/>
  <c r="C9" i="3"/>
  <c r="C8" i="3"/>
  <c r="C7" i="3"/>
  <c r="C6" i="3"/>
  <c r="C27" i="3"/>
  <c r="B33" i="3" s="1"/>
  <c r="B27" i="3"/>
  <c r="B11" i="3"/>
  <c r="G15" i="2"/>
  <c r="G12" i="2"/>
  <c r="F6" i="2"/>
  <c r="G6" i="2" s="1"/>
  <c r="B19" i="2"/>
  <c r="C19" i="2"/>
  <c r="L11" i="1"/>
  <c r="G9" i="1"/>
  <c r="G11" i="1" s="1"/>
  <c r="H11" i="1"/>
  <c r="C11" i="1"/>
  <c r="D11" i="1"/>
  <c r="B11" i="1"/>
  <c r="K10" i="1" l="1"/>
  <c r="J10" i="1"/>
  <c r="C17" i="4"/>
  <c r="E17" i="4" s="1"/>
  <c r="K6" i="1"/>
  <c r="N6" i="1" s="1"/>
  <c r="O6" i="1" s="1"/>
  <c r="C14" i="4"/>
  <c r="E14" i="4" s="1"/>
  <c r="O15" i="5"/>
  <c r="N15" i="5"/>
  <c r="P15" i="5" s="1"/>
  <c r="F34" i="3"/>
  <c r="K7" i="1"/>
  <c r="N7" i="1" s="1"/>
  <c r="O7" i="1" s="1"/>
  <c r="J7" i="1"/>
  <c r="N17" i="5"/>
  <c r="P17" i="5" s="1"/>
  <c r="O17" i="5"/>
  <c r="K8" i="1"/>
  <c r="C15" i="4"/>
  <c r="E15" i="4" s="1"/>
  <c r="H15" i="4" s="1"/>
  <c r="J15" i="4" s="1"/>
  <c r="K15" i="4" s="1"/>
  <c r="J9" i="1"/>
  <c r="F22" i="5"/>
  <c r="I14" i="5"/>
  <c r="M14" i="5" s="1"/>
  <c r="K9" i="1"/>
  <c r="N9" i="1" s="1"/>
  <c r="O9" i="1" s="1"/>
  <c r="C16" i="4"/>
  <c r="E16" i="4" s="1"/>
  <c r="G28" i="4"/>
  <c r="H28" i="4"/>
  <c r="I28" i="4" s="1"/>
  <c r="G33" i="4"/>
  <c r="H33" i="4"/>
  <c r="I33" i="4" s="1"/>
  <c r="G27" i="4"/>
  <c r="H27" i="4"/>
  <c r="I27" i="4" s="1"/>
  <c r="G31" i="4"/>
  <c r="H31" i="4"/>
  <c r="I31" i="4" s="1"/>
  <c r="G32" i="4"/>
  <c r="H32" i="4"/>
  <c r="I32" i="4" s="1"/>
  <c r="G29" i="4"/>
  <c r="H29" i="4"/>
  <c r="I29" i="4" s="1"/>
  <c r="G30" i="4"/>
  <c r="H30" i="4"/>
  <c r="I30" i="4" s="1"/>
  <c r="G34" i="4"/>
  <c r="H34" i="4"/>
  <c r="I34" i="4" s="1"/>
  <c r="I16" i="4"/>
  <c r="D6" i="4"/>
  <c r="D7" i="4"/>
  <c r="C7" i="4"/>
  <c r="C6" i="4"/>
  <c r="F26" i="4"/>
  <c r="F25" i="4"/>
  <c r="F24" i="4"/>
  <c r="H17" i="4"/>
  <c r="D35" i="4"/>
  <c r="D19" i="4"/>
  <c r="B40" i="4" s="1"/>
  <c r="B43" i="4" s="1"/>
  <c r="I18" i="4"/>
  <c r="H14" i="4"/>
  <c r="J14" i="4" s="1"/>
  <c r="F42" i="4"/>
  <c r="J6" i="1"/>
  <c r="J8" i="1"/>
  <c r="D17" i="3"/>
  <c r="F17" i="3" s="1"/>
  <c r="G17" i="3" s="1"/>
  <c r="F19" i="2"/>
  <c r="F16" i="3"/>
  <c r="G19" i="3"/>
  <c r="F18" i="3"/>
  <c r="G18" i="3" s="1"/>
  <c r="G19" i="2"/>
  <c r="C11" i="3"/>
  <c r="B32" i="3" s="1"/>
  <c r="D19" i="2"/>
  <c r="F11" i="1"/>
  <c r="I11" i="1"/>
  <c r="D9" i="3" l="1"/>
  <c r="G9" i="3" s="1"/>
  <c r="H9" i="3" s="1"/>
  <c r="I15" i="4"/>
  <c r="E19" i="4"/>
  <c r="C19" i="4"/>
  <c r="N14" i="5"/>
  <c r="M22" i="5"/>
  <c r="C47" i="5" s="1"/>
  <c r="O14" i="5"/>
  <c r="O22" i="5" s="1"/>
  <c r="D7" i="3"/>
  <c r="G7" i="3" s="1"/>
  <c r="H7" i="3" s="1"/>
  <c r="N11" i="1"/>
  <c r="G26" i="4"/>
  <c r="H26" i="4"/>
  <c r="I26" i="4" s="1"/>
  <c r="G24" i="4"/>
  <c r="H24" i="4"/>
  <c r="G25" i="4"/>
  <c r="H25" i="4"/>
  <c r="I25" i="4" s="1"/>
  <c r="I17" i="4"/>
  <c r="J17" i="4"/>
  <c r="K17" i="4" s="1"/>
  <c r="K14" i="4"/>
  <c r="D9" i="4"/>
  <c r="H19" i="4"/>
  <c r="C40" i="4" s="1"/>
  <c r="F40" i="4" s="1"/>
  <c r="C9" i="4"/>
  <c r="F35" i="4"/>
  <c r="C41" i="4" s="1"/>
  <c r="F41" i="4" s="1"/>
  <c r="D41" i="4"/>
  <c r="D40" i="4"/>
  <c r="D42" i="4"/>
  <c r="I14" i="4"/>
  <c r="J11" i="1"/>
  <c r="K11" i="1"/>
  <c r="D27" i="3"/>
  <c r="G16" i="3"/>
  <c r="G27" i="3" s="1"/>
  <c r="F27" i="3"/>
  <c r="C33" i="3" s="1"/>
  <c r="F33" i="3" s="1"/>
  <c r="B35" i="3"/>
  <c r="D32" i="3" s="1"/>
  <c r="O10" i="1"/>
  <c r="D10" i="3"/>
  <c r="H10" i="3" s="1"/>
  <c r="O8" i="1"/>
  <c r="D8" i="3"/>
  <c r="D6" i="3"/>
  <c r="G6" i="3" s="1"/>
  <c r="F47" i="5" l="1"/>
  <c r="C50" i="5"/>
  <c r="P14" i="5"/>
  <c r="P22" i="5" s="1"/>
  <c r="H48" i="5" s="1"/>
  <c r="H50" i="5" s="1"/>
  <c r="N22" i="5"/>
  <c r="G48" i="5" s="1"/>
  <c r="G50" i="5" s="1"/>
  <c r="G35" i="4"/>
  <c r="I24" i="4"/>
  <c r="I35" i="4" s="1"/>
  <c r="H40" i="4" s="1"/>
  <c r="H35" i="4"/>
  <c r="G40" i="4" s="1"/>
  <c r="I19" i="4"/>
  <c r="J19" i="4"/>
  <c r="G41" i="4" s="1"/>
  <c r="K19" i="4"/>
  <c r="H41" i="4" s="1"/>
  <c r="C43" i="4"/>
  <c r="D43" i="4"/>
  <c r="D34" i="3"/>
  <c r="D33" i="3"/>
  <c r="D11" i="3"/>
  <c r="H6" i="3"/>
  <c r="E48" i="5" l="1"/>
  <c r="F50" i="5"/>
  <c r="E49" i="5"/>
  <c r="E47" i="5"/>
  <c r="E50" i="5" s="1"/>
  <c r="G43" i="4"/>
  <c r="H43" i="4"/>
  <c r="E41" i="4"/>
  <c r="E42" i="4"/>
  <c r="E40" i="4"/>
  <c r="F43" i="4"/>
  <c r="D35" i="3"/>
  <c r="H8" i="3"/>
  <c r="H11" i="3" s="1"/>
  <c r="G11" i="3"/>
  <c r="C32" i="3" s="1"/>
  <c r="E43" i="4" l="1"/>
  <c r="C35" i="3"/>
  <c r="F32" i="3"/>
  <c r="E34" i="3" l="1"/>
  <c r="F35" i="3"/>
  <c r="E32" i="3"/>
  <c r="E33" i="3"/>
  <c r="E35" i="3" l="1"/>
  <c r="I22" i="5"/>
</calcChain>
</file>

<file path=xl/sharedStrings.xml><?xml version="1.0" encoding="utf-8"?>
<sst xmlns="http://schemas.openxmlformats.org/spreadsheetml/2006/main" count="423" uniqueCount="159">
  <si>
    <t>Lakewood</t>
  </si>
  <si>
    <t>Totals</t>
  </si>
  <si>
    <t>Clear Creek County</t>
  </si>
  <si>
    <t>Park County</t>
  </si>
  <si>
    <t>2017 Dues</t>
  </si>
  <si>
    <t>Morrison*</t>
  </si>
  <si>
    <t>Jefferson County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</si>
  <si>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</si>
  <si>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</si>
  <si>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</si>
  <si>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</si>
  <si>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</si>
  <si>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</si>
  <si>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</si>
  <si>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</si>
  <si>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</si>
  <si>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</si>
  <si>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</si>
  <si>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</si>
  <si>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</si>
  <si>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</si>
  <si>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</si>
  <si>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Evergreen Metro</t>
  </si>
  <si>
    <t xml:space="preserve">West Jeff County </t>
  </si>
  <si>
    <t xml:space="preserve">Genesee </t>
  </si>
  <si>
    <t>Kittredge</t>
  </si>
  <si>
    <t>Morrison</t>
  </si>
  <si>
    <t>Denver Water</t>
  </si>
  <si>
    <t>Conifer Metro</t>
  </si>
  <si>
    <t>Forest Hills Metro</t>
  </si>
  <si>
    <t xml:space="preserve">Aspen Park Metro </t>
  </si>
  <si>
    <t xml:space="preserve">Conifer Sanitation </t>
  </si>
  <si>
    <t>Tiny Town</t>
  </si>
  <si>
    <t>Permitted Hydraulic MGD</t>
  </si>
  <si>
    <t>Jefferson County Schools</t>
  </si>
  <si>
    <t xml:space="preserve">Totals </t>
  </si>
  <si>
    <t xml:space="preserve">Increase or Decrease from 2017 Dues </t>
  </si>
  <si>
    <t>Entity - PS</t>
  </si>
  <si>
    <t>Minimum Dues</t>
  </si>
  <si>
    <t>Minimum Dues**</t>
  </si>
  <si>
    <t xml:space="preserve">A </t>
  </si>
  <si>
    <t>NPS</t>
  </si>
  <si>
    <t>Proposed Dues</t>
  </si>
  <si>
    <t>** Denver water 2017 dues</t>
  </si>
  <si>
    <t>Source</t>
  </si>
  <si>
    <t xml:space="preserve">*does not include reduction for Clear Creek County (~$2950) due to budget constraints </t>
  </si>
  <si>
    <t xml:space="preserve">Bear Creek Watershed Association - PS Data </t>
  </si>
  <si>
    <t>PS*</t>
  </si>
  <si>
    <t>Clear Creek County*</t>
  </si>
  <si>
    <t xml:space="preserve">Percent Increase from 2017 to Proposed </t>
  </si>
  <si>
    <t>Entity - NPS</t>
  </si>
  <si>
    <t>Increase or Decrease from 2017 Dues</t>
  </si>
  <si>
    <t>Percentage of Total 2017 Dues</t>
  </si>
  <si>
    <t>Percentage of Total Proposed Dues</t>
  </si>
  <si>
    <t xml:space="preserve">*Morrison's 2017 dues based on permit and not land area. Proposed dues would include NPS and PS dues. </t>
  </si>
  <si>
    <t>NPS 2017 Dues</t>
  </si>
  <si>
    <t>PS 2017 Dues</t>
  </si>
  <si>
    <t xml:space="preserve">Bear Creek WSA - Dues Scenario - Draft - Proposed Dues Scenario for NPS &amp; PS Entities </t>
  </si>
  <si>
    <t>Surcharge Due to Benefit of Bear Creek Lake Park</t>
  </si>
  <si>
    <t>updated May 1, 2017</t>
  </si>
  <si>
    <t xml:space="preserve">Bear Creek Watershed Association - NPS - Data based on 2016 land area </t>
  </si>
  <si>
    <t>Dues based on total land area ($217 per sq mi)</t>
  </si>
  <si>
    <t>Total Land Area (sq mile)</t>
  </si>
  <si>
    <t>Federal Land  Area</t>
  </si>
  <si>
    <t>DMP Land Area</t>
  </si>
  <si>
    <t>Land Area Not Federal, State or DMP</t>
  </si>
  <si>
    <t xml:space="preserve">MS4 Permitted Land Area </t>
  </si>
  <si>
    <t>Land area values in square miles</t>
  </si>
  <si>
    <t xml:space="preserve">D </t>
  </si>
  <si>
    <t>Dues based on land area not Fed, DMP or State ($334 per sq mile)</t>
  </si>
  <si>
    <t xml:space="preserve">Dollars per square mile calculated by dividing land area by current dues </t>
  </si>
  <si>
    <t>Land Area    (sq mile)</t>
  </si>
  <si>
    <t xml:space="preserve">Dues based on land area  not Fed, DMP or State and MS4 area (factor of 7 applied) at $190 per sq mile </t>
  </si>
  <si>
    <t>Proposed Minimum Dues</t>
  </si>
  <si>
    <t>**minimum dues for NPS = $500</t>
  </si>
  <si>
    <t>Minimum NPS Dues</t>
  </si>
  <si>
    <t>Proposed Dues based Land Area &amp; Surcharge or Min Dues</t>
  </si>
  <si>
    <t>Proposed Dues based on MGD or Min  Dues</t>
  </si>
  <si>
    <t>Proposed NPS Dues</t>
  </si>
  <si>
    <t>Proposed PS Dues based on MGD (D) or Min (E)</t>
  </si>
  <si>
    <t>Bear Creek WSA - Dues Scenario - Draft - Proposed Dues Scenario for NPS &amp; PS Entities based on equal NPS and PS percentages</t>
  </si>
  <si>
    <t>Table 6 - Total Budget if split evenly with NPS &amp; PS</t>
  </si>
  <si>
    <t>Table 7 -  NPS data summary</t>
  </si>
  <si>
    <t>Table 8 - PS data summary</t>
  </si>
  <si>
    <t>Table 9 - Summary table of proposed dues split evenly with NPS and PS</t>
  </si>
  <si>
    <t>Table 3 - Proposed dues based on existing percentages for NPS and PS</t>
  </si>
  <si>
    <t xml:space="preserve">Table 2 - PS summary - cells reference data in Table 5 cells on PS worksheet </t>
  </si>
  <si>
    <t xml:space="preserve">Table 1 - NPS summary - cells reference data in Table 4 cells on NPS worksheet </t>
  </si>
  <si>
    <t>Table 4 - NPS data and dues scenario</t>
  </si>
  <si>
    <t>Table 5 - PS data and dues scenario</t>
  </si>
  <si>
    <t>State Colo Land Area</t>
  </si>
  <si>
    <t xml:space="preserve">*~$19,000 calculated by dividing 2017 dues by total permitted MGD </t>
  </si>
  <si>
    <t>**minimum dues for 0-0.005 MGD = $500;  0.006-0.04 MGD = $2000; 0.041 MGD or greater = $3500</t>
  </si>
  <si>
    <t>Dues Based on Permitted MGD ($18,500 per MGD)*</t>
  </si>
  <si>
    <t>Dues Based on Permitted MGD ($18,500 per MGD)</t>
  </si>
  <si>
    <t>Dues Based on Permitted MGD ($15,500 per MGD)</t>
  </si>
  <si>
    <t>updated June 09, 2017</t>
  </si>
  <si>
    <t>Proposed 2018 Dues Based on Percentage Increase from Cell H36 Below</t>
  </si>
  <si>
    <t>Proposed 2018 Dues Based on Percentage Increase from Cell J20 Below</t>
  </si>
  <si>
    <t>Proposed 2019 Dues Based on Percentage Increase from Cell I36 Below</t>
  </si>
  <si>
    <t>Proposed Dues for 2018</t>
  </si>
  <si>
    <t>Proposed Dues for 2019</t>
  </si>
  <si>
    <t>Proposed 2019 Dues Based on Percentage Increase from Cell K20 Below</t>
  </si>
  <si>
    <t>Reservoir Management Fee Due to Benefit of Bear Creek Lake Park</t>
  </si>
  <si>
    <t xml:space="preserve">change value to update dues increase/decrease based on updated percentage </t>
  </si>
  <si>
    <t xml:space="preserve">Dues based on land area  not Fed, DMP or State and MS4 area (factor of 10 applied) at $225 per sq mile </t>
  </si>
  <si>
    <t>Total Land Area           (sq mile)</t>
  </si>
  <si>
    <t xml:space="preserve">Entity </t>
  </si>
  <si>
    <t>Dues If Adjusted For Equal NPS &amp; PS Percentages</t>
  </si>
  <si>
    <t>updated June 9, 2017</t>
  </si>
  <si>
    <t>Value of Staff Time Based Rate Below</t>
  </si>
  <si>
    <t>Value of Equipment</t>
  </si>
  <si>
    <t>PS 2017 Dues (Paid)</t>
  </si>
  <si>
    <t>MS4 Permitted Land Area (sq mile)</t>
  </si>
  <si>
    <t>NPS 2017 Dues      (Paid)</t>
  </si>
  <si>
    <t>2017 Dues   (Paid)</t>
  </si>
  <si>
    <t xml:space="preserve">*does not include 2017 reduction for Clear Creek County (~$2950) due to budget constraints </t>
  </si>
  <si>
    <t>Brook Forest Inn</t>
  </si>
  <si>
    <t>Geneva Glen</t>
  </si>
  <si>
    <t>Total of in kind services:</t>
  </si>
  <si>
    <t xml:space="preserve">Dues based on land area  not Fed, DMP or State and MS4 area (factor of 10 applied) at $200 per sq mile </t>
  </si>
  <si>
    <t>Dues Based on Permitted MGD ($14,000 per MGD)</t>
  </si>
  <si>
    <t>Federal Lands</t>
  </si>
  <si>
    <t>State of Colorado Lands</t>
  </si>
  <si>
    <t>Table 10 - Total Budget if split evenly with NPS &amp; PS</t>
  </si>
  <si>
    <t>Table 11 -  NPS data summary</t>
  </si>
  <si>
    <t>Table 12 - PS data summary</t>
  </si>
  <si>
    <t>Table 13 - Summary table of proposed dues split evenly with NPS and PS</t>
  </si>
  <si>
    <t>Table 14 - Annual in-Kind services provided (NPS, PS &amp; DW)</t>
  </si>
  <si>
    <t xml:space="preserve">change value to update dues increase/decrease based on updated value in cell </t>
  </si>
  <si>
    <t>Potential  2019 Dues Based on Percentage Increase from Cell K20 Below</t>
  </si>
  <si>
    <t>updatd June 14, 2017</t>
  </si>
  <si>
    <t>updated June 14, 2017</t>
  </si>
  <si>
    <t>City &amp; County Denver</t>
  </si>
  <si>
    <t xml:space="preserve">City &amp; County Denver </t>
  </si>
  <si>
    <t>Value of Lab Services/ Supplies</t>
  </si>
  <si>
    <t>updated June 15, 2017</t>
  </si>
  <si>
    <t>Estimated Staff Time for Field Activities  (hrs)</t>
  </si>
  <si>
    <t>NPS*</t>
  </si>
  <si>
    <t>PS</t>
  </si>
  <si>
    <t>Dues Adjusted For Equal NPS &amp; PS Percentages</t>
  </si>
  <si>
    <t>Unclassified</t>
  </si>
  <si>
    <t>-</t>
  </si>
  <si>
    <t>Education &amp; Outreach</t>
  </si>
  <si>
    <t>Bear Creek WSA - Dues Scenario - Approved - Proposed Dues Scenario for NPS &amp; PS Entities based on equal NPS and PS percentages</t>
  </si>
  <si>
    <t>Land areas are based on the watershed boundary as shown in Control Regulation 74</t>
  </si>
  <si>
    <t>k</t>
  </si>
  <si>
    <t>l</t>
  </si>
  <si>
    <t>m</t>
  </si>
  <si>
    <t>n</t>
  </si>
  <si>
    <t>o</t>
  </si>
  <si>
    <t>p</t>
  </si>
  <si>
    <t>Reservoir Management -High-Level Policy 36 ($100 per surface acre)</t>
  </si>
  <si>
    <t>Reservoir Management -Low-Level policy 36 ($25 per surface acre)</t>
  </si>
  <si>
    <t>Reservoir Management - High-level policy 36 ($100 per surface acre)</t>
  </si>
  <si>
    <t xml:space="preserve">Nonpoint Source Entity </t>
  </si>
  <si>
    <t xml:space="preserve">Point Source Entity </t>
  </si>
  <si>
    <t>Brook Forest Inn (NA)</t>
  </si>
  <si>
    <t>Tiny Town (NA)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</si>
</sst>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1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165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2" borderId="0" xfId="0" applyFill="1" applyBorder="1"/>
    <xf numFmtId="164" fontId="0" fillId="0" borderId="1" xfId="1" applyNumberFormat="1" applyFont="1" applyBorder="1"/>
    <xf numFmtId="1" fontId="0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Font="1" applyBorder="1"/>
    <xf numFmtId="0" fontId="2" fillId="0" borderId="1" xfId="0" applyFont="1" applyFill="1" applyBorder="1" applyAlignment="1">
      <alignment horizontal="center"/>
    </xf>
    <xf numFmtId="164" fontId="3" fillId="0" borderId="0" xfId="0" applyNumberFormat="1" applyFont="1"/>
    <xf numFmtId="164" fontId="0" fillId="0" borderId="1" xfId="0" applyNumberFormat="1" applyFont="1" applyBorder="1"/>
    <xf numFmtId="0" fontId="0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0" fontId="4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3" xfId="1" applyNumberFormat="1" applyFont="1" applyBorder="1"/>
    <xf numFmtId="164" fontId="0" fillId="0" borderId="0" xfId="1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44" fontId="0" fillId="0" borderId="0" xfId="1" applyFont="1" applyBorder="1"/>
    <xf numFmtId="164" fontId="0" fillId="0" borderId="1" xfId="0" applyNumberFormat="1" applyBorder="1"/>
    <xf numFmtId="0" fontId="0" fillId="0" borderId="0" xfId="0" applyFont="1" applyFill="1" applyBorder="1" applyAlignment="1">
      <alignment horizontal="left"/>
    </xf>
    <xf numFmtId="9" fontId="0" fillId="0" borderId="1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164" fontId="3" fillId="0" borderId="1" xfId="0" applyNumberFormat="1" applyFont="1" applyBorder="1"/>
    <xf numFmtId="0" fontId="6" fillId="0" borderId="0" xfId="0" applyFont="1"/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7" fillId="0" borderId="1" xfId="0" applyNumberFormat="1" applyFont="1" applyBorder="1"/>
    <xf numFmtId="0" fontId="0" fillId="2" borderId="0" xfId="0" applyFont="1" applyFill="1" applyBorder="1"/>
    <xf numFmtId="164" fontId="0" fillId="0" borderId="1" xfId="2" applyNumberFormat="1" applyFont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9" fontId="2" fillId="3" borderId="0" xfId="2" applyFont="1" applyFill="1" applyAlignment="1">
      <alignment horizontal="center"/>
    </xf>
    <xf numFmtId="0" fontId="0" fillId="3" borderId="0" xfId="0" applyFill="1"/>
    <xf numFmtId="9" fontId="2" fillId="0" borderId="1" xfId="2" applyFont="1" applyBorder="1" applyAlignment="1">
      <alignment horizontal="center" vertical="center"/>
    </xf>
    <xf numFmtId="164" fontId="2" fillId="3" borderId="0" xfId="1" applyNumberFormat="1" applyFont="1" applyFill="1"/>
    <xf numFmtId="6" fontId="0" fillId="0" borderId="0" xfId="0" applyNumberFormat="1"/>
    <xf numFmtId="164" fontId="0" fillId="3" borderId="0" xfId="1" applyNumberFormat="1" applyFont="1" applyFill="1"/>
    <xf numFmtId="0" fontId="4" fillId="0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4" fillId="0" borderId="1" xfId="0" applyFont="1" applyBorder="1"/>
    <xf numFmtId="9" fontId="2" fillId="2" borderId="0" xfId="2" applyFont="1" applyFill="1" applyAlignment="1">
      <alignment horizontal="center"/>
    </xf>
    <xf numFmtId="0" fontId="4" fillId="2" borderId="1" xfId="0" applyFont="1" applyFill="1" applyBorder="1"/>
    <xf numFmtId="0" fontId="5" fillId="2" borderId="2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1" xfId="0" applyNumberFormat="1" applyFont="1" applyFill="1" applyBorder="1"/>
    <xf numFmtId="164" fontId="2" fillId="0" borderId="1" xfId="1" applyNumberFormat="1" applyFont="1" applyBorder="1"/>
    <xf numFmtId="164" fontId="2" fillId="0" borderId="0" xfId="0" applyNumberFormat="1" applyFont="1"/>
    <xf numFmtId="6" fontId="2" fillId="3" borderId="0" xfId="0" applyNumberFormat="1" applyFont="1" applyFill="1" applyAlignment="1">
      <alignment horizontal="center" vertical="center"/>
    </xf>
    <xf numFmtId="164" fontId="0" fillId="2" borderId="1" xfId="1" applyNumberFormat="1" applyFont="1" applyFill="1" applyBorder="1"/>
    <xf numFmtId="0" fontId="4" fillId="0" borderId="0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0" fillId="0" borderId="1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0" fillId="0" borderId="2" xfId="1" applyNumberFormat="1" applyFont="1" applyBorder="1"/>
    <xf numFmtId="164" fontId="0" fillId="2" borderId="2" xfId="1" applyNumberFormat="1" applyFont="1" applyFill="1" applyBorder="1"/>
    <xf numFmtId="164" fontId="2" fillId="2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/>
    <xf numFmtId="6" fontId="2" fillId="4" borderId="0" xfId="0" applyNumberFormat="1" applyFont="1" applyFill="1" applyAlignment="1">
      <alignment horizontal="center" vertical="center"/>
    </xf>
    <xf numFmtId="9" fontId="2" fillId="4" borderId="0" xfId="2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5"/>
  <sheetViews>
    <sheetView topLeftCell="A13" workbookViewId="0">
      <selection activeCell="B22" sqref="B22"/>
    </sheetView>
  </sheetViews>
  <sheetFormatPr defaultRowHeight="14.5" x14ac:dyDescent="0.35"/>
  <cols>
    <col min="1" max="1" width="23.81640625" customWidth="1"/>
    <col min="2" max="2" width="11.26953125" customWidth="1"/>
    <col min="3" max="3" width="13.26953125" customWidth="1"/>
    <col min="4" max="4" width="12.26953125" customWidth="1"/>
    <col min="5" max="5" width="12.81640625" customWidth="1"/>
    <col min="6" max="6" width="12.7265625" customWidth="1"/>
    <col min="7" max="7" width="12.54296875" customWidth="1"/>
    <col min="8" max="8" width="10.54296875" customWidth="1"/>
  </cols>
  <sheetData>
    <row r="1" spans="1:53" ht="19.5" customHeight="1" x14ac:dyDescent="0.35">
      <c r="A1" s="47" t="s">
        <v>57</v>
      </c>
    </row>
    <row r="2" spans="1:53" x14ac:dyDescent="0.35">
      <c r="A2" s="13"/>
    </row>
    <row r="3" spans="1:53" s="13" customFormat="1" x14ac:dyDescent="0.35">
      <c r="A3" s="13" t="s">
        <v>87</v>
      </c>
    </row>
    <row r="4" spans="1:53" s="5" customFormat="1" x14ac:dyDescent="0.35">
      <c r="A4" s="18" t="s">
        <v>7</v>
      </c>
      <c r="B4" s="18" t="s">
        <v>8</v>
      </c>
      <c r="C4" s="18" t="s">
        <v>9</v>
      </c>
      <c r="D4" s="18" t="s">
        <v>68</v>
      </c>
      <c r="E4" s="21" t="s">
        <v>11</v>
      </c>
      <c r="F4" s="21" t="s">
        <v>12</v>
      </c>
      <c r="G4" s="18" t="s">
        <v>13</v>
      </c>
      <c r="H4" s="21" t="s">
        <v>14</v>
      </c>
    </row>
    <row r="5" spans="1:53" s="3" customFormat="1" ht="138" customHeight="1" x14ac:dyDescent="0.35">
      <c r="A5" s="6" t="s">
        <v>50</v>
      </c>
      <c r="B5" s="6" t="s">
        <v>71</v>
      </c>
      <c r="C5" s="6" t="s">
        <v>55</v>
      </c>
      <c r="D5" s="6" t="str">
        <f>'NPS Bear Creek'!K5</f>
        <v xml:space="preserve">Dues based on land area  not Fed, DMP or State and MS4 area (factor of 7 applied) at $190 per sq mile </v>
      </c>
      <c r="E5" s="6" t="s">
        <v>58</v>
      </c>
      <c r="F5" s="6" t="s">
        <v>75</v>
      </c>
      <c r="G5" s="6" t="s">
        <v>76</v>
      </c>
      <c r="H5" s="34" t="s">
        <v>36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53" s="4" customFormat="1" x14ac:dyDescent="0.35">
      <c r="A6" s="1" t="s">
        <v>6</v>
      </c>
      <c r="B6" s="8">
        <v>130.91</v>
      </c>
      <c r="C6" s="10">
        <f>'NPS Bear Creek'!H6</f>
        <v>23100</v>
      </c>
      <c r="D6" s="15">
        <f>'NPS Bear Creek'!K6</f>
        <v>22525.449999999997</v>
      </c>
      <c r="E6" s="15">
        <v>0</v>
      </c>
      <c r="F6" s="15">
        <v>500</v>
      </c>
      <c r="G6" s="23">
        <f>SUM(D6:E6)</f>
        <v>22525.449999999997</v>
      </c>
      <c r="H6" s="23">
        <f>SUM(G6,-C6)</f>
        <v>-574.55000000000291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53" s="4" customFormat="1" x14ac:dyDescent="0.35">
      <c r="A7" s="1" t="s">
        <v>48</v>
      </c>
      <c r="B7" s="8">
        <v>88.45</v>
      </c>
      <c r="C7" s="10">
        <f>'NPS Bear Creek'!H7</f>
        <v>2950</v>
      </c>
      <c r="D7" s="15">
        <f>'NPS Bear Creek'!K7</f>
        <v>5382.7000000000007</v>
      </c>
      <c r="E7" s="15">
        <v>0</v>
      </c>
      <c r="F7" s="15">
        <v>500</v>
      </c>
      <c r="G7" s="23">
        <f>SUM(D7:E7)</f>
        <v>5382.7000000000007</v>
      </c>
      <c r="H7" s="23">
        <f>SUM(G7,-C7)</f>
        <v>2432.7000000000007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53" s="4" customFormat="1" x14ac:dyDescent="0.35">
      <c r="A8" s="7" t="s">
        <v>3</v>
      </c>
      <c r="B8" s="8">
        <v>7.59</v>
      </c>
      <c r="C8" s="10">
        <f>'NPS Bear Creek'!H8</f>
        <v>0</v>
      </c>
      <c r="D8" s="15">
        <f>'NPS Bear Creek'!K8</f>
        <v>169.09999999999994</v>
      </c>
      <c r="E8" s="15">
        <v>0</v>
      </c>
      <c r="F8" s="15">
        <v>500</v>
      </c>
      <c r="G8" s="23">
        <f>F8</f>
        <v>500</v>
      </c>
      <c r="H8" s="23">
        <f>SUM(G8,-C8)</f>
        <v>500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53" s="4" customFormat="1" x14ac:dyDescent="0.35">
      <c r="A9" s="7" t="s">
        <v>0</v>
      </c>
      <c r="B9" s="8">
        <v>7.36</v>
      </c>
      <c r="C9" s="10">
        <f>'NPS Bear Creek'!H9</f>
        <v>25300</v>
      </c>
      <c r="D9" s="15">
        <f>'NPS Bear Creek'!K9</f>
        <v>11187.2</v>
      </c>
      <c r="E9" s="15">
        <f>'NPS Bear Creek'!L9</f>
        <v>12000</v>
      </c>
      <c r="F9" s="15">
        <v>500</v>
      </c>
      <c r="G9" s="23">
        <f>SUM(D9:E9)</f>
        <v>23187.200000000001</v>
      </c>
      <c r="H9" s="23">
        <f>SUM(G9,-C9)</f>
        <v>-2112.7999999999993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53" s="4" customFormat="1" x14ac:dyDescent="0.35">
      <c r="A10" s="1" t="s">
        <v>26</v>
      </c>
      <c r="B10" s="8">
        <v>2.19</v>
      </c>
      <c r="C10" s="10">
        <f>'NPS Bear Creek'!H10</f>
        <v>0</v>
      </c>
      <c r="D10" s="15">
        <f>'NPS Bear Creek'!K10</f>
        <v>416.09999999999997</v>
      </c>
      <c r="E10" s="15">
        <v>0</v>
      </c>
      <c r="F10" s="15">
        <v>500</v>
      </c>
      <c r="G10" s="23">
        <f>F10</f>
        <v>500</v>
      </c>
      <c r="H10" s="23">
        <f>SUM(G10,-C10)</f>
        <v>500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53" s="2" customFormat="1" x14ac:dyDescent="0.35">
      <c r="A11" s="48" t="s">
        <v>1</v>
      </c>
      <c r="B11" s="9">
        <f t="shared" ref="B11" si="0">SUM(B6:B10)</f>
        <v>236.50000000000003</v>
      </c>
      <c r="C11" s="11">
        <f>SUM(C6:C10)</f>
        <v>51350</v>
      </c>
      <c r="D11" s="11">
        <f>SUM(D6:D10)</f>
        <v>39680.549999999996</v>
      </c>
      <c r="E11" s="11">
        <f>SUM(E6:E10)</f>
        <v>12000</v>
      </c>
      <c r="F11" s="11"/>
      <c r="G11" s="11">
        <f>SUM(G6:G10)</f>
        <v>52095.35</v>
      </c>
      <c r="H11" s="30">
        <f>SUM(H6:H10)</f>
        <v>745.34999999999854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53" s="4" customFormat="1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s="4" customFormat="1" x14ac:dyDescent="0.35">
      <c r="A13" s="13" t="s">
        <v>86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3" s="5" customFormat="1" x14ac:dyDescent="0.35">
      <c r="A14" s="18" t="s">
        <v>40</v>
      </c>
      <c r="B14" s="18" t="s">
        <v>8</v>
      </c>
      <c r="C14" s="18" t="s">
        <v>9</v>
      </c>
      <c r="D14" s="18" t="s">
        <v>10</v>
      </c>
      <c r="E14" s="18" t="s">
        <v>11</v>
      </c>
      <c r="F14" s="18" t="s">
        <v>12</v>
      </c>
      <c r="G14" s="18" t="s">
        <v>13</v>
      </c>
    </row>
    <row r="15" spans="1:53" s="5" customFormat="1" ht="72.5" x14ac:dyDescent="0.35">
      <c r="A15" s="25" t="s">
        <v>37</v>
      </c>
      <c r="B15" s="26" t="s">
        <v>33</v>
      </c>
      <c r="C15" s="9" t="s">
        <v>56</v>
      </c>
      <c r="D15" s="34" t="s">
        <v>94</v>
      </c>
      <c r="E15" s="34" t="s">
        <v>38</v>
      </c>
      <c r="F15" s="34" t="s">
        <v>77</v>
      </c>
      <c r="G15" s="34" t="s">
        <v>36</v>
      </c>
    </row>
    <row r="16" spans="1:53" s="5" customFormat="1" x14ac:dyDescent="0.35">
      <c r="A16" s="27" t="s">
        <v>22</v>
      </c>
      <c r="B16" s="28">
        <v>0.99</v>
      </c>
      <c r="C16" s="29">
        <v>19763</v>
      </c>
      <c r="D16" s="35">
        <f>'PS Bear Creek'!D6</f>
        <v>18315</v>
      </c>
      <c r="E16" s="35">
        <f>'PS Bear Creek'!E6</f>
        <v>3500</v>
      </c>
      <c r="F16" s="35">
        <f>IF(D16&gt;E16,D16)</f>
        <v>18315</v>
      </c>
      <c r="G16" s="23">
        <f>SUM(F16,-C16)</f>
        <v>-1448</v>
      </c>
    </row>
    <row r="17" spans="1:7" s="5" customFormat="1" x14ac:dyDescent="0.35">
      <c r="A17" s="27" t="s">
        <v>23</v>
      </c>
      <c r="B17" s="28">
        <v>0.7</v>
      </c>
      <c r="C17" s="29">
        <v>13652</v>
      </c>
      <c r="D17" s="35">
        <f>'PS Bear Creek'!D7</f>
        <v>12950</v>
      </c>
      <c r="E17" s="35">
        <f>'PS Bear Creek'!E7</f>
        <v>3500</v>
      </c>
      <c r="F17" s="35">
        <f t="shared" ref="F17:F18" si="1">IF(D17&gt;E17,D17)</f>
        <v>12950</v>
      </c>
      <c r="G17" s="23">
        <f t="shared" ref="G17:G26" si="2">SUM(F17,-C17)</f>
        <v>-702</v>
      </c>
    </row>
    <row r="18" spans="1:7" s="5" customFormat="1" x14ac:dyDescent="0.35">
      <c r="A18" s="27" t="s">
        <v>24</v>
      </c>
      <c r="B18" s="28">
        <v>0.8</v>
      </c>
      <c r="C18" s="29">
        <v>12030</v>
      </c>
      <c r="D18" s="35">
        <f>'PS Bear Creek'!D8</f>
        <v>14800</v>
      </c>
      <c r="E18" s="35">
        <f>'PS Bear Creek'!E8</f>
        <v>3500</v>
      </c>
      <c r="F18" s="35">
        <f t="shared" si="1"/>
        <v>14800</v>
      </c>
      <c r="G18" s="23">
        <f t="shared" si="2"/>
        <v>2770</v>
      </c>
    </row>
    <row r="19" spans="1:7" s="5" customFormat="1" x14ac:dyDescent="0.35">
      <c r="A19" s="27" t="s">
        <v>25</v>
      </c>
      <c r="B19" s="28">
        <v>0.125</v>
      </c>
      <c r="C19" s="29">
        <v>4016</v>
      </c>
      <c r="D19" s="35">
        <f>'PS Bear Creek'!D9</f>
        <v>2312.5</v>
      </c>
      <c r="E19" s="35">
        <f>'PS Bear Creek'!E9</f>
        <v>3500</v>
      </c>
      <c r="F19" s="35">
        <f>E19</f>
        <v>3500</v>
      </c>
      <c r="G19" s="23">
        <f t="shared" si="2"/>
        <v>-516</v>
      </c>
    </row>
    <row r="20" spans="1:7" s="5" customFormat="1" x14ac:dyDescent="0.35">
      <c r="A20" s="27" t="s">
        <v>26</v>
      </c>
      <c r="B20" s="28">
        <v>0.2</v>
      </c>
      <c r="C20" s="29">
        <v>4016</v>
      </c>
      <c r="D20" s="35">
        <f>'PS Bear Creek'!D10</f>
        <v>3700</v>
      </c>
      <c r="E20" s="35">
        <f>'PS Bear Creek'!E10</f>
        <v>3500</v>
      </c>
      <c r="F20" s="35">
        <f>E20</f>
        <v>3500</v>
      </c>
      <c r="G20" s="23">
        <f t="shared" si="2"/>
        <v>-516</v>
      </c>
    </row>
    <row r="21" spans="1:7" s="5" customFormat="1" x14ac:dyDescent="0.35">
      <c r="A21" s="27" t="s">
        <v>34</v>
      </c>
      <c r="B21" s="28">
        <v>0.06</v>
      </c>
      <c r="C21" s="29">
        <v>3742</v>
      </c>
      <c r="D21" s="35">
        <f>'PS Bear Creek'!D11</f>
        <v>1110</v>
      </c>
      <c r="E21" s="35">
        <f>'PS Bear Creek'!E11</f>
        <v>3500</v>
      </c>
      <c r="F21" s="35">
        <f t="shared" ref="F21:F26" si="3">E21</f>
        <v>3500</v>
      </c>
      <c r="G21" s="23">
        <f t="shared" si="2"/>
        <v>-242</v>
      </c>
    </row>
    <row r="22" spans="1:7" s="5" customFormat="1" x14ac:dyDescent="0.35">
      <c r="A22" s="27" t="s">
        <v>28</v>
      </c>
      <c r="B22" s="28">
        <v>4.3499999999999997E-2</v>
      </c>
      <c r="C22" s="29">
        <v>3080</v>
      </c>
      <c r="D22" s="35">
        <f>'PS Bear Creek'!D12</f>
        <v>804.75</v>
      </c>
      <c r="E22" s="35">
        <f>'PS Bear Creek'!E12</f>
        <v>3500</v>
      </c>
      <c r="F22" s="35">
        <f t="shared" si="3"/>
        <v>3500</v>
      </c>
      <c r="G22" s="23">
        <f t="shared" si="2"/>
        <v>420</v>
      </c>
    </row>
    <row r="23" spans="1:7" s="5" customFormat="1" x14ac:dyDescent="0.35">
      <c r="A23" s="27" t="s">
        <v>29</v>
      </c>
      <c r="B23" s="28">
        <v>0.05</v>
      </c>
      <c r="C23" s="29">
        <v>2702</v>
      </c>
      <c r="D23" s="35">
        <f>'PS Bear Creek'!D13</f>
        <v>925</v>
      </c>
      <c r="E23" s="35">
        <f>'PS Bear Creek'!E13</f>
        <v>3500</v>
      </c>
      <c r="F23" s="35">
        <f t="shared" si="3"/>
        <v>3500</v>
      </c>
      <c r="G23" s="23">
        <f t="shared" si="2"/>
        <v>798</v>
      </c>
    </row>
    <row r="24" spans="1:7" s="5" customFormat="1" x14ac:dyDescent="0.35">
      <c r="A24" s="27" t="s">
        <v>30</v>
      </c>
      <c r="B24" s="28">
        <v>2.5000000000000001E-2</v>
      </c>
      <c r="C24" s="29">
        <v>2052</v>
      </c>
      <c r="D24" s="35">
        <f>'PS Bear Creek'!D14</f>
        <v>462.5</v>
      </c>
      <c r="E24" s="35">
        <f>'PS Bear Creek'!E14</f>
        <v>2000</v>
      </c>
      <c r="F24" s="35">
        <f t="shared" si="3"/>
        <v>2000</v>
      </c>
      <c r="G24" s="23">
        <f t="shared" si="2"/>
        <v>-52</v>
      </c>
    </row>
    <row r="25" spans="1:7" s="5" customFormat="1" x14ac:dyDescent="0.35">
      <c r="A25" s="27" t="s">
        <v>31</v>
      </c>
      <c r="B25" s="28">
        <v>1.9E-2</v>
      </c>
      <c r="C25" s="29">
        <v>2124</v>
      </c>
      <c r="D25" s="35">
        <f>'PS Bear Creek'!D15</f>
        <v>351.5</v>
      </c>
      <c r="E25" s="35">
        <f>'PS Bear Creek'!E15</f>
        <v>2000</v>
      </c>
      <c r="F25" s="35">
        <f t="shared" si="3"/>
        <v>2000</v>
      </c>
      <c r="G25" s="23">
        <f t="shared" si="2"/>
        <v>-124</v>
      </c>
    </row>
    <row r="26" spans="1:7" s="5" customFormat="1" x14ac:dyDescent="0.35">
      <c r="A26" s="27" t="s">
        <v>32</v>
      </c>
      <c r="B26" s="28">
        <v>5.0000000000000001E-3</v>
      </c>
      <c r="C26" s="29">
        <v>413</v>
      </c>
      <c r="D26" s="35">
        <f>'PS Bear Creek'!D18</f>
        <v>92.5</v>
      </c>
      <c r="E26" s="35">
        <f>'PS Bear Creek'!E18</f>
        <v>500</v>
      </c>
      <c r="F26" s="35">
        <f t="shared" si="3"/>
        <v>500</v>
      </c>
      <c r="G26" s="23">
        <f t="shared" si="2"/>
        <v>87</v>
      </c>
    </row>
    <row r="27" spans="1:7" s="5" customFormat="1" x14ac:dyDescent="0.35">
      <c r="A27" s="31" t="s">
        <v>35</v>
      </c>
      <c r="B27" s="32">
        <f>SUM(B16:B26)</f>
        <v>3.0175000000000001</v>
      </c>
      <c r="C27" s="33">
        <f>SUM(C16:C26)</f>
        <v>67590</v>
      </c>
      <c r="D27" s="33">
        <f>SUM(D16:D26)</f>
        <v>55823.75</v>
      </c>
      <c r="E27" s="33"/>
      <c r="F27" s="33">
        <f>SUM(F16:F26)</f>
        <v>68065</v>
      </c>
      <c r="G27" s="33">
        <f>SUM(G16:G26)</f>
        <v>475</v>
      </c>
    </row>
    <row r="28" spans="1:7" s="5" customFormat="1" x14ac:dyDescent="0.35"/>
    <row r="29" spans="1:7" x14ac:dyDescent="0.35">
      <c r="A29" s="45" t="s">
        <v>85</v>
      </c>
    </row>
    <row r="30" spans="1:7" x14ac:dyDescent="0.35">
      <c r="A30" s="18" t="s">
        <v>40</v>
      </c>
      <c r="B30" s="18" t="s">
        <v>8</v>
      </c>
      <c r="C30" s="18" t="s">
        <v>9</v>
      </c>
      <c r="D30" s="18" t="s">
        <v>10</v>
      </c>
      <c r="E30" s="18" t="s">
        <v>11</v>
      </c>
      <c r="F30" s="18" t="s">
        <v>12</v>
      </c>
    </row>
    <row r="31" spans="1:7" ht="58" x14ac:dyDescent="0.35">
      <c r="A31" s="32" t="s">
        <v>44</v>
      </c>
      <c r="B31" s="34" t="s">
        <v>4</v>
      </c>
      <c r="C31" s="34" t="s">
        <v>42</v>
      </c>
      <c r="D31" s="34" t="s">
        <v>52</v>
      </c>
      <c r="E31" s="34" t="s">
        <v>53</v>
      </c>
      <c r="F31" s="44" t="s">
        <v>49</v>
      </c>
    </row>
    <row r="32" spans="1:7" x14ac:dyDescent="0.35">
      <c r="A32" s="18" t="s">
        <v>41</v>
      </c>
      <c r="B32" s="41">
        <f>C11</f>
        <v>51350</v>
      </c>
      <c r="C32" s="41">
        <f>G11</f>
        <v>52095.35</v>
      </c>
      <c r="D32" s="43">
        <f>PRODUCT(B32,1/B35)</f>
        <v>0.42056725390468236</v>
      </c>
      <c r="E32" s="43">
        <f>PRODUCT(C32,1/C35)</f>
        <v>0.42234135491417352</v>
      </c>
      <c r="F32" s="43">
        <f>PRODUCT(C32,1/B32)-1</f>
        <v>1.4515092502434213E-2</v>
      </c>
    </row>
    <row r="33" spans="1:6" x14ac:dyDescent="0.35">
      <c r="A33" s="18" t="s">
        <v>47</v>
      </c>
      <c r="B33" s="41">
        <f>C27</f>
        <v>67590</v>
      </c>
      <c r="C33" s="41">
        <f>F27</f>
        <v>68065</v>
      </c>
      <c r="D33" s="43">
        <f>PRODUCT(B33,1/B35)</f>
        <v>0.55357625494483897</v>
      </c>
      <c r="E33" s="43">
        <f>PRODUCT(C33,1/C35)</f>
        <v>0.55180864169706545</v>
      </c>
      <c r="F33" s="43">
        <f t="shared" ref="F33:F35" si="4">PRODUCT(C33,1/B33)-1</f>
        <v>7.0276668146176391E-3</v>
      </c>
    </row>
    <row r="34" spans="1:6" x14ac:dyDescent="0.35">
      <c r="A34" s="18" t="s">
        <v>27</v>
      </c>
      <c r="B34" s="15">
        <f>'NPS Bear Creek'!B17</f>
        <v>3157</v>
      </c>
      <c r="C34" s="41">
        <f>B34*1.01</f>
        <v>3188.57</v>
      </c>
      <c r="D34" s="43">
        <f>PRODUCT(B34,1/B35)</f>
        <v>2.5856491150478719E-2</v>
      </c>
      <c r="E34" s="43">
        <f>PRODUCT(C34,1/C35)</f>
        <v>2.5850003388760923E-2</v>
      </c>
      <c r="F34" s="43">
        <f t="shared" si="4"/>
        <v>1.0000000000000009E-2</v>
      </c>
    </row>
    <row r="35" spans="1:6" x14ac:dyDescent="0.35">
      <c r="A35" s="49" t="s">
        <v>1</v>
      </c>
      <c r="B35" s="41">
        <f>SUM(B32:B34)</f>
        <v>122097</v>
      </c>
      <c r="C35" s="41">
        <f>SUM(C32:C34)</f>
        <v>123348.92000000001</v>
      </c>
      <c r="D35" s="43">
        <f>SUM(D32:D34)</f>
        <v>1</v>
      </c>
      <c r="E35" s="43">
        <f>SUM(E32:E34)</f>
        <v>1</v>
      </c>
      <c r="F35" s="43">
        <f t="shared" si="4"/>
        <v>1.0253486981662174E-2</v>
      </c>
    </row>
    <row r="37" spans="1:6" x14ac:dyDescent="0.35">
      <c r="A37" s="42" t="s">
        <v>45</v>
      </c>
    </row>
    <row r="44" spans="1:6" x14ac:dyDescent="0.35">
      <c r="A44" t="s">
        <v>59</v>
      </c>
    </row>
    <row r="45" spans="1:6" x14ac:dyDescent="0.35">
      <c r="A45" t="s">
        <v>131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24"/>
  <sheetViews>
    <sheetView topLeftCell="A4" zoomScaleNormal="100" workbookViewId="0">
      <selection activeCell="L10" sqref="L10"/>
    </sheetView>
  </sheetViews>
  <sheetFormatPr defaultColWidth="9.1796875" defaultRowHeight="14.5" x14ac:dyDescent="0.35"/>
  <cols>
    <col min="1" max="1" width="27.1796875" style="5" customWidth="1"/>
    <col min="2" max="3" width="9.7265625" style="5" customWidth="1"/>
    <col min="4" max="4" width="11.453125" style="5" customWidth="1"/>
    <col min="5" max="5" width="9.26953125" style="5" customWidth="1"/>
    <col min="6" max="6" width="11.54296875" style="5" customWidth="1"/>
    <col min="7" max="7" width="12.1796875" style="5" customWidth="1"/>
    <col min="8" max="8" width="11" style="5" customWidth="1"/>
    <col min="9" max="9" width="12.1796875" style="5" customWidth="1"/>
    <col min="10" max="10" width="12" style="5" customWidth="1"/>
    <col min="11" max="11" width="14.1796875" style="5" customWidth="1"/>
    <col min="12" max="12" width="13.26953125" style="5" customWidth="1"/>
    <col min="13" max="14" width="10.81640625" style="5" customWidth="1"/>
    <col min="15" max="15" width="11.453125" style="5" customWidth="1"/>
    <col min="16" max="16" width="11.7265625" style="5" customWidth="1"/>
    <col min="17" max="17" width="21.1796875" style="5" customWidth="1"/>
    <col min="18" max="18" width="14" style="5" customWidth="1"/>
    <col min="19" max="19" width="11.54296875" style="5" customWidth="1"/>
    <col min="20" max="20" width="9.1796875" style="5"/>
    <col min="21" max="21" width="22" style="5" customWidth="1"/>
    <col min="22" max="22" width="11.54296875" style="5" customWidth="1"/>
    <col min="23" max="16384" width="9.1796875" style="5"/>
  </cols>
  <sheetData>
    <row r="1" spans="1:51" s="13" customFormat="1" x14ac:dyDescent="0.35">
      <c r="A1" s="13" t="s">
        <v>60</v>
      </c>
    </row>
    <row r="2" spans="1:51" s="13" customFormat="1" x14ac:dyDescent="0.35"/>
    <row r="3" spans="1:51" s="13" customFormat="1" x14ac:dyDescent="0.35">
      <c r="A3" s="13" t="s">
        <v>88</v>
      </c>
    </row>
    <row r="4" spans="1:51" x14ac:dyDescent="0.35">
      <c r="A4" s="18" t="s">
        <v>7</v>
      </c>
      <c r="B4" s="18" t="s">
        <v>8</v>
      </c>
      <c r="C4" s="18" t="s">
        <v>9</v>
      </c>
      <c r="D4" s="18" t="s">
        <v>68</v>
      </c>
      <c r="E4" s="18" t="s">
        <v>11</v>
      </c>
      <c r="F4" s="18" t="s">
        <v>12</v>
      </c>
      <c r="G4" s="18" t="s">
        <v>13</v>
      </c>
      <c r="H4" s="21" t="s">
        <v>14</v>
      </c>
      <c r="I4" s="21" t="s">
        <v>15</v>
      </c>
      <c r="J4" s="21" t="s">
        <v>16</v>
      </c>
      <c r="K4" s="18" t="s">
        <v>17</v>
      </c>
      <c r="L4" s="21" t="s">
        <v>18</v>
      </c>
      <c r="M4" s="18" t="s">
        <v>19</v>
      </c>
      <c r="N4" s="18" t="s">
        <v>20</v>
      </c>
      <c r="O4" s="32" t="s">
        <v>21</v>
      </c>
    </row>
    <row r="5" spans="1:51" s="3" customFormat="1" ht="126" customHeight="1" x14ac:dyDescent="0.35">
      <c r="A5" s="6" t="s">
        <v>50</v>
      </c>
      <c r="B5" s="6" t="s">
        <v>62</v>
      </c>
      <c r="C5" s="6" t="s">
        <v>63</v>
      </c>
      <c r="D5" s="6" t="s">
        <v>64</v>
      </c>
      <c r="E5" s="6" t="s">
        <v>90</v>
      </c>
      <c r="F5" s="6" t="s">
        <v>65</v>
      </c>
      <c r="G5" s="6" t="s">
        <v>66</v>
      </c>
      <c r="H5" s="6" t="s">
        <v>4</v>
      </c>
      <c r="I5" s="6" t="s">
        <v>61</v>
      </c>
      <c r="J5" s="6" t="s">
        <v>69</v>
      </c>
      <c r="K5" s="6" t="s">
        <v>72</v>
      </c>
      <c r="L5" s="6" t="s">
        <v>103</v>
      </c>
      <c r="M5" s="6" t="s">
        <v>73</v>
      </c>
      <c r="N5" s="6" t="s">
        <v>78</v>
      </c>
      <c r="O5" s="6" t="s">
        <v>51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51" s="4" customFormat="1" x14ac:dyDescent="0.35">
      <c r="A6" s="1" t="s">
        <v>6</v>
      </c>
      <c r="B6" s="8">
        <v>130.91</v>
      </c>
      <c r="C6" s="8">
        <v>3.4</v>
      </c>
      <c r="D6" s="8">
        <v>11.955</v>
      </c>
      <c r="E6" s="8">
        <v>0.5</v>
      </c>
      <c r="F6" s="8">
        <f>SUM(B6,-C6,-D6,-E6)</f>
        <v>115.05499999999999</v>
      </c>
      <c r="G6" s="8">
        <v>0.5</v>
      </c>
      <c r="H6" s="10">
        <v>23100</v>
      </c>
      <c r="I6" s="15">
        <f>PRODUCT(B6,217)</f>
        <v>28407.469999999998</v>
      </c>
      <c r="J6" s="15">
        <f>PRODUCT(F6,334)</f>
        <v>38428.369999999995</v>
      </c>
      <c r="K6" s="15">
        <f>((F6)+(G6*7))*190</f>
        <v>22525.449999999997</v>
      </c>
      <c r="L6" s="15">
        <v>0</v>
      </c>
      <c r="M6" s="23">
        <v>500</v>
      </c>
      <c r="N6" s="35">
        <f>IF(K6&gt;M6,K6)</f>
        <v>22525.449999999997</v>
      </c>
      <c r="O6" s="50">
        <f>SUM(N6-H6)</f>
        <v>-574.55000000000291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51" s="4" customFormat="1" x14ac:dyDescent="0.35">
      <c r="A7" s="7" t="s">
        <v>2</v>
      </c>
      <c r="B7" s="8">
        <v>88.45</v>
      </c>
      <c r="C7" s="8">
        <v>51.3</v>
      </c>
      <c r="D7" s="8">
        <v>2.56</v>
      </c>
      <c r="E7" s="8">
        <v>6.26</v>
      </c>
      <c r="F7" s="8">
        <f t="shared" ref="F7:F10" si="0">SUM(B7,-C7,-D7,-E7)</f>
        <v>28.330000000000005</v>
      </c>
      <c r="G7" s="16">
        <v>0</v>
      </c>
      <c r="H7" s="10">
        <v>2950</v>
      </c>
      <c r="I7" s="15">
        <f>PRODUCT(B7,217)</f>
        <v>19193.650000000001</v>
      </c>
      <c r="J7" s="15">
        <f>PRODUCT(F7,334)</f>
        <v>9462.2200000000012</v>
      </c>
      <c r="K7" s="15">
        <f t="shared" ref="K7:K10" si="1">((F7)+(G7*7))*190</f>
        <v>5382.7000000000007</v>
      </c>
      <c r="L7" s="15">
        <v>0</v>
      </c>
      <c r="M7" s="23">
        <v>500</v>
      </c>
      <c r="N7" s="35">
        <f>IF(K7&gt;M7,K7)</f>
        <v>5382.7000000000007</v>
      </c>
      <c r="O7" s="50">
        <f>SUM(N7-H7)</f>
        <v>2432.7000000000007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51" s="4" customFormat="1" x14ac:dyDescent="0.35">
      <c r="A8" s="7" t="s">
        <v>3</v>
      </c>
      <c r="B8" s="8">
        <v>7.59</v>
      </c>
      <c r="C8" s="8">
        <v>6.7</v>
      </c>
      <c r="D8" s="16">
        <v>0</v>
      </c>
      <c r="E8" s="16">
        <v>0</v>
      </c>
      <c r="F8" s="8">
        <f t="shared" si="0"/>
        <v>0.88999999999999968</v>
      </c>
      <c r="G8" s="16">
        <v>0</v>
      </c>
      <c r="H8" s="10">
        <v>0</v>
      </c>
      <c r="I8" s="15">
        <f>PRODUCT(B8,217)</f>
        <v>1647.03</v>
      </c>
      <c r="J8" s="15">
        <f>PRODUCT(F8,334)</f>
        <v>297.25999999999988</v>
      </c>
      <c r="K8" s="15">
        <f t="shared" si="1"/>
        <v>169.09999999999994</v>
      </c>
      <c r="L8" s="15">
        <v>0</v>
      </c>
      <c r="M8" s="23">
        <v>500</v>
      </c>
      <c r="N8" s="23">
        <f t="shared" ref="N8:N10" si="2">SUM(L8:M8)</f>
        <v>500</v>
      </c>
      <c r="O8" s="23">
        <f t="shared" ref="O8:O10" si="3">SUM(M8,-H8)</f>
        <v>500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51" s="4" customFormat="1" x14ac:dyDescent="0.35">
      <c r="A9" s="7" t="s">
        <v>0</v>
      </c>
      <c r="B9" s="8">
        <v>7.36</v>
      </c>
      <c r="C9" s="16">
        <v>0</v>
      </c>
      <c r="D9" s="16">
        <v>0</v>
      </c>
      <c r="E9" s="16">
        <v>0</v>
      </c>
      <c r="F9" s="8">
        <f t="shared" si="0"/>
        <v>7.36</v>
      </c>
      <c r="G9" s="8">
        <f>B9</f>
        <v>7.36</v>
      </c>
      <c r="H9" s="10">
        <v>25300</v>
      </c>
      <c r="I9" s="15">
        <f>PRODUCT(B9,217)</f>
        <v>1597.1200000000001</v>
      </c>
      <c r="J9" s="15">
        <f>PRODUCT(F9,334)</f>
        <v>2458.2400000000002</v>
      </c>
      <c r="K9" s="15">
        <f t="shared" si="1"/>
        <v>11187.2</v>
      </c>
      <c r="L9" s="15">
        <v>12000</v>
      </c>
      <c r="M9" s="23">
        <v>500</v>
      </c>
      <c r="N9" s="35">
        <f>IF((K9+L9)&gt;M9,K9+L9)</f>
        <v>23187.200000000001</v>
      </c>
      <c r="O9" s="50">
        <f>SUM(N9-H9)</f>
        <v>-2112.7999999999993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51" s="4" customFormat="1" x14ac:dyDescent="0.35">
      <c r="A10" s="1" t="s">
        <v>5</v>
      </c>
      <c r="B10" s="8">
        <v>2.19</v>
      </c>
      <c r="C10" s="16">
        <v>0</v>
      </c>
      <c r="D10" s="16">
        <v>0</v>
      </c>
      <c r="E10" s="16">
        <v>0</v>
      </c>
      <c r="F10" s="8">
        <f t="shared" si="0"/>
        <v>2.19</v>
      </c>
      <c r="G10" s="16">
        <v>0</v>
      </c>
      <c r="H10" s="10">
        <v>0</v>
      </c>
      <c r="I10" s="15">
        <f>PRODUCT(B10,217)</f>
        <v>475.22999999999996</v>
      </c>
      <c r="J10" s="15">
        <f>PRODUCT(F10,334)</f>
        <v>731.46</v>
      </c>
      <c r="K10" s="15">
        <f t="shared" si="1"/>
        <v>416.09999999999997</v>
      </c>
      <c r="L10" s="15">
        <v>0</v>
      </c>
      <c r="M10" s="23">
        <v>500</v>
      </c>
      <c r="N10" s="23">
        <f t="shared" si="2"/>
        <v>500</v>
      </c>
      <c r="O10" s="23">
        <f t="shared" si="3"/>
        <v>500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51" s="2" customFormat="1" x14ac:dyDescent="0.35">
      <c r="A11" s="48" t="s">
        <v>1</v>
      </c>
      <c r="B11" s="9">
        <f t="shared" ref="B11:E11" si="4">SUM(B6:B10)</f>
        <v>236.50000000000003</v>
      </c>
      <c r="C11" s="12">
        <f t="shared" si="4"/>
        <v>61.4</v>
      </c>
      <c r="D11" s="12">
        <f t="shared" si="4"/>
        <v>14.515000000000001</v>
      </c>
      <c r="E11" s="12">
        <f t="shared" si="4"/>
        <v>6.76</v>
      </c>
      <c r="F11" s="12">
        <f>SUM(F6:F10)</f>
        <v>153.82499999999999</v>
      </c>
      <c r="G11" s="12">
        <f t="shared" ref="G11" si="5">SUM(G6:G10)</f>
        <v>7.86</v>
      </c>
      <c r="H11" s="11">
        <f t="shared" ref="H11:L11" si="6">SUM(H6:H10)</f>
        <v>51350</v>
      </c>
      <c r="I11" s="11">
        <f t="shared" si="6"/>
        <v>51320.5</v>
      </c>
      <c r="J11" s="11">
        <f t="shared" si="6"/>
        <v>51377.549999999996</v>
      </c>
      <c r="K11" s="11">
        <f t="shared" si="6"/>
        <v>39680.549999999996</v>
      </c>
      <c r="L11" s="11">
        <f t="shared" si="6"/>
        <v>12000</v>
      </c>
      <c r="M11" s="11"/>
      <c r="N11" s="11">
        <f>SUM(N6:N10)</f>
        <v>52095.35</v>
      </c>
      <c r="O11" s="2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51" s="4" customFormat="1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s="4" customFormat="1" x14ac:dyDescent="0.35">
      <c r="A13" s="51" t="s">
        <v>67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s="4" customFormat="1" x14ac:dyDescent="0.35">
      <c r="A14" s="14" t="s">
        <v>54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s="4" customFormat="1" x14ac:dyDescent="0.35">
      <c r="A15" s="14" t="s">
        <v>70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x14ac:dyDescent="0.35">
      <c r="A16" t="s">
        <v>74</v>
      </c>
    </row>
    <row r="17" spans="1:51" s="4" customFormat="1" x14ac:dyDescent="0.35">
      <c r="A17" s="14" t="s">
        <v>43</v>
      </c>
      <c r="B17" s="36">
        <v>3157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x14ac:dyDescent="0.35">
      <c r="A18" s="37"/>
      <c r="B18" s="38"/>
      <c r="C18" s="39"/>
      <c r="D18" s="40"/>
      <c r="E18" s="24"/>
    </row>
    <row r="19" spans="1:51" s="4" customForma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1" spans="1:51" x14ac:dyDescent="0.35">
      <c r="A21" t="s">
        <v>59</v>
      </c>
    </row>
    <row r="22" spans="1:51" x14ac:dyDescent="0.35">
      <c r="A22" s="5" t="s">
        <v>132</v>
      </c>
    </row>
    <row r="23" spans="1:51" x14ac:dyDescent="0.35">
      <c r="A23" s="19"/>
      <c r="B23" s="17"/>
    </row>
    <row r="24" spans="1:51" x14ac:dyDescent="0.35">
      <c r="A24" s="13"/>
      <c r="B24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>
      <selection activeCell="B11" sqref="B11"/>
    </sheetView>
  </sheetViews>
  <sheetFormatPr defaultRowHeight="14.5" x14ac:dyDescent="0.35"/>
  <cols>
    <col min="1" max="1" width="27.7265625" customWidth="1"/>
    <col min="2" max="2" width="11.54296875" customWidth="1"/>
    <col min="3" max="3" width="14.1796875" customWidth="1"/>
    <col min="4" max="4" width="15.1796875" customWidth="1"/>
    <col min="5" max="5" width="12.1796875" customWidth="1"/>
    <col min="6" max="6" width="17.26953125" customWidth="1"/>
    <col min="7" max="7" width="18.453125" customWidth="1"/>
  </cols>
  <sheetData>
    <row r="1" spans="1:7" s="13" customFormat="1" x14ac:dyDescent="0.35">
      <c r="A1" s="13" t="s">
        <v>46</v>
      </c>
    </row>
    <row r="2" spans="1:7" s="13" customFormat="1" x14ac:dyDescent="0.35"/>
    <row r="3" spans="1:7" s="13" customFormat="1" x14ac:dyDescent="0.35">
      <c r="A3" s="13" t="s">
        <v>89</v>
      </c>
    </row>
    <row r="4" spans="1:7" s="5" customFormat="1" x14ac:dyDescent="0.35">
      <c r="A4" s="18" t="s">
        <v>40</v>
      </c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</row>
    <row r="5" spans="1:7" s="5" customFormat="1" ht="58" x14ac:dyDescent="0.35">
      <c r="A5" s="25" t="s">
        <v>37</v>
      </c>
      <c r="B5" s="26" t="s">
        <v>33</v>
      </c>
      <c r="C5" s="9" t="s">
        <v>4</v>
      </c>
      <c r="D5" s="34" t="s">
        <v>93</v>
      </c>
      <c r="E5" s="34" t="s">
        <v>39</v>
      </c>
      <c r="F5" s="34" t="s">
        <v>79</v>
      </c>
      <c r="G5" s="34" t="s">
        <v>36</v>
      </c>
    </row>
    <row r="6" spans="1:7" s="5" customFormat="1" x14ac:dyDescent="0.35">
      <c r="A6" s="27" t="s">
        <v>22</v>
      </c>
      <c r="B6" s="28">
        <v>0.99</v>
      </c>
      <c r="C6" s="29">
        <v>19763</v>
      </c>
      <c r="D6" s="35">
        <f>PRODUCT(B6,$D$20)</f>
        <v>18315</v>
      </c>
      <c r="E6" s="35">
        <v>3500</v>
      </c>
      <c r="F6" s="35">
        <f>IF(D6&gt;E6,D6)</f>
        <v>18315</v>
      </c>
      <c r="G6" s="23">
        <f>SUM(F6,-C6)</f>
        <v>-1448</v>
      </c>
    </row>
    <row r="7" spans="1:7" s="5" customFormat="1" x14ac:dyDescent="0.35">
      <c r="A7" s="27" t="s">
        <v>23</v>
      </c>
      <c r="B7" s="28">
        <v>0.7</v>
      </c>
      <c r="C7" s="29">
        <v>13652</v>
      </c>
      <c r="D7" s="35">
        <f>PRODUCT(B7,$D$20)</f>
        <v>12950</v>
      </c>
      <c r="E7" s="35">
        <v>3500</v>
      </c>
      <c r="F7" s="35">
        <f t="shared" ref="F7:F8" si="0">IF(D7&gt;E7,D7)</f>
        <v>12950</v>
      </c>
      <c r="G7" s="23">
        <f t="shared" ref="G7:G18" si="1">SUM(F7,-C7)</f>
        <v>-702</v>
      </c>
    </row>
    <row r="8" spans="1:7" s="5" customFormat="1" x14ac:dyDescent="0.35">
      <c r="A8" s="27" t="s">
        <v>24</v>
      </c>
      <c r="B8" s="28">
        <v>0.8</v>
      </c>
      <c r="C8" s="29">
        <v>12030</v>
      </c>
      <c r="D8" s="35">
        <f t="shared" ref="D8:D18" si="2">PRODUCT(B8,$D$20)</f>
        <v>14800</v>
      </c>
      <c r="E8" s="35">
        <v>3500</v>
      </c>
      <c r="F8" s="35">
        <f t="shared" si="0"/>
        <v>14800</v>
      </c>
      <c r="G8" s="23">
        <f t="shared" si="1"/>
        <v>2770</v>
      </c>
    </row>
    <row r="9" spans="1:7" s="5" customFormat="1" x14ac:dyDescent="0.35">
      <c r="A9" s="27" t="s">
        <v>25</v>
      </c>
      <c r="B9" s="28">
        <v>0.125</v>
      </c>
      <c r="C9" s="29">
        <v>4016</v>
      </c>
      <c r="D9" s="35">
        <f t="shared" si="2"/>
        <v>2312.5</v>
      </c>
      <c r="E9" s="35">
        <v>3500</v>
      </c>
      <c r="F9" s="35">
        <f>E9</f>
        <v>3500</v>
      </c>
      <c r="G9" s="46">
        <f t="shared" si="1"/>
        <v>-516</v>
      </c>
    </row>
    <row r="10" spans="1:7" s="5" customFormat="1" x14ac:dyDescent="0.35">
      <c r="A10" s="27" t="s">
        <v>26</v>
      </c>
      <c r="B10" s="28">
        <v>0.2</v>
      </c>
      <c r="C10" s="29">
        <v>4016</v>
      </c>
      <c r="D10" s="35">
        <f t="shared" si="2"/>
        <v>3700</v>
      </c>
      <c r="E10" s="35">
        <v>3500</v>
      </c>
      <c r="F10" s="35">
        <f>E10</f>
        <v>3500</v>
      </c>
      <c r="G10" s="46">
        <f t="shared" si="1"/>
        <v>-516</v>
      </c>
    </row>
    <row r="11" spans="1:7" s="5" customFormat="1" x14ac:dyDescent="0.35">
      <c r="A11" s="27" t="s">
        <v>34</v>
      </c>
      <c r="B11" s="28">
        <v>0.06</v>
      </c>
      <c r="C11" s="29">
        <v>3742</v>
      </c>
      <c r="D11" s="35">
        <f t="shared" si="2"/>
        <v>1110</v>
      </c>
      <c r="E11" s="35">
        <v>3500</v>
      </c>
      <c r="F11" s="35">
        <f t="shared" ref="F11:F18" si="3">E11</f>
        <v>3500</v>
      </c>
      <c r="G11" s="46">
        <f t="shared" si="1"/>
        <v>-242</v>
      </c>
    </row>
    <row r="12" spans="1:7" s="5" customFormat="1" x14ac:dyDescent="0.35">
      <c r="A12" s="27" t="s">
        <v>28</v>
      </c>
      <c r="B12" s="28">
        <v>4.3499999999999997E-2</v>
      </c>
      <c r="C12" s="29">
        <v>3080</v>
      </c>
      <c r="D12" s="35">
        <f t="shared" si="2"/>
        <v>804.75</v>
      </c>
      <c r="E12" s="35">
        <v>3500</v>
      </c>
      <c r="F12" s="35">
        <f t="shared" si="3"/>
        <v>3500</v>
      </c>
      <c r="G12" s="46">
        <f t="shared" si="1"/>
        <v>420</v>
      </c>
    </row>
    <row r="13" spans="1:7" s="5" customFormat="1" x14ac:dyDescent="0.35">
      <c r="A13" s="27" t="s">
        <v>29</v>
      </c>
      <c r="B13" s="28">
        <v>0.05</v>
      </c>
      <c r="C13" s="29">
        <v>2702</v>
      </c>
      <c r="D13" s="35">
        <f t="shared" si="2"/>
        <v>925</v>
      </c>
      <c r="E13" s="35">
        <v>3500</v>
      </c>
      <c r="F13" s="35">
        <f t="shared" si="3"/>
        <v>3500</v>
      </c>
      <c r="G13" s="23">
        <f t="shared" si="1"/>
        <v>798</v>
      </c>
    </row>
    <row r="14" spans="1:7" s="5" customFormat="1" x14ac:dyDescent="0.35">
      <c r="A14" s="27" t="s">
        <v>30</v>
      </c>
      <c r="B14" s="28">
        <v>2.5000000000000001E-2</v>
      </c>
      <c r="C14" s="29">
        <v>2052</v>
      </c>
      <c r="D14" s="35">
        <f t="shared" si="2"/>
        <v>462.5</v>
      </c>
      <c r="E14" s="35">
        <v>2000</v>
      </c>
      <c r="F14" s="35">
        <f t="shared" si="3"/>
        <v>2000</v>
      </c>
      <c r="G14" s="46">
        <f t="shared" si="1"/>
        <v>-52</v>
      </c>
    </row>
    <row r="15" spans="1:7" s="5" customFormat="1" x14ac:dyDescent="0.35">
      <c r="A15" s="27" t="s">
        <v>31</v>
      </c>
      <c r="B15" s="28">
        <v>1.9E-2</v>
      </c>
      <c r="C15" s="29">
        <v>2124</v>
      </c>
      <c r="D15" s="35">
        <f t="shared" si="2"/>
        <v>351.5</v>
      </c>
      <c r="E15" s="35">
        <v>2000</v>
      </c>
      <c r="F15" s="35">
        <f t="shared" si="3"/>
        <v>2000</v>
      </c>
      <c r="G15" s="46">
        <f t="shared" si="1"/>
        <v>-124</v>
      </c>
    </row>
    <row r="16" spans="1:7" s="5" customFormat="1" x14ac:dyDescent="0.35">
      <c r="A16" s="27" t="s">
        <v>117</v>
      </c>
      <c r="B16" s="28">
        <v>8.9999999999999993E-3</v>
      </c>
      <c r="C16" s="29">
        <v>0</v>
      </c>
      <c r="D16" s="35">
        <f t="shared" ref="D16:D17" si="4">PRODUCT(B16,$D$20)</f>
        <v>166.5</v>
      </c>
      <c r="E16" s="35">
        <v>2000</v>
      </c>
      <c r="F16" s="35">
        <f t="shared" ref="F16:F17" si="5">E16</f>
        <v>2000</v>
      </c>
      <c r="G16" s="46">
        <f t="shared" ref="G16:G17" si="6">SUM(F16,-C16)</f>
        <v>2000</v>
      </c>
    </row>
    <row r="17" spans="1:7" s="5" customFormat="1" x14ac:dyDescent="0.35">
      <c r="A17" s="27" t="s">
        <v>118</v>
      </c>
      <c r="B17" s="28">
        <v>1.0999999999999999E-2</v>
      </c>
      <c r="C17" s="29">
        <v>0</v>
      </c>
      <c r="D17" s="35">
        <f t="shared" si="4"/>
        <v>203.5</v>
      </c>
      <c r="E17" s="35">
        <v>2000</v>
      </c>
      <c r="F17" s="35">
        <f t="shared" si="5"/>
        <v>2000</v>
      </c>
      <c r="G17" s="46">
        <f t="shared" si="6"/>
        <v>2000</v>
      </c>
    </row>
    <row r="18" spans="1:7" s="5" customFormat="1" x14ac:dyDescent="0.35">
      <c r="A18" s="27" t="s">
        <v>32</v>
      </c>
      <c r="B18" s="28">
        <v>5.0000000000000001E-3</v>
      </c>
      <c r="C18" s="29">
        <v>413</v>
      </c>
      <c r="D18" s="35">
        <f t="shared" si="2"/>
        <v>92.5</v>
      </c>
      <c r="E18" s="35">
        <v>500</v>
      </c>
      <c r="F18" s="35">
        <f t="shared" si="3"/>
        <v>500</v>
      </c>
      <c r="G18" s="23">
        <f t="shared" si="1"/>
        <v>87</v>
      </c>
    </row>
    <row r="19" spans="1:7" s="5" customFormat="1" x14ac:dyDescent="0.35">
      <c r="A19" s="31" t="s">
        <v>35</v>
      </c>
      <c r="B19" s="32">
        <f>SUM(B6:B18)</f>
        <v>3.0375000000000001</v>
      </c>
      <c r="C19" s="33">
        <f>SUM(C6:C18)</f>
        <v>67590</v>
      </c>
      <c r="D19" s="33">
        <f>SUM(D6:D18)</f>
        <v>56193.75</v>
      </c>
      <c r="E19" s="33"/>
      <c r="F19" s="33">
        <f>SUM(F6:F18)</f>
        <v>72065</v>
      </c>
      <c r="G19" s="33">
        <f>SUM(G6:G18)</f>
        <v>4475</v>
      </c>
    </row>
    <row r="20" spans="1:7" s="5" customFormat="1" x14ac:dyDescent="0.35">
      <c r="D20" s="60">
        <v>18500</v>
      </c>
    </row>
    <row r="21" spans="1:7" s="5" customFormat="1" x14ac:dyDescent="0.35"/>
    <row r="22" spans="1:7" s="5" customFormat="1" x14ac:dyDescent="0.35">
      <c r="A22" t="s">
        <v>91</v>
      </c>
    </row>
    <row r="23" spans="1:7" s="5" customFormat="1" x14ac:dyDescent="0.35">
      <c r="A23" t="s">
        <v>92</v>
      </c>
    </row>
    <row r="24" spans="1:7" s="5" customFormat="1" x14ac:dyDescent="0.35"/>
    <row r="25" spans="1:7" s="5" customFormat="1" x14ac:dyDescent="0.35">
      <c r="A25" s="58"/>
      <c r="B25" t="s">
        <v>104</v>
      </c>
      <c r="C25"/>
      <c r="D25"/>
      <c r="E25"/>
      <c r="F25"/>
      <c r="G25"/>
    </row>
    <row r="26" spans="1:7" s="5" customFormat="1" x14ac:dyDescent="0.35"/>
    <row r="27" spans="1:7" s="5" customFormat="1" x14ac:dyDescent="0.35"/>
    <row r="28" spans="1:7" s="5" customFormat="1" x14ac:dyDescent="0.35">
      <c r="A28" t="s">
        <v>109</v>
      </c>
    </row>
    <row r="29" spans="1:7" x14ac:dyDescent="0.35">
      <c r="A29" t="s">
        <v>132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53"/>
  <sheetViews>
    <sheetView topLeftCell="A25" zoomScale="90" zoomScaleNormal="90" workbookViewId="0">
      <selection activeCell="C29" sqref="C29"/>
    </sheetView>
  </sheetViews>
  <sheetFormatPr defaultRowHeight="14.5" x14ac:dyDescent="0.35"/>
  <cols>
    <col min="1" max="1" width="23.81640625" customWidth="1"/>
    <col min="2" max="2" width="11.26953125" customWidth="1"/>
    <col min="3" max="3" width="13.26953125" customWidth="1"/>
    <col min="4" max="4" width="12.26953125" customWidth="1"/>
    <col min="5" max="5" width="12.81640625" customWidth="1"/>
    <col min="6" max="6" width="12.7265625" customWidth="1"/>
    <col min="7" max="7" width="12.54296875" customWidth="1"/>
    <col min="8" max="8" width="11.453125" customWidth="1"/>
    <col min="9" max="9" width="10.81640625" customWidth="1"/>
    <col min="10" max="11" width="11.453125" customWidth="1"/>
  </cols>
  <sheetData>
    <row r="1" spans="1:40" ht="19.5" customHeight="1" x14ac:dyDescent="0.35">
      <c r="A1" s="47" t="s">
        <v>80</v>
      </c>
    </row>
    <row r="2" spans="1:40" x14ac:dyDescent="0.35">
      <c r="A2" s="13"/>
    </row>
    <row r="3" spans="1:40" x14ac:dyDescent="0.35">
      <c r="A3" s="45" t="s">
        <v>81</v>
      </c>
    </row>
    <row r="4" spans="1:40" x14ac:dyDescent="0.35">
      <c r="A4" s="18" t="s">
        <v>40</v>
      </c>
      <c r="B4" s="18" t="s">
        <v>8</v>
      </c>
      <c r="C4" s="18" t="s">
        <v>9</v>
      </c>
      <c r="D4" s="18" t="s">
        <v>10</v>
      </c>
    </row>
    <row r="5" spans="1:40" ht="72.5" x14ac:dyDescent="0.35">
      <c r="A5" s="32" t="s">
        <v>44</v>
      </c>
      <c r="B5" s="34" t="s">
        <v>4</v>
      </c>
      <c r="C5" s="34" t="s">
        <v>52</v>
      </c>
      <c r="D5" s="34" t="s">
        <v>108</v>
      </c>
    </row>
    <row r="6" spans="1:40" x14ac:dyDescent="0.35">
      <c r="A6" s="18" t="s">
        <v>41</v>
      </c>
      <c r="B6" s="41">
        <v>51350</v>
      </c>
      <c r="C6" s="43">
        <f>PRODUCT(B6,1/B9)</f>
        <v>0.42056725390468236</v>
      </c>
      <c r="D6" s="52">
        <f>PRODUCT(B9*0.485)</f>
        <v>59217.044999999998</v>
      </c>
    </row>
    <row r="7" spans="1:40" x14ac:dyDescent="0.35">
      <c r="A7" s="18" t="s">
        <v>47</v>
      </c>
      <c r="B7" s="41">
        <v>67590</v>
      </c>
      <c r="C7" s="43">
        <f>PRODUCT(B7,1/B9)</f>
        <v>0.55357625494483897</v>
      </c>
      <c r="D7" s="52">
        <f>PRODUCT(B9*0.485)</f>
        <v>59217.044999999998</v>
      </c>
    </row>
    <row r="8" spans="1:40" x14ac:dyDescent="0.35">
      <c r="A8" s="18" t="s">
        <v>27</v>
      </c>
      <c r="B8" s="15">
        <v>3157</v>
      </c>
      <c r="C8" s="43">
        <f>PRODUCT(B8,1/B9)</f>
        <v>2.5856491150478719E-2</v>
      </c>
      <c r="D8" s="52">
        <f>B8</f>
        <v>3157</v>
      </c>
    </row>
    <row r="9" spans="1:40" x14ac:dyDescent="0.35">
      <c r="A9" s="49" t="s">
        <v>1</v>
      </c>
      <c r="B9" s="41">
        <f>SUM(B6:B8)</f>
        <v>122097</v>
      </c>
      <c r="C9" s="43">
        <f>SUM(C6:C8)</f>
        <v>1</v>
      </c>
      <c r="D9" s="52">
        <f>SUM(D6:D8)</f>
        <v>121591.09</v>
      </c>
    </row>
    <row r="10" spans="1:40" x14ac:dyDescent="0.35">
      <c r="A10" s="13"/>
    </row>
    <row r="11" spans="1:40" s="13" customFormat="1" x14ac:dyDescent="0.35">
      <c r="A11" s="13" t="s">
        <v>82</v>
      </c>
    </row>
    <row r="12" spans="1:40" s="5" customFormat="1" x14ac:dyDescent="0.35">
      <c r="A12" s="18" t="s">
        <v>7</v>
      </c>
      <c r="B12" s="18" t="s">
        <v>8</v>
      </c>
      <c r="C12" s="18" t="s">
        <v>9</v>
      </c>
      <c r="D12" s="18" t="s">
        <v>10</v>
      </c>
      <c r="E12" s="18" t="s">
        <v>11</v>
      </c>
      <c r="F12" s="21" t="s">
        <v>12</v>
      </c>
      <c r="G12" s="21" t="s">
        <v>13</v>
      </c>
      <c r="H12" s="18" t="s">
        <v>14</v>
      </c>
      <c r="I12" s="21" t="s">
        <v>15</v>
      </c>
      <c r="J12" s="21" t="s">
        <v>16</v>
      </c>
      <c r="K12" s="21" t="s">
        <v>17</v>
      </c>
    </row>
    <row r="13" spans="1:40" s="3" customFormat="1" ht="147" customHeight="1" x14ac:dyDescent="0.35">
      <c r="A13" s="6" t="s">
        <v>50</v>
      </c>
      <c r="B13" s="6" t="s">
        <v>106</v>
      </c>
      <c r="C13" s="6" t="s">
        <v>65</v>
      </c>
      <c r="D13" s="6" t="s">
        <v>55</v>
      </c>
      <c r="E13" s="6" t="s">
        <v>105</v>
      </c>
      <c r="F13" s="6" t="s">
        <v>103</v>
      </c>
      <c r="G13" s="6" t="s">
        <v>75</v>
      </c>
      <c r="H13" s="6" t="s">
        <v>76</v>
      </c>
      <c r="I13" s="34" t="s">
        <v>36</v>
      </c>
      <c r="J13" s="34" t="s">
        <v>98</v>
      </c>
      <c r="K13" s="34" t="s">
        <v>102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s="4" customFormat="1" x14ac:dyDescent="0.35">
      <c r="A14" s="66" t="s">
        <v>6</v>
      </c>
      <c r="B14" s="8">
        <v>130.91</v>
      </c>
      <c r="C14" s="53">
        <f>'NPS Bear Creek'!F6</f>
        <v>115.05499999999999</v>
      </c>
      <c r="D14" s="10">
        <f>'NPS Bear Creek'!H6</f>
        <v>23100</v>
      </c>
      <c r="E14" s="15">
        <f>((C14)+(0.05*10))*225</f>
        <v>25999.875</v>
      </c>
      <c r="F14" s="15">
        <v>0</v>
      </c>
      <c r="G14" s="15">
        <v>500</v>
      </c>
      <c r="H14" s="23">
        <f>SUM(E14:F14)</f>
        <v>25999.875</v>
      </c>
      <c r="I14" s="23">
        <f>SUM(H14,-D14)</f>
        <v>2899.875</v>
      </c>
      <c r="J14" s="23">
        <f>H14*$J$20+H14</f>
        <v>27039.87</v>
      </c>
      <c r="K14" s="23">
        <f>J14*$K$20+J14</f>
        <v>28121.464799999998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s="4" customFormat="1" x14ac:dyDescent="0.35">
      <c r="A15" s="66" t="s">
        <v>48</v>
      </c>
      <c r="B15" s="8">
        <v>88.45</v>
      </c>
      <c r="C15" s="53">
        <f>'NPS Bear Creek'!F7</f>
        <v>28.330000000000005</v>
      </c>
      <c r="D15" s="10">
        <f>'NPS Bear Creek'!H7</f>
        <v>2950</v>
      </c>
      <c r="E15" s="15">
        <f>(C15*225)</f>
        <v>6374.2500000000009</v>
      </c>
      <c r="F15" s="15">
        <v>0</v>
      </c>
      <c r="G15" s="15">
        <v>500</v>
      </c>
      <c r="H15" s="23">
        <f>SUM(E15:F15)</f>
        <v>6374.2500000000009</v>
      </c>
      <c r="I15" s="23">
        <f>SUM(H15,-D15)</f>
        <v>3424.2500000000009</v>
      </c>
      <c r="J15" s="23">
        <f t="shared" ref="J15:J18" si="0">H15*$J$20+H15</f>
        <v>6629.2200000000012</v>
      </c>
      <c r="K15" s="23">
        <f t="shared" ref="K15:K18" si="1">J15*$K$20+J15</f>
        <v>6894.3888000000015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4" customFormat="1" x14ac:dyDescent="0.35">
      <c r="A16" s="66" t="s">
        <v>3</v>
      </c>
      <c r="B16" s="8">
        <v>7.59</v>
      </c>
      <c r="C16" s="53">
        <f>'NPS Bear Creek'!F8</f>
        <v>0.88999999999999968</v>
      </c>
      <c r="D16" s="10">
        <f>'NPS Bear Creek'!H8</f>
        <v>0</v>
      </c>
      <c r="E16" s="15">
        <f>(C16*225)</f>
        <v>200.24999999999991</v>
      </c>
      <c r="F16" s="15">
        <v>0</v>
      </c>
      <c r="G16" s="15">
        <v>500</v>
      </c>
      <c r="H16" s="23">
        <f>G16</f>
        <v>500</v>
      </c>
      <c r="I16" s="23">
        <f>SUM(H16,-D16)</f>
        <v>500</v>
      </c>
      <c r="J16" s="23">
        <f t="shared" si="0"/>
        <v>520</v>
      </c>
      <c r="K16" s="23">
        <f t="shared" si="1"/>
        <v>540.79999999999995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53" s="4" customFormat="1" x14ac:dyDescent="0.35">
      <c r="A17" s="66" t="s">
        <v>0</v>
      </c>
      <c r="B17" s="8">
        <v>7.36</v>
      </c>
      <c r="C17" s="53">
        <f>'NPS Bear Creek'!F9</f>
        <v>7.36</v>
      </c>
      <c r="D17" s="10">
        <f>'NPS Bear Creek'!H9</f>
        <v>25300</v>
      </c>
      <c r="E17" s="15">
        <f>((C17)+(7.4*10))*225</f>
        <v>18306</v>
      </c>
      <c r="F17" s="15">
        <f>'NPS Bear Creek'!L9</f>
        <v>12000</v>
      </c>
      <c r="G17" s="15">
        <v>500</v>
      </c>
      <c r="H17" s="23">
        <f>SUM(E17:F17)</f>
        <v>30306</v>
      </c>
      <c r="I17" s="23">
        <f>SUM(H17,-D17)</f>
        <v>5006</v>
      </c>
      <c r="J17" s="23">
        <f t="shared" si="0"/>
        <v>31518.240000000002</v>
      </c>
      <c r="K17" s="23">
        <f t="shared" si="1"/>
        <v>32778.969600000004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53" s="4" customFormat="1" x14ac:dyDescent="0.35">
      <c r="A18" s="66" t="s">
        <v>26</v>
      </c>
      <c r="B18" s="8">
        <v>2.19</v>
      </c>
      <c r="C18" s="53">
        <f>'NPS Bear Creek'!F10</f>
        <v>2.19</v>
      </c>
      <c r="D18" s="10">
        <f>'NPS Bear Creek'!H10</f>
        <v>0</v>
      </c>
      <c r="E18" s="15">
        <f>(C18*225)</f>
        <v>492.75</v>
      </c>
      <c r="F18" s="15">
        <v>0</v>
      </c>
      <c r="G18" s="15">
        <v>500</v>
      </c>
      <c r="H18" s="23">
        <f>G18</f>
        <v>500</v>
      </c>
      <c r="I18" s="23">
        <f>SUM(H18,-D18)</f>
        <v>500</v>
      </c>
      <c r="J18" s="23">
        <f t="shared" si="0"/>
        <v>520</v>
      </c>
      <c r="K18" s="23">
        <f t="shared" si="1"/>
        <v>540.79999999999995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53" s="2" customFormat="1" x14ac:dyDescent="0.35">
      <c r="A19" s="48" t="s">
        <v>1</v>
      </c>
      <c r="B19" s="9">
        <f t="shared" ref="B19" si="2">SUM(B14:B18)</f>
        <v>236.50000000000003</v>
      </c>
      <c r="C19" s="12">
        <f>SUM(C14:C18)</f>
        <v>153.82499999999999</v>
      </c>
      <c r="D19" s="11">
        <f>SUM(D14:D18)</f>
        <v>51350</v>
      </c>
      <c r="E19" s="11">
        <f>SUM(E14:E18)</f>
        <v>51373.125</v>
      </c>
      <c r="F19" s="11">
        <f>SUM(F14:F18)</f>
        <v>12000</v>
      </c>
      <c r="G19" s="11"/>
      <c r="H19" s="11">
        <f>SUM(H14:H18)</f>
        <v>63680.125</v>
      </c>
      <c r="I19" s="30">
        <f>SUM(I14:I18)</f>
        <v>12330.125</v>
      </c>
      <c r="J19" s="30">
        <f>SUM(J14:J18)</f>
        <v>66227.33</v>
      </c>
      <c r="K19" s="30">
        <f>SUM(K14:K18)</f>
        <v>68876.423200000005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53" s="4" customFormat="1" x14ac:dyDescent="0.35">
      <c r="A20" s="5"/>
      <c r="B20" s="5"/>
      <c r="C20" s="5"/>
      <c r="D20" s="5"/>
      <c r="E20" s="5"/>
      <c r="F20" s="5"/>
      <c r="G20" s="5"/>
      <c r="H20" s="5"/>
      <c r="I20" s="5"/>
      <c r="J20" s="57">
        <v>0.04</v>
      </c>
      <c r="K20" s="57">
        <v>0.04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4" customFormat="1" x14ac:dyDescent="0.35">
      <c r="A21" s="13" t="s">
        <v>83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3" s="5" customFormat="1" x14ac:dyDescent="0.35">
      <c r="A22" s="18" t="s">
        <v>40</v>
      </c>
      <c r="B22" s="18" t="s">
        <v>8</v>
      </c>
      <c r="C22" s="18" t="s">
        <v>9</v>
      </c>
      <c r="D22" s="18" t="s">
        <v>10</v>
      </c>
      <c r="E22" s="18" t="s">
        <v>11</v>
      </c>
      <c r="F22" s="18" t="s">
        <v>12</v>
      </c>
      <c r="G22" s="18" t="s">
        <v>13</v>
      </c>
      <c r="H22" s="21" t="s">
        <v>14</v>
      </c>
      <c r="I22" s="21" t="s">
        <v>15</v>
      </c>
    </row>
    <row r="23" spans="1:53" s="5" customFormat="1" ht="101.5" x14ac:dyDescent="0.35">
      <c r="A23" s="25" t="s">
        <v>37</v>
      </c>
      <c r="B23" s="26" t="s">
        <v>33</v>
      </c>
      <c r="C23" s="9" t="s">
        <v>56</v>
      </c>
      <c r="D23" s="34" t="s">
        <v>95</v>
      </c>
      <c r="E23" s="34" t="s">
        <v>38</v>
      </c>
      <c r="F23" s="34" t="s">
        <v>77</v>
      </c>
      <c r="G23" s="34" t="s">
        <v>36</v>
      </c>
      <c r="H23" s="55" t="s">
        <v>97</v>
      </c>
      <c r="I23" s="55" t="s">
        <v>99</v>
      </c>
    </row>
    <row r="24" spans="1:53" s="5" customFormat="1" x14ac:dyDescent="0.35">
      <c r="A24" s="67" t="s">
        <v>22</v>
      </c>
      <c r="B24" s="28">
        <v>0.99</v>
      </c>
      <c r="C24" s="29">
        <v>19763</v>
      </c>
      <c r="D24" s="35">
        <f>B24*15500</f>
        <v>15345</v>
      </c>
      <c r="E24" s="35">
        <f>'PS Bear Creek'!E6</f>
        <v>3500</v>
      </c>
      <c r="F24" s="35">
        <f>IF(D24&gt;E24,D24)</f>
        <v>15345</v>
      </c>
      <c r="G24" s="23">
        <f>SUM(F24,-C24)</f>
        <v>-4418</v>
      </c>
      <c r="H24" s="23">
        <f>F24 *$H$36+F24</f>
        <v>15958.8</v>
      </c>
      <c r="I24" s="23">
        <f>H24*$I$36+H24</f>
        <v>16597.151999999998</v>
      </c>
    </row>
    <row r="25" spans="1:53" s="5" customFormat="1" x14ac:dyDescent="0.35">
      <c r="A25" s="67" t="s">
        <v>23</v>
      </c>
      <c r="B25" s="28">
        <v>0.7</v>
      </c>
      <c r="C25" s="29">
        <v>13652</v>
      </c>
      <c r="D25" s="35">
        <f t="shared" ref="D25:D34" si="3">B25*15500</f>
        <v>10850</v>
      </c>
      <c r="E25" s="35">
        <f>'PS Bear Creek'!E7</f>
        <v>3500</v>
      </c>
      <c r="F25" s="35">
        <f t="shared" ref="F25:F26" si="4">IF(D25&gt;E25,D25)</f>
        <v>10850</v>
      </c>
      <c r="G25" s="23">
        <f t="shared" ref="G25:G34" si="5">SUM(F25,-C25)</f>
        <v>-2802</v>
      </c>
      <c r="H25" s="23">
        <f t="shared" ref="H25:H34" si="6">F25 *$H$36+F25</f>
        <v>11284</v>
      </c>
      <c r="I25" s="23">
        <f t="shared" ref="I25:I34" si="7">H25*$I$36+H25</f>
        <v>11735.36</v>
      </c>
    </row>
    <row r="26" spans="1:53" s="5" customFormat="1" x14ac:dyDescent="0.35">
      <c r="A26" s="67" t="s">
        <v>24</v>
      </c>
      <c r="B26" s="28">
        <v>0.8</v>
      </c>
      <c r="C26" s="29">
        <v>12030</v>
      </c>
      <c r="D26" s="35">
        <f t="shared" si="3"/>
        <v>12400</v>
      </c>
      <c r="E26" s="35">
        <f>'PS Bear Creek'!E8</f>
        <v>3500</v>
      </c>
      <c r="F26" s="35">
        <f t="shared" si="4"/>
        <v>12400</v>
      </c>
      <c r="G26" s="23">
        <f t="shared" si="5"/>
        <v>370</v>
      </c>
      <c r="H26" s="23">
        <f t="shared" si="6"/>
        <v>12896</v>
      </c>
      <c r="I26" s="23">
        <f t="shared" si="7"/>
        <v>13411.84</v>
      </c>
    </row>
    <row r="27" spans="1:53" s="5" customFormat="1" x14ac:dyDescent="0.35">
      <c r="A27" s="67" t="s">
        <v>25</v>
      </c>
      <c r="B27" s="28">
        <v>0.125</v>
      </c>
      <c r="C27" s="29">
        <v>4016</v>
      </c>
      <c r="D27" s="35">
        <f t="shared" si="3"/>
        <v>1937.5</v>
      </c>
      <c r="E27" s="35">
        <f>'PS Bear Creek'!E9</f>
        <v>3500</v>
      </c>
      <c r="F27" s="35">
        <f>E27</f>
        <v>3500</v>
      </c>
      <c r="G27" s="23">
        <f t="shared" si="5"/>
        <v>-516</v>
      </c>
      <c r="H27" s="23">
        <f t="shared" si="6"/>
        <v>3640</v>
      </c>
      <c r="I27" s="23">
        <f t="shared" si="7"/>
        <v>3785.6</v>
      </c>
    </row>
    <row r="28" spans="1:53" s="5" customFormat="1" x14ac:dyDescent="0.35">
      <c r="A28" s="67" t="s">
        <v>26</v>
      </c>
      <c r="B28" s="28">
        <v>0.2</v>
      </c>
      <c r="C28" s="29">
        <v>4016</v>
      </c>
      <c r="D28" s="35">
        <f t="shared" si="3"/>
        <v>3100</v>
      </c>
      <c r="E28" s="35">
        <f>'PS Bear Creek'!E10</f>
        <v>3500</v>
      </c>
      <c r="F28" s="35">
        <f>E28</f>
        <v>3500</v>
      </c>
      <c r="G28" s="23">
        <f t="shared" si="5"/>
        <v>-516</v>
      </c>
      <c r="H28" s="23">
        <f t="shared" si="6"/>
        <v>3640</v>
      </c>
      <c r="I28" s="23">
        <f t="shared" si="7"/>
        <v>3785.6</v>
      </c>
    </row>
    <row r="29" spans="1:53" s="5" customFormat="1" x14ac:dyDescent="0.35">
      <c r="A29" s="67" t="s">
        <v>34</v>
      </c>
      <c r="B29" s="28">
        <v>0.06</v>
      </c>
      <c r="C29" s="29">
        <v>3742</v>
      </c>
      <c r="D29" s="35">
        <f t="shared" si="3"/>
        <v>930</v>
      </c>
      <c r="E29" s="35">
        <f>'PS Bear Creek'!E11</f>
        <v>3500</v>
      </c>
      <c r="F29" s="35">
        <f t="shared" ref="F29:F34" si="8">E29</f>
        <v>3500</v>
      </c>
      <c r="G29" s="23">
        <f t="shared" si="5"/>
        <v>-242</v>
      </c>
      <c r="H29" s="23">
        <f t="shared" si="6"/>
        <v>3640</v>
      </c>
      <c r="I29" s="23">
        <f t="shared" si="7"/>
        <v>3785.6</v>
      </c>
    </row>
    <row r="30" spans="1:53" s="5" customFormat="1" x14ac:dyDescent="0.35">
      <c r="A30" s="67" t="s">
        <v>28</v>
      </c>
      <c r="B30" s="28">
        <v>4.3499999999999997E-2</v>
      </c>
      <c r="C30" s="29">
        <v>3080</v>
      </c>
      <c r="D30" s="35">
        <f t="shared" si="3"/>
        <v>674.25</v>
      </c>
      <c r="E30" s="35">
        <f>'PS Bear Creek'!E12</f>
        <v>3500</v>
      </c>
      <c r="F30" s="35">
        <f t="shared" si="8"/>
        <v>3500</v>
      </c>
      <c r="G30" s="23">
        <f t="shared" si="5"/>
        <v>420</v>
      </c>
      <c r="H30" s="23">
        <f t="shared" si="6"/>
        <v>3640</v>
      </c>
      <c r="I30" s="23">
        <f t="shared" si="7"/>
        <v>3785.6</v>
      </c>
    </row>
    <row r="31" spans="1:53" s="5" customFormat="1" x14ac:dyDescent="0.35">
      <c r="A31" s="67" t="s">
        <v>29</v>
      </c>
      <c r="B31" s="28">
        <v>0.05</v>
      </c>
      <c r="C31" s="29">
        <v>2702</v>
      </c>
      <c r="D31" s="35">
        <f t="shared" si="3"/>
        <v>775</v>
      </c>
      <c r="E31" s="35">
        <f>'PS Bear Creek'!E13</f>
        <v>3500</v>
      </c>
      <c r="F31" s="35">
        <f t="shared" si="8"/>
        <v>3500</v>
      </c>
      <c r="G31" s="23">
        <f t="shared" si="5"/>
        <v>798</v>
      </c>
      <c r="H31" s="23">
        <f t="shared" si="6"/>
        <v>3640</v>
      </c>
      <c r="I31" s="23">
        <f t="shared" si="7"/>
        <v>3785.6</v>
      </c>
    </row>
    <row r="32" spans="1:53" s="5" customFormat="1" x14ac:dyDescent="0.35">
      <c r="A32" s="67" t="s">
        <v>30</v>
      </c>
      <c r="B32" s="28">
        <v>2.5000000000000001E-2</v>
      </c>
      <c r="C32" s="29">
        <v>2052</v>
      </c>
      <c r="D32" s="35">
        <f t="shared" si="3"/>
        <v>387.5</v>
      </c>
      <c r="E32" s="35">
        <f>'PS Bear Creek'!E14</f>
        <v>2000</v>
      </c>
      <c r="F32" s="35">
        <f t="shared" si="8"/>
        <v>2000</v>
      </c>
      <c r="G32" s="23">
        <f t="shared" si="5"/>
        <v>-52</v>
      </c>
      <c r="H32" s="23">
        <f t="shared" si="6"/>
        <v>2080</v>
      </c>
      <c r="I32" s="23">
        <f t="shared" si="7"/>
        <v>2163.1999999999998</v>
      </c>
    </row>
    <row r="33" spans="1:9" s="5" customFormat="1" x14ac:dyDescent="0.35">
      <c r="A33" s="67" t="s">
        <v>31</v>
      </c>
      <c r="B33" s="28">
        <v>1.9E-2</v>
      </c>
      <c r="C33" s="29">
        <v>2124</v>
      </c>
      <c r="D33" s="35">
        <f t="shared" si="3"/>
        <v>294.5</v>
      </c>
      <c r="E33" s="35">
        <f>'PS Bear Creek'!E15</f>
        <v>2000</v>
      </c>
      <c r="F33" s="35">
        <f t="shared" si="8"/>
        <v>2000</v>
      </c>
      <c r="G33" s="23">
        <f t="shared" si="5"/>
        <v>-124</v>
      </c>
      <c r="H33" s="23">
        <f t="shared" si="6"/>
        <v>2080</v>
      </c>
      <c r="I33" s="23">
        <f t="shared" si="7"/>
        <v>2163.1999999999998</v>
      </c>
    </row>
    <row r="34" spans="1:9" s="5" customFormat="1" x14ac:dyDescent="0.35">
      <c r="A34" s="67" t="s">
        <v>32</v>
      </c>
      <c r="B34" s="28">
        <v>5.0000000000000001E-3</v>
      </c>
      <c r="C34" s="29">
        <v>413</v>
      </c>
      <c r="D34" s="35">
        <f t="shared" si="3"/>
        <v>77.5</v>
      </c>
      <c r="E34" s="35">
        <f>'PS Bear Creek'!E18</f>
        <v>500</v>
      </c>
      <c r="F34" s="35">
        <f t="shared" si="8"/>
        <v>500</v>
      </c>
      <c r="G34" s="23">
        <f t="shared" si="5"/>
        <v>87</v>
      </c>
      <c r="H34" s="23">
        <f t="shared" si="6"/>
        <v>520</v>
      </c>
      <c r="I34" s="23">
        <f t="shared" si="7"/>
        <v>540.79999999999995</v>
      </c>
    </row>
    <row r="35" spans="1:9" s="5" customFormat="1" x14ac:dyDescent="0.35">
      <c r="A35" s="31" t="s">
        <v>35</v>
      </c>
      <c r="B35" s="32">
        <f>SUM(B24:B34)</f>
        <v>3.0175000000000001</v>
      </c>
      <c r="C35" s="33">
        <f>SUM(C24:C34)</f>
        <v>67590</v>
      </c>
      <c r="D35" s="33">
        <f>SUM(D24:D34)</f>
        <v>46771.25</v>
      </c>
      <c r="E35" s="33"/>
      <c r="F35" s="33">
        <f>SUM(F24:F34)</f>
        <v>60595</v>
      </c>
      <c r="G35" s="33">
        <f>SUM(G24:G34)</f>
        <v>-6995</v>
      </c>
      <c r="H35" s="30">
        <f>SUM(H24:H34)</f>
        <v>63018.8</v>
      </c>
      <c r="I35" s="30">
        <f>SUM(I24:I34)</f>
        <v>65539.551999999981</v>
      </c>
    </row>
    <row r="36" spans="1:9" s="5" customFormat="1" x14ac:dyDescent="0.35">
      <c r="H36" s="57">
        <v>0.04</v>
      </c>
      <c r="I36" s="57">
        <v>0.04</v>
      </c>
    </row>
    <row r="37" spans="1:9" x14ac:dyDescent="0.35">
      <c r="A37" s="45" t="s">
        <v>84</v>
      </c>
    </row>
    <row r="38" spans="1:9" x14ac:dyDescent="0.35">
      <c r="A38" s="18" t="s">
        <v>40</v>
      </c>
      <c r="B38" s="18" t="s">
        <v>8</v>
      </c>
      <c r="C38" s="18" t="s">
        <v>9</v>
      </c>
      <c r="D38" s="18" t="s">
        <v>10</v>
      </c>
      <c r="E38" s="18" t="s">
        <v>11</v>
      </c>
      <c r="F38" s="18" t="s">
        <v>12</v>
      </c>
      <c r="G38" s="21" t="s">
        <v>13</v>
      </c>
      <c r="H38" s="21" t="s">
        <v>14</v>
      </c>
    </row>
    <row r="39" spans="1:9" ht="58" x14ac:dyDescent="0.35">
      <c r="A39" s="32" t="s">
        <v>44</v>
      </c>
      <c r="B39" s="34" t="s">
        <v>4</v>
      </c>
      <c r="C39" s="34" t="s">
        <v>42</v>
      </c>
      <c r="D39" s="34" t="s">
        <v>52</v>
      </c>
      <c r="E39" s="34" t="s">
        <v>53</v>
      </c>
      <c r="F39" s="44" t="s">
        <v>49</v>
      </c>
      <c r="G39" s="44" t="s">
        <v>100</v>
      </c>
      <c r="H39" s="44" t="s">
        <v>101</v>
      </c>
    </row>
    <row r="40" spans="1:9" x14ac:dyDescent="0.35">
      <c r="A40" s="18" t="s">
        <v>41</v>
      </c>
      <c r="B40" s="41">
        <f>D19</f>
        <v>51350</v>
      </c>
      <c r="C40" s="41">
        <f>H19</f>
        <v>63680.125</v>
      </c>
      <c r="D40" s="43">
        <f>PRODUCT(B40,1/B43)</f>
        <v>0.42056725390468236</v>
      </c>
      <c r="E40" s="54">
        <f>PRODUCT(C40,1/C43)</f>
        <v>0.49959421778883784</v>
      </c>
      <c r="F40" s="43">
        <f>PRODUCT(C40,1/B40)-1</f>
        <v>0.24011927945472245</v>
      </c>
      <c r="G40" s="41">
        <f>H35</f>
        <v>63018.8</v>
      </c>
      <c r="H40" s="41">
        <f>I35</f>
        <v>65539.551999999981</v>
      </c>
    </row>
    <row r="41" spans="1:9" x14ac:dyDescent="0.35">
      <c r="A41" s="18" t="s">
        <v>47</v>
      </c>
      <c r="B41" s="41">
        <f>C35</f>
        <v>67590</v>
      </c>
      <c r="C41" s="41">
        <f>F35</f>
        <v>60595</v>
      </c>
      <c r="D41" s="43">
        <f>PRODUCT(B41,1/B43)</f>
        <v>0.55357625494483897</v>
      </c>
      <c r="E41" s="54">
        <f>PRODUCT(C41,1/C43)</f>
        <v>0.47539026700897069</v>
      </c>
      <c r="F41" s="43">
        <f t="shared" ref="F41:F43" si="9">PRODUCT(C41,1/B41)-1</f>
        <v>-0.10349164077526263</v>
      </c>
      <c r="G41" s="41">
        <f>J19</f>
        <v>66227.33</v>
      </c>
      <c r="H41" s="41">
        <f>K19</f>
        <v>68876.423200000005</v>
      </c>
    </row>
    <row r="42" spans="1:9" x14ac:dyDescent="0.35">
      <c r="A42" s="18" t="s">
        <v>27</v>
      </c>
      <c r="B42" s="15">
        <f>'NPS Bear Creek'!B17</f>
        <v>3157</v>
      </c>
      <c r="C42" s="41">
        <f>B42*1.01</f>
        <v>3188.57</v>
      </c>
      <c r="D42" s="43">
        <f>PRODUCT(B42,1/B43)</f>
        <v>2.5856491150478719E-2</v>
      </c>
      <c r="E42" s="43">
        <f>PRODUCT(C42,1/C43)</f>
        <v>2.5015515202191495E-2</v>
      </c>
      <c r="F42" s="43">
        <f t="shared" si="9"/>
        <v>1.0000000000000009E-2</v>
      </c>
      <c r="G42" s="41">
        <f>C42</f>
        <v>3188.57</v>
      </c>
      <c r="H42" s="41">
        <f>G42*1.04</f>
        <v>3316.1128000000003</v>
      </c>
    </row>
    <row r="43" spans="1:9" x14ac:dyDescent="0.35">
      <c r="A43" s="49" t="s">
        <v>1</v>
      </c>
      <c r="B43" s="30">
        <f>SUM(B40:B42)</f>
        <v>122097</v>
      </c>
      <c r="C43" s="30">
        <f>SUM(C40:C42)</f>
        <v>127463.69500000001</v>
      </c>
      <c r="D43" s="59">
        <f>SUM(D40:D42)</f>
        <v>1</v>
      </c>
      <c r="E43" s="59">
        <f>SUM(E40:E42)</f>
        <v>1</v>
      </c>
      <c r="F43" s="59">
        <f t="shared" si="9"/>
        <v>4.3954355962882108E-2</v>
      </c>
      <c r="G43" s="30">
        <f>SUM(G40:G42)</f>
        <v>132434.70000000001</v>
      </c>
      <c r="H43" s="30">
        <f>SUM(H40:H42)</f>
        <v>137732.08799999999</v>
      </c>
    </row>
    <row r="45" spans="1:9" x14ac:dyDescent="0.35">
      <c r="A45" s="42" t="s">
        <v>45</v>
      </c>
    </row>
    <row r="46" spans="1:9" x14ac:dyDescent="0.35">
      <c r="A46" s="58"/>
      <c r="B46" t="s">
        <v>104</v>
      </c>
    </row>
    <row r="52" spans="1:1" x14ac:dyDescent="0.35">
      <c r="A52" t="s">
        <v>96</v>
      </c>
    </row>
    <row r="53" spans="1:1" x14ac:dyDescent="0.35">
      <c r="A53" t="s">
        <v>132</v>
      </c>
    </row>
  </sheetData>
  <pageMargins left="0.25" right="0.25" top="0.75" bottom="0.75" header="0.3" footer="0.3"/>
  <pageSetup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83"/>
  <sheetViews>
    <sheetView tabSelected="1" topLeftCell="A70" workbookViewId="0">
      <selection activeCell="F40" sqref="F40"/>
    </sheetView>
  </sheetViews>
  <sheetFormatPr defaultRowHeight="14.5" x14ac:dyDescent="0.35"/>
  <cols>
    <col min="1" max="1" width="23.81640625" customWidth="1"/>
    <col min="2" max="3" width="11.26953125" customWidth="1"/>
    <col min="4" max="4" width="11.1796875" customWidth="1"/>
    <col min="5" max="5" width="13" customWidth="1"/>
    <col min="6" max="6" width="12.7265625" customWidth="1"/>
    <col min="7" max="7" width="12.26953125" customWidth="1"/>
    <col min="8" max="8" width="11.453125" customWidth="1"/>
    <col min="9" max="9" width="12.1796875" customWidth="1"/>
    <col min="10" max="10" width="13.453125" customWidth="1"/>
    <col min="11" max="11" width="10.1796875" customWidth="1"/>
    <col min="12" max="12" width="14.7265625" customWidth="1"/>
    <col min="13" max="13" width="11.453125" customWidth="1"/>
    <col min="15" max="15" width="10.81640625" customWidth="1"/>
    <col min="21" max="21" width="21.54296875" bestFit="1" customWidth="1"/>
  </cols>
  <sheetData>
    <row r="1" spans="1:44" ht="19.5" customHeight="1" x14ac:dyDescent="0.35">
      <c r="A1" s="47" t="s">
        <v>144</v>
      </c>
    </row>
    <row r="2" spans="1:44" x14ac:dyDescent="0.35">
      <c r="A2" s="13" t="s">
        <v>145</v>
      </c>
    </row>
    <row r="3" spans="1:44" x14ac:dyDescent="0.35">
      <c r="A3" s="45" t="s">
        <v>124</v>
      </c>
    </row>
    <row r="4" spans="1:44" x14ac:dyDescent="0.35">
      <c r="A4" s="18" t="s">
        <v>40</v>
      </c>
      <c r="B4" s="18" t="s">
        <v>8</v>
      </c>
      <c r="C4" s="18" t="s">
        <v>9</v>
      </c>
      <c r="D4" s="18" t="s">
        <v>10</v>
      </c>
    </row>
    <row r="5" spans="1:44" ht="72.5" x14ac:dyDescent="0.35">
      <c r="A5" s="32" t="s">
        <v>44</v>
      </c>
      <c r="B5" s="34" t="s">
        <v>4</v>
      </c>
      <c r="C5" s="34" t="s">
        <v>52</v>
      </c>
      <c r="D5" s="34" t="s">
        <v>140</v>
      </c>
    </row>
    <row r="6" spans="1:44" x14ac:dyDescent="0.35">
      <c r="A6" s="18" t="s">
        <v>41</v>
      </c>
      <c r="B6" s="41">
        <v>51350</v>
      </c>
      <c r="C6" s="43">
        <f>PRODUCT(B6,1/B9)</f>
        <v>0.42056725390468236</v>
      </c>
      <c r="D6" s="52">
        <f>PRODUCT(B9*0.485)</f>
        <v>59217.044999999998</v>
      </c>
    </row>
    <row r="7" spans="1:44" x14ac:dyDescent="0.35">
      <c r="A7" s="18" t="s">
        <v>47</v>
      </c>
      <c r="B7" s="41">
        <v>67590</v>
      </c>
      <c r="C7" s="43">
        <f>PRODUCT(B7,1/B9)</f>
        <v>0.55357625494483897</v>
      </c>
      <c r="D7" s="52">
        <f>PRODUCT(B9*0.485)</f>
        <v>59217.044999999998</v>
      </c>
    </row>
    <row r="8" spans="1:44" x14ac:dyDescent="0.35">
      <c r="A8" s="18" t="s">
        <v>27</v>
      </c>
      <c r="B8" s="15">
        <v>3157</v>
      </c>
      <c r="C8" s="43">
        <f>PRODUCT(B8,1/B9)</f>
        <v>2.5856491150478719E-2</v>
      </c>
      <c r="D8" s="52">
        <f>B8</f>
        <v>3157</v>
      </c>
    </row>
    <row r="9" spans="1:44" x14ac:dyDescent="0.35">
      <c r="A9" s="49" t="s">
        <v>1</v>
      </c>
      <c r="B9" s="41">
        <f>SUM(B6:B8)</f>
        <v>122097</v>
      </c>
      <c r="C9" s="43">
        <f>SUM(C6:C8)</f>
        <v>1</v>
      </c>
      <c r="D9" s="52">
        <f>SUM(D6:D8)</f>
        <v>121591.09</v>
      </c>
    </row>
    <row r="10" spans="1:44" x14ac:dyDescent="0.35">
      <c r="A10" s="13"/>
    </row>
    <row r="11" spans="1:44" s="13" customFormat="1" x14ac:dyDescent="0.35">
      <c r="A11" s="13" t="s">
        <v>125</v>
      </c>
    </row>
    <row r="12" spans="1:44" s="5" customFormat="1" x14ac:dyDescent="0.35">
      <c r="A12" s="18" t="s">
        <v>7</v>
      </c>
      <c r="B12" s="18" t="s">
        <v>8</v>
      </c>
      <c r="C12" s="18" t="s">
        <v>9</v>
      </c>
      <c r="D12" s="18" t="s">
        <v>10</v>
      </c>
      <c r="E12" s="18" t="s">
        <v>11</v>
      </c>
      <c r="F12" s="21" t="s">
        <v>12</v>
      </c>
      <c r="G12" s="21" t="s">
        <v>13</v>
      </c>
      <c r="H12" s="18" t="s">
        <v>14</v>
      </c>
      <c r="I12" s="21" t="s">
        <v>15</v>
      </c>
      <c r="J12" s="83" t="s">
        <v>16</v>
      </c>
      <c r="K12" s="21" t="s">
        <v>146</v>
      </c>
      <c r="L12" s="88" t="s">
        <v>147</v>
      </c>
      <c r="M12" s="21" t="s">
        <v>148</v>
      </c>
      <c r="N12" s="21" t="s">
        <v>149</v>
      </c>
      <c r="O12" s="21" t="s">
        <v>150</v>
      </c>
      <c r="P12" s="21" t="s">
        <v>151</v>
      </c>
    </row>
    <row r="13" spans="1:44" s="3" customFormat="1" ht="147" customHeight="1" x14ac:dyDescent="0.35">
      <c r="A13" s="6" t="s">
        <v>50</v>
      </c>
      <c r="B13" s="6" t="s">
        <v>106</v>
      </c>
      <c r="C13" s="6" t="s">
        <v>122</v>
      </c>
      <c r="D13" s="6" t="s">
        <v>123</v>
      </c>
      <c r="E13" s="6" t="s">
        <v>133</v>
      </c>
      <c r="F13" s="6" t="s">
        <v>65</v>
      </c>
      <c r="G13" s="6" t="s">
        <v>113</v>
      </c>
      <c r="H13" s="6" t="s">
        <v>114</v>
      </c>
      <c r="I13" s="6" t="s">
        <v>120</v>
      </c>
      <c r="J13" s="84" t="s">
        <v>152</v>
      </c>
      <c r="K13" s="6" t="s">
        <v>153</v>
      </c>
      <c r="L13" s="89" t="s">
        <v>75</v>
      </c>
      <c r="M13" s="6" t="s">
        <v>76</v>
      </c>
      <c r="N13" s="34" t="s">
        <v>98</v>
      </c>
      <c r="O13" s="34" t="s">
        <v>36</v>
      </c>
      <c r="P13" s="34" t="s">
        <v>130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4" customFormat="1" x14ac:dyDescent="0.35">
      <c r="A14" s="66" t="s">
        <v>6</v>
      </c>
      <c r="B14" s="8">
        <v>130.91</v>
      </c>
      <c r="C14" s="8">
        <v>3.4</v>
      </c>
      <c r="D14" s="8">
        <v>0.5</v>
      </c>
      <c r="E14" s="8">
        <v>12</v>
      </c>
      <c r="F14" s="53">
        <f>'NPS Bear Creek'!F6</f>
        <v>115.05499999999999</v>
      </c>
      <c r="G14" s="8">
        <v>0.5</v>
      </c>
      <c r="H14" s="10">
        <f>'NPS Bear Creek'!H6</f>
        <v>23100</v>
      </c>
      <c r="I14" s="15">
        <f>((F14)+(0.5*10))*I23</f>
        <v>24011</v>
      </c>
      <c r="J14" s="85">
        <v>0</v>
      </c>
      <c r="K14" s="7"/>
      <c r="L14" s="35">
        <v>500</v>
      </c>
      <c r="M14" s="23">
        <f>SUM(I14:J14)</f>
        <v>24011</v>
      </c>
      <c r="N14" s="23">
        <f>ROUND(M14*$N$23+M14,-1)</f>
        <v>24010</v>
      </c>
      <c r="O14" s="23">
        <f>SUM(M14,-H14)</f>
        <v>911</v>
      </c>
      <c r="P14" s="23">
        <f>N14*$P$23+N14</f>
        <v>24970.400000000001</v>
      </c>
      <c r="Q14" s="5"/>
      <c r="R14" s="5"/>
      <c r="S14" s="5"/>
      <c r="T14" s="5"/>
      <c r="U14" s="94" t="s">
        <v>155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4" customFormat="1" x14ac:dyDescent="0.35">
      <c r="A15" s="66" t="s">
        <v>48</v>
      </c>
      <c r="B15" s="8">
        <v>88.45</v>
      </c>
      <c r="C15" s="8">
        <v>51.3</v>
      </c>
      <c r="D15" s="8">
        <v>6.3</v>
      </c>
      <c r="E15" s="8">
        <v>2.6</v>
      </c>
      <c r="F15" s="53">
        <f>'NPS Bear Creek'!F7</f>
        <v>28.330000000000005</v>
      </c>
      <c r="G15" s="16">
        <v>0</v>
      </c>
      <c r="H15" s="10">
        <f>'NPS Bear Creek'!H7</f>
        <v>2950</v>
      </c>
      <c r="I15" s="15">
        <f>(F15*I23)</f>
        <v>5666.0000000000009</v>
      </c>
      <c r="J15" s="85">
        <v>0</v>
      </c>
      <c r="K15" s="7"/>
      <c r="L15" s="35">
        <v>500</v>
      </c>
      <c r="M15" s="23">
        <f>SUM(I15:J15)</f>
        <v>5666.0000000000009</v>
      </c>
      <c r="N15" s="23">
        <f>ROUND(M15*$N$23+M15,-1)</f>
        <v>5670</v>
      </c>
      <c r="O15" s="23">
        <f>SUM(M15,-H15)</f>
        <v>2716.0000000000009</v>
      </c>
      <c r="P15" s="23">
        <f>ROUND(N15*$P$23+N15, -1)</f>
        <v>5900</v>
      </c>
      <c r="Q15" s="5"/>
      <c r="R15" s="5"/>
      <c r="S15" s="5"/>
      <c r="T15" s="5"/>
      <c r="U15" s="95" t="s">
        <v>6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4" customFormat="1" x14ac:dyDescent="0.35">
      <c r="A16" s="66" t="s">
        <v>3</v>
      </c>
      <c r="B16" s="8">
        <v>7.59</v>
      </c>
      <c r="C16" s="8">
        <v>6.7</v>
      </c>
      <c r="D16" s="8">
        <v>0</v>
      </c>
      <c r="E16" s="8">
        <v>0</v>
      </c>
      <c r="F16" s="53">
        <f>'NPS Bear Creek'!F8</f>
        <v>0.88999999999999968</v>
      </c>
      <c r="G16" s="16">
        <v>0</v>
      </c>
      <c r="H16" s="10">
        <f>'NPS Bear Creek'!H8</f>
        <v>0</v>
      </c>
      <c r="I16" s="15">
        <f>(F16*I23)</f>
        <v>177.99999999999994</v>
      </c>
      <c r="J16" s="85">
        <v>0</v>
      </c>
      <c r="K16" s="7"/>
      <c r="L16" s="35">
        <v>500</v>
      </c>
      <c r="M16" s="23">
        <f>L16</f>
        <v>500</v>
      </c>
      <c r="N16" s="23">
        <f>ROUND(M16*$N$23+M16,-1)</f>
        <v>500</v>
      </c>
      <c r="O16" s="23">
        <f>SUM(M16,-H16)</f>
        <v>500</v>
      </c>
      <c r="P16" s="23">
        <f>N16*$P$23+N16</f>
        <v>520</v>
      </c>
      <c r="Q16" s="5"/>
      <c r="R16" s="5"/>
      <c r="S16" s="5"/>
      <c r="T16" s="5"/>
      <c r="U16" s="95" t="s">
        <v>2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54" s="4" customFormat="1" x14ac:dyDescent="0.35">
      <c r="A17" s="66" t="s">
        <v>0</v>
      </c>
      <c r="B17" s="8">
        <v>7.36</v>
      </c>
      <c r="C17" s="8">
        <v>0</v>
      </c>
      <c r="D17" s="8">
        <v>0</v>
      </c>
      <c r="E17" s="8">
        <v>0</v>
      </c>
      <c r="F17" s="53">
        <f>'NPS Bear Creek'!F9</f>
        <v>7.36</v>
      </c>
      <c r="G17" s="8">
        <v>7.4</v>
      </c>
      <c r="H17" s="10">
        <f>'NPS Bear Creek'!H9</f>
        <v>25300</v>
      </c>
      <c r="I17" s="15">
        <f>((F17)+(7.4*10))*I23</f>
        <v>16272</v>
      </c>
      <c r="J17" s="85">
        <f>110*J23</f>
        <v>11000</v>
      </c>
      <c r="K17" s="7"/>
      <c r="L17" s="35">
        <v>500</v>
      </c>
      <c r="M17" s="23">
        <f>SUM(I17:J17)</f>
        <v>27272</v>
      </c>
      <c r="N17" s="23">
        <f>ROUND(M17*$N$23+M17,-1)</f>
        <v>27270</v>
      </c>
      <c r="O17" s="23">
        <f>SUM(M17,-H17)</f>
        <v>1972</v>
      </c>
      <c r="P17" s="23">
        <f>ROUND(N17*$P$23+N17, -1)</f>
        <v>28360</v>
      </c>
      <c r="Q17" s="5"/>
      <c r="R17" s="5"/>
      <c r="S17" s="5"/>
      <c r="T17" s="5"/>
      <c r="U17" s="95" t="s">
        <v>3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54" s="4" customFormat="1" x14ac:dyDescent="0.35">
      <c r="A18" s="66" t="s">
        <v>141</v>
      </c>
      <c r="B18" s="8">
        <v>2.19</v>
      </c>
      <c r="C18" s="8">
        <v>0</v>
      </c>
      <c r="D18" s="8">
        <v>0</v>
      </c>
      <c r="E18" s="8">
        <v>0</v>
      </c>
      <c r="F18" s="53">
        <v>2.2000000000000002</v>
      </c>
      <c r="G18" s="16">
        <v>0</v>
      </c>
      <c r="H18" s="10">
        <f>'NPS Bear Creek'!H10</f>
        <v>0</v>
      </c>
      <c r="I18" s="15">
        <f>(F18*I23)</f>
        <v>440.00000000000006</v>
      </c>
      <c r="J18" s="85">
        <v>0</v>
      </c>
      <c r="K18" s="7"/>
      <c r="L18" s="35" t="s">
        <v>142</v>
      </c>
      <c r="M18" s="23" t="str">
        <f>L18</f>
        <v>-</v>
      </c>
      <c r="N18" s="23">
        <v>0</v>
      </c>
      <c r="O18" s="23">
        <f>SUM(M18,-H18)</f>
        <v>0</v>
      </c>
      <c r="P18" s="23">
        <f>N18*$P$23+N18</f>
        <v>0</v>
      </c>
      <c r="Q18" s="5"/>
      <c r="R18" s="5"/>
      <c r="S18" s="5"/>
      <c r="T18" s="5"/>
      <c r="U18" s="95" t="s">
        <v>0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54" s="4" customFormat="1" x14ac:dyDescent="0.35">
      <c r="A19" s="66" t="s">
        <v>122</v>
      </c>
      <c r="B19" s="8"/>
      <c r="C19" s="8">
        <f>SUM(C14:C16)</f>
        <v>61.4</v>
      </c>
      <c r="D19" s="8">
        <v>0</v>
      </c>
      <c r="E19" s="8">
        <v>0</v>
      </c>
      <c r="F19" s="53">
        <f>SUM(C19:E19)</f>
        <v>61.4</v>
      </c>
      <c r="G19" s="16">
        <v>0</v>
      </c>
      <c r="H19" s="10">
        <f>'NPS Bear Creek'!H8</f>
        <v>0</v>
      </c>
      <c r="I19" s="15">
        <v>0</v>
      </c>
      <c r="J19" s="85">
        <v>0</v>
      </c>
      <c r="K19" s="7"/>
      <c r="L19" s="35">
        <v>0</v>
      </c>
      <c r="M19" s="23">
        <v>0</v>
      </c>
      <c r="N19" s="23">
        <v>0</v>
      </c>
      <c r="O19" s="23">
        <v>0</v>
      </c>
      <c r="P19" s="23">
        <v>0</v>
      </c>
      <c r="Q19" s="5"/>
      <c r="R19" s="5"/>
      <c r="S19" s="5"/>
      <c r="T19" s="5"/>
      <c r="U19" s="95" t="s">
        <v>141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54" s="4" customFormat="1" x14ac:dyDescent="0.35">
      <c r="A20" s="66" t="s">
        <v>123</v>
      </c>
      <c r="B20" s="8"/>
      <c r="C20" s="8">
        <v>0</v>
      </c>
      <c r="D20" s="8">
        <f>SUM(D14:D19)</f>
        <v>6.8</v>
      </c>
      <c r="E20" s="8">
        <v>0</v>
      </c>
      <c r="F20" s="53">
        <f t="shared" ref="F20:F21" si="0">SUM(C20:E20)</f>
        <v>6.8</v>
      </c>
      <c r="G20" s="16">
        <v>0</v>
      </c>
      <c r="H20" s="10">
        <v>0</v>
      </c>
      <c r="I20" s="15">
        <v>0</v>
      </c>
      <c r="J20" s="85">
        <v>0</v>
      </c>
      <c r="K20" s="7"/>
      <c r="L20" s="35">
        <v>0</v>
      </c>
      <c r="M20" s="23">
        <v>0</v>
      </c>
      <c r="N20" s="23">
        <v>0</v>
      </c>
      <c r="O20" s="23">
        <v>0</v>
      </c>
      <c r="P20" s="23">
        <v>0</v>
      </c>
      <c r="Q20" s="5"/>
      <c r="R20" s="5"/>
      <c r="S20" s="5"/>
      <c r="T20" s="5"/>
      <c r="U20" s="95" t="s">
        <v>122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54" s="4" customFormat="1" x14ac:dyDescent="0.35">
      <c r="A21" s="66" t="s">
        <v>134</v>
      </c>
      <c r="B21" s="8"/>
      <c r="C21" s="8">
        <v>0</v>
      </c>
      <c r="D21" s="8">
        <v>0</v>
      </c>
      <c r="E21" s="8">
        <f>SUM(E14:E20)</f>
        <v>14.6</v>
      </c>
      <c r="F21" s="53">
        <f t="shared" si="0"/>
        <v>14.6</v>
      </c>
      <c r="G21" s="16">
        <v>0</v>
      </c>
      <c r="H21" s="10">
        <f>'NPS Bear Creek'!H10</f>
        <v>0</v>
      </c>
      <c r="I21" s="77">
        <f>(F21*I23)</f>
        <v>2920</v>
      </c>
      <c r="J21" s="86"/>
      <c r="K21" s="7">
        <f>40*K23</f>
        <v>1000</v>
      </c>
      <c r="L21" s="72">
        <v>500</v>
      </c>
      <c r="M21" s="23">
        <f>SUM(I21:K21)</f>
        <v>3920</v>
      </c>
      <c r="N21" s="23">
        <f>ROUND(M21*$N$23+M21,-1)</f>
        <v>3920</v>
      </c>
      <c r="O21" s="73">
        <f>SUM(M21,-H21)</f>
        <v>3920</v>
      </c>
      <c r="P21" s="23">
        <f>ROUND(N21*$P$23+N21, -1)</f>
        <v>4080</v>
      </c>
      <c r="Q21" s="5"/>
      <c r="R21" s="5"/>
      <c r="S21" s="5"/>
      <c r="T21" s="5"/>
      <c r="U21" s="95" t="s">
        <v>123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54" s="2" customFormat="1" x14ac:dyDescent="0.35">
      <c r="A22" s="48" t="s">
        <v>1</v>
      </c>
      <c r="B22" s="12">
        <f>SUM(B14:B21)</f>
        <v>236.50000000000003</v>
      </c>
      <c r="C22" s="9"/>
      <c r="D22" s="9"/>
      <c r="E22" s="9"/>
      <c r="F22" s="12">
        <f>SUM(F14:F21)</f>
        <v>236.63499999999999</v>
      </c>
      <c r="G22" s="12">
        <f>SUM(G14:G21)</f>
        <v>7.9</v>
      </c>
      <c r="H22" s="11">
        <f>SUM(H14:H21)</f>
        <v>51350</v>
      </c>
      <c r="I22" s="11">
        <f>SUM(I14:I21)</f>
        <v>49487</v>
      </c>
      <c r="J22" s="87">
        <f>SUM(J14:J21)</f>
        <v>11000</v>
      </c>
      <c r="K22" s="66"/>
      <c r="L22" s="90"/>
      <c r="M22" s="11">
        <f>SUM(M14:M21)</f>
        <v>61369</v>
      </c>
      <c r="N22" s="30">
        <f>SUM(N14:N21)</f>
        <v>61370</v>
      </c>
      <c r="O22" s="30">
        <f>SUM(O14:O21)</f>
        <v>10019</v>
      </c>
      <c r="P22" s="30">
        <f>SUM(P14:P21)</f>
        <v>63830.400000000001</v>
      </c>
      <c r="Q22" s="5"/>
      <c r="R22" s="5"/>
      <c r="S22" s="5"/>
      <c r="T22" s="5"/>
      <c r="U22" s="95" t="s">
        <v>134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54" s="4" customFormat="1" x14ac:dyDescent="0.35">
      <c r="A23" s="5"/>
      <c r="B23" s="5"/>
      <c r="C23" s="5"/>
      <c r="D23" s="5"/>
      <c r="E23" s="5"/>
      <c r="F23" s="5"/>
      <c r="G23" s="5"/>
      <c r="H23" s="5"/>
      <c r="I23" s="92">
        <v>200</v>
      </c>
      <c r="J23" s="92">
        <v>100</v>
      </c>
      <c r="K23" s="91">
        <v>25</v>
      </c>
      <c r="L23" s="5"/>
      <c r="M23" s="5"/>
      <c r="N23" s="93">
        <v>0</v>
      </c>
      <c r="O23" s="5"/>
      <c r="P23" s="93">
        <v>0.04</v>
      </c>
      <c r="Q23" s="5"/>
      <c r="R23" s="5"/>
      <c r="S23" s="5"/>
      <c r="T23" s="5"/>
      <c r="U23" s="96" t="s">
        <v>156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4" customFormat="1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97" t="s">
        <v>22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s="4" customFormat="1" x14ac:dyDescent="0.35">
      <c r="A25" s="13" t="s">
        <v>126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97" t="s">
        <v>23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4" s="5" customFormat="1" x14ac:dyDescent="0.35">
      <c r="A26" s="18" t="s">
        <v>40</v>
      </c>
      <c r="B26" s="18" t="s">
        <v>8</v>
      </c>
      <c r="C26" s="18" t="s">
        <v>9</v>
      </c>
      <c r="D26" s="18" t="s">
        <v>10</v>
      </c>
      <c r="E26" s="18" t="s">
        <v>11</v>
      </c>
      <c r="F26" s="18" t="s">
        <v>12</v>
      </c>
      <c r="G26" s="20"/>
      <c r="H26" s="79" t="s">
        <v>13</v>
      </c>
      <c r="I26" s="21" t="s">
        <v>14</v>
      </c>
      <c r="J26" s="21" t="s">
        <v>15</v>
      </c>
      <c r="K26" s="21" t="s">
        <v>16</v>
      </c>
      <c r="U26" s="97" t="s">
        <v>24</v>
      </c>
    </row>
    <row r="27" spans="1:54" s="5" customFormat="1" ht="116.5" customHeight="1" x14ac:dyDescent="0.35">
      <c r="A27" s="25" t="s">
        <v>37</v>
      </c>
      <c r="B27" s="26" t="s">
        <v>33</v>
      </c>
      <c r="C27" s="6" t="s">
        <v>112</v>
      </c>
      <c r="D27" s="34" t="s">
        <v>121</v>
      </c>
      <c r="E27" s="6" t="s">
        <v>154</v>
      </c>
      <c r="F27" s="34" t="s">
        <v>38</v>
      </c>
      <c r="G27" s="34" t="s">
        <v>143</v>
      </c>
      <c r="H27" s="80" t="s">
        <v>77</v>
      </c>
      <c r="I27" s="55" t="s">
        <v>97</v>
      </c>
      <c r="J27" s="34" t="s">
        <v>36</v>
      </c>
      <c r="K27" s="55" t="s">
        <v>99</v>
      </c>
      <c r="U27" s="97" t="s">
        <v>25</v>
      </c>
    </row>
    <row r="28" spans="1:54" s="5" customFormat="1" x14ac:dyDescent="0.35">
      <c r="A28" s="67" t="s">
        <v>22</v>
      </c>
      <c r="B28" s="28">
        <v>0.99</v>
      </c>
      <c r="C28" s="29">
        <v>19763</v>
      </c>
      <c r="D28" s="35">
        <f>B28*$D$42</f>
        <v>13860</v>
      </c>
      <c r="E28" s="72">
        <f>40*E42</f>
        <v>4000</v>
      </c>
      <c r="F28" s="35">
        <f>'PS Bear Creek'!E6</f>
        <v>3500</v>
      </c>
      <c r="G28" s="20"/>
      <c r="H28" s="35">
        <f>IF(D28&gt;F28,D28+E28)</f>
        <v>17860</v>
      </c>
      <c r="I28" s="23">
        <f t="shared" ref="I28:I41" si="1">H28 *$I$42+H28</f>
        <v>17860</v>
      </c>
      <c r="J28" s="23">
        <f t="shared" ref="J28:J40" si="2">SUM(H28,-C28)</f>
        <v>-1903</v>
      </c>
      <c r="K28" s="23">
        <f>ROUND((I28*$K$42+I28),-1)</f>
        <v>18570</v>
      </c>
      <c r="U28" s="97" t="s">
        <v>26</v>
      </c>
    </row>
    <row r="29" spans="1:54" s="5" customFormat="1" x14ac:dyDescent="0.35">
      <c r="A29" s="67" t="s">
        <v>23</v>
      </c>
      <c r="B29" s="28">
        <v>0.7</v>
      </c>
      <c r="C29" s="29">
        <v>13652</v>
      </c>
      <c r="D29" s="35">
        <f t="shared" ref="D29:D40" si="3">B29*$D$42</f>
        <v>9800</v>
      </c>
      <c r="E29" s="35">
        <f>0</f>
        <v>0</v>
      </c>
      <c r="F29" s="35">
        <f>'PS Bear Creek'!E7</f>
        <v>3500</v>
      </c>
      <c r="G29" s="20"/>
      <c r="H29" s="35">
        <f>IF(D29&gt;F29,D29)</f>
        <v>9800</v>
      </c>
      <c r="I29" s="23">
        <f t="shared" si="1"/>
        <v>9800</v>
      </c>
      <c r="J29" s="23">
        <f t="shared" si="2"/>
        <v>-3852</v>
      </c>
      <c r="K29" s="23">
        <f t="shared" ref="K29:K40" si="4">ROUND((I29*$K$42+I29),-1)</f>
        <v>10190</v>
      </c>
      <c r="U29" s="97" t="s">
        <v>34</v>
      </c>
    </row>
    <row r="30" spans="1:54" s="5" customFormat="1" x14ac:dyDescent="0.35">
      <c r="A30" s="67" t="s">
        <v>24</v>
      </c>
      <c r="B30" s="28">
        <v>0.8</v>
      </c>
      <c r="C30" s="29">
        <v>12030</v>
      </c>
      <c r="D30" s="35">
        <f t="shared" si="3"/>
        <v>11200</v>
      </c>
      <c r="E30" s="35">
        <v>0</v>
      </c>
      <c r="F30" s="35">
        <f>'PS Bear Creek'!E8</f>
        <v>3500</v>
      </c>
      <c r="G30" s="20"/>
      <c r="H30" s="35">
        <f>IF(D30&gt;F30,D30)</f>
        <v>11200</v>
      </c>
      <c r="I30" s="23">
        <f t="shared" si="1"/>
        <v>11200</v>
      </c>
      <c r="J30" s="23">
        <f t="shared" si="2"/>
        <v>-830</v>
      </c>
      <c r="K30" s="23">
        <f t="shared" si="4"/>
        <v>11650</v>
      </c>
      <c r="U30" s="97" t="s">
        <v>28</v>
      </c>
    </row>
    <row r="31" spans="1:54" s="5" customFormat="1" x14ac:dyDescent="0.35">
      <c r="A31" s="67" t="s">
        <v>25</v>
      </c>
      <c r="B31" s="28">
        <v>0.125</v>
      </c>
      <c r="C31" s="29">
        <v>4016</v>
      </c>
      <c r="D31" s="35">
        <f t="shared" si="3"/>
        <v>1750</v>
      </c>
      <c r="E31" s="35">
        <v>0</v>
      </c>
      <c r="F31" s="35">
        <f>'PS Bear Creek'!E9</f>
        <v>3500</v>
      </c>
      <c r="G31" s="20"/>
      <c r="H31" s="35">
        <f>F31</f>
        <v>3500</v>
      </c>
      <c r="I31" s="23">
        <f t="shared" si="1"/>
        <v>3500</v>
      </c>
      <c r="J31" s="23">
        <f t="shared" si="2"/>
        <v>-516</v>
      </c>
      <c r="K31" s="23">
        <f t="shared" si="4"/>
        <v>3640</v>
      </c>
      <c r="U31" s="97" t="s">
        <v>29</v>
      </c>
    </row>
    <row r="32" spans="1:54" s="5" customFormat="1" x14ac:dyDescent="0.35">
      <c r="A32" s="67" t="s">
        <v>26</v>
      </c>
      <c r="B32" s="28">
        <v>0.2</v>
      </c>
      <c r="C32" s="29">
        <v>4016</v>
      </c>
      <c r="D32" s="35">
        <f t="shared" si="3"/>
        <v>2800</v>
      </c>
      <c r="E32" s="35">
        <v>0</v>
      </c>
      <c r="F32" s="35">
        <f>'PS Bear Creek'!E10</f>
        <v>3500</v>
      </c>
      <c r="G32" s="82">
        <v>500</v>
      </c>
      <c r="H32" s="35">
        <f>F32+G32</f>
        <v>4000</v>
      </c>
      <c r="I32" s="23">
        <f t="shared" si="1"/>
        <v>4000</v>
      </c>
      <c r="J32" s="23">
        <f t="shared" si="2"/>
        <v>-16</v>
      </c>
      <c r="K32" s="23">
        <f t="shared" si="4"/>
        <v>4160</v>
      </c>
      <c r="U32" s="97" t="s">
        <v>30</v>
      </c>
    </row>
    <row r="33" spans="1:21" s="5" customFormat="1" x14ac:dyDescent="0.35">
      <c r="A33" s="67" t="s">
        <v>34</v>
      </c>
      <c r="B33" s="28">
        <v>0.06</v>
      </c>
      <c r="C33" s="29">
        <v>3742</v>
      </c>
      <c r="D33" s="35">
        <f t="shared" si="3"/>
        <v>840</v>
      </c>
      <c r="E33" s="35">
        <v>0</v>
      </c>
      <c r="F33" s="35">
        <f>'PS Bear Creek'!E11</f>
        <v>3500</v>
      </c>
      <c r="G33" s="20"/>
      <c r="H33" s="35">
        <f t="shared" ref="H33:H40" si="5">F33</f>
        <v>3500</v>
      </c>
      <c r="I33" s="23">
        <f t="shared" si="1"/>
        <v>3500</v>
      </c>
      <c r="J33" s="23">
        <f t="shared" si="2"/>
        <v>-242</v>
      </c>
      <c r="K33" s="23">
        <f t="shared" si="4"/>
        <v>3640</v>
      </c>
      <c r="U33" s="97" t="s">
        <v>31</v>
      </c>
    </row>
    <row r="34" spans="1:21" s="5" customFormat="1" x14ac:dyDescent="0.35">
      <c r="A34" s="67" t="s">
        <v>28</v>
      </c>
      <c r="B34" s="28">
        <v>4.3499999999999997E-2</v>
      </c>
      <c r="C34" s="29">
        <v>3080</v>
      </c>
      <c r="D34" s="35">
        <f t="shared" si="3"/>
        <v>609</v>
      </c>
      <c r="E34" s="35">
        <v>0</v>
      </c>
      <c r="F34" s="35">
        <f>'PS Bear Creek'!E12</f>
        <v>3500</v>
      </c>
      <c r="G34" s="20"/>
      <c r="H34" s="35">
        <f t="shared" si="5"/>
        <v>3500</v>
      </c>
      <c r="I34" s="23">
        <f t="shared" si="1"/>
        <v>3500</v>
      </c>
      <c r="J34" s="23">
        <f t="shared" si="2"/>
        <v>420</v>
      </c>
      <c r="K34" s="23">
        <f t="shared" si="4"/>
        <v>3640</v>
      </c>
      <c r="U34" s="98" t="s">
        <v>118</v>
      </c>
    </row>
    <row r="35" spans="1:21" s="5" customFormat="1" x14ac:dyDescent="0.35">
      <c r="A35" s="67" t="s">
        <v>29</v>
      </c>
      <c r="B35" s="28">
        <v>0.05</v>
      </c>
      <c r="C35" s="29">
        <v>2702</v>
      </c>
      <c r="D35" s="35">
        <f t="shared" si="3"/>
        <v>700</v>
      </c>
      <c r="E35" s="35">
        <v>0</v>
      </c>
      <c r="F35" s="35">
        <f>'PS Bear Creek'!E13</f>
        <v>3500</v>
      </c>
      <c r="G35" s="20"/>
      <c r="H35" s="35">
        <f t="shared" si="5"/>
        <v>3500</v>
      </c>
      <c r="I35" s="23">
        <f t="shared" si="1"/>
        <v>3500</v>
      </c>
      <c r="J35" s="23">
        <f t="shared" si="2"/>
        <v>798</v>
      </c>
      <c r="K35" s="23">
        <f t="shared" si="4"/>
        <v>3640</v>
      </c>
      <c r="U35" s="98" t="s">
        <v>157</v>
      </c>
    </row>
    <row r="36" spans="1:21" s="5" customFormat="1" x14ac:dyDescent="0.35">
      <c r="A36" s="67" t="s">
        <v>30</v>
      </c>
      <c r="B36" s="28">
        <v>2.5000000000000001E-2</v>
      </c>
      <c r="C36" s="29">
        <v>2052</v>
      </c>
      <c r="D36" s="35">
        <f t="shared" si="3"/>
        <v>350</v>
      </c>
      <c r="E36" s="35">
        <v>0</v>
      </c>
      <c r="F36" s="35">
        <f>'PS Bear Creek'!E14</f>
        <v>2000</v>
      </c>
      <c r="G36" s="20"/>
      <c r="H36" s="35">
        <f t="shared" si="5"/>
        <v>2000</v>
      </c>
      <c r="I36" s="23">
        <f t="shared" si="1"/>
        <v>2000</v>
      </c>
      <c r="J36" s="23">
        <f t="shared" si="2"/>
        <v>-52</v>
      </c>
      <c r="K36" s="23">
        <f t="shared" si="4"/>
        <v>2080</v>
      </c>
      <c r="U36" s="97" t="s">
        <v>158</v>
      </c>
    </row>
    <row r="37" spans="1:21" s="5" customFormat="1" x14ac:dyDescent="0.35">
      <c r="A37" s="67" t="s">
        <v>31</v>
      </c>
      <c r="B37" s="28">
        <v>1.9E-2</v>
      </c>
      <c r="C37" s="29">
        <v>2124</v>
      </c>
      <c r="D37" s="35">
        <f t="shared" si="3"/>
        <v>266</v>
      </c>
      <c r="E37" s="35">
        <v>0</v>
      </c>
      <c r="F37" s="35">
        <f>'PS Bear Creek'!E15</f>
        <v>2000</v>
      </c>
      <c r="G37" s="20"/>
      <c r="H37" s="35">
        <f t="shared" si="5"/>
        <v>2000</v>
      </c>
      <c r="I37" s="23">
        <f t="shared" si="1"/>
        <v>2000</v>
      </c>
      <c r="J37" s="23">
        <f t="shared" si="2"/>
        <v>-124</v>
      </c>
      <c r="K37" s="23">
        <f t="shared" si="4"/>
        <v>2080</v>
      </c>
    </row>
    <row r="38" spans="1:21" s="5" customFormat="1" x14ac:dyDescent="0.35">
      <c r="A38" s="69" t="s">
        <v>118</v>
      </c>
      <c r="B38" s="70">
        <v>1.0999999999999999E-2</v>
      </c>
      <c r="C38" s="71">
        <v>0</v>
      </c>
      <c r="D38" s="35">
        <f t="shared" si="3"/>
        <v>154</v>
      </c>
      <c r="E38" s="72">
        <v>0</v>
      </c>
      <c r="F38" s="72">
        <f>'PS Bear Creek'!E14</f>
        <v>2000</v>
      </c>
      <c r="G38" s="20"/>
      <c r="H38" s="72">
        <f t="shared" si="5"/>
        <v>2000</v>
      </c>
      <c r="I38" s="73">
        <f t="shared" si="1"/>
        <v>2000</v>
      </c>
      <c r="J38" s="73">
        <f t="shared" si="2"/>
        <v>2000</v>
      </c>
      <c r="K38" s="23">
        <f t="shared" si="4"/>
        <v>2080</v>
      </c>
    </row>
    <row r="39" spans="1:21" s="5" customFormat="1" x14ac:dyDescent="0.35">
      <c r="A39" s="69" t="s">
        <v>117</v>
      </c>
      <c r="B39" s="70">
        <v>8.9999999999999993E-3</v>
      </c>
      <c r="C39" s="71">
        <v>0</v>
      </c>
      <c r="D39" s="35">
        <f t="shared" si="3"/>
        <v>125.99999999999999</v>
      </c>
      <c r="E39" s="72">
        <v>0</v>
      </c>
      <c r="F39" s="72">
        <f>'PS Bear Creek'!E15</f>
        <v>2000</v>
      </c>
      <c r="G39" s="20"/>
      <c r="H39" s="72">
        <f t="shared" si="5"/>
        <v>2000</v>
      </c>
      <c r="I39" s="73">
        <f t="shared" si="1"/>
        <v>2000</v>
      </c>
      <c r="J39" s="73">
        <f t="shared" si="2"/>
        <v>2000</v>
      </c>
      <c r="K39" s="23">
        <f t="shared" si="4"/>
        <v>2080</v>
      </c>
    </row>
    <row r="40" spans="1:21" s="5" customFormat="1" x14ac:dyDescent="0.35">
      <c r="A40" s="67" t="s">
        <v>32</v>
      </c>
      <c r="B40" s="28">
        <v>5.0000000000000001E-3</v>
      </c>
      <c r="C40" s="29">
        <v>413</v>
      </c>
      <c r="D40" s="35">
        <f t="shared" si="3"/>
        <v>70</v>
      </c>
      <c r="E40" s="35">
        <v>0</v>
      </c>
      <c r="F40" s="35">
        <f>'PS Bear Creek'!E18</f>
        <v>500</v>
      </c>
      <c r="G40" s="20"/>
      <c r="H40" s="35">
        <f t="shared" si="5"/>
        <v>500</v>
      </c>
      <c r="I40" s="23">
        <f t="shared" si="1"/>
        <v>500</v>
      </c>
      <c r="J40" s="23">
        <f t="shared" si="2"/>
        <v>87</v>
      </c>
      <c r="K40" s="23">
        <f t="shared" si="4"/>
        <v>520</v>
      </c>
    </row>
    <row r="41" spans="1:21" s="5" customFormat="1" x14ac:dyDescent="0.35">
      <c r="A41" s="31" t="s">
        <v>35</v>
      </c>
      <c r="B41" s="32">
        <f>SUM(B28:B40)</f>
        <v>3.0375000000000001</v>
      </c>
      <c r="C41" s="33">
        <f>SUM(C28:C40)</f>
        <v>67590</v>
      </c>
      <c r="D41" s="33">
        <f>SUM(D28:D40)</f>
        <v>42525</v>
      </c>
      <c r="E41" s="33"/>
      <c r="F41" s="33"/>
      <c r="G41" s="81">
        <f>SUM(G28:G40)</f>
        <v>500</v>
      </c>
      <c r="H41" s="81">
        <f>SUM(H28:H40)</f>
        <v>65360</v>
      </c>
      <c r="I41" s="30">
        <f t="shared" si="1"/>
        <v>65360</v>
      </c>
      <c r="J41" s="33">
        <f>SUM(J28:J40)</f>
        <v>-2230</v>
      </c>
      <c r="K41" s="30">
        <f>SUM(K28:K40)</f>
        <v>67970</v>
      </c>
    </row>
    <row r="42" spans="1:21" s="5" customFormat="1" x14ac:dyDescent="0.35">
      <c r="D42" s="76">
        <v>14000</v>
      </c>
      <c r="E42" s="76">
        <v>100</v>
      </c>
      <c r="I42" s="57">
        <v>0</v>
      </c>
      <c r="J42" s="68"/>
      <c r="K42" s="57">
        <v>0.04</v>
      </c>
    </row>
    <row r="43" spans="1:21" s="5" customFormat="1" x14ac:dyDescent="0.35"/>
    <row r="44" spans="1:21" x14ac:dyDescent="0.35">
      <c r="A44" s="45" t="s">
        <v>127</v>
      </c>
    </row>
    <row r="45" spans="1:21" x14ac:dyDescent="0.35">
      <c r="A45" s="18" t="s">
        <v>40</v>
      </c>
      <c r="B45" s="18" t="s">
        <v>8</v>
      </c>
      <c r="C45" s="18" t="s">
        <v>9</v>
      </c>
      <c r="D45" s="18" t="s">
        <v>10</v>
      </c>
      <c r="E45" s="18" t="s">
        <v>11</v>
      </c>
      <c r="F45" s="18" t="s">
        <v>12</v>
      </c>
      <c r="G45" s="21" t="s">
        <v>13</v>
      </c>
      <c r="H45" s="21" t="s">
        <v>14</v>
      </c>
    </row>
    <row r="46" spans="1:21" ht="58" x14ac:dyDescent="0.35">
      <c r="A46" s="32" t="s">
        <v>44</v>
      </c>
      <c r="B46" s="34" t="s">
        <v>115</v>
      </c>
      <c r="C46" s="34" t="s">
        <v>42</v>
      </c>
      <c r="D46" s="34" t="s">
        <v>52</v>
      </c>
      <c r="E46" s="34" t="s">
        <v>53</v>
      </c>
      <c r="F46" s="44" t="s">
        <v>49</v>
      </c>
      <c r="G46" s="44" t="s">
        <v>100</v>
      </c>
      <c r="H46" s="44" t="s">
        <v>101</v>
      </c>
    </row>
    <row r="47" spans="1:21" x14ac:dyDescent="0.35">
      <c r="A47" s="18" t="s">
        <v>138</v>
      </c>
      <c r="B47" s="41">
        <f>H22</f>
        <v>51350</v>
      </c>
      <c r="C47" s="41">
        <f>M22</f>
        <v>61369</v>
      </c>
      <c r="D47" s="43">
        <f>PRODUCT(B47,1/B50)</f>
        <v>0.42056725390468236</v>
      </c>
      <c r="E47" s="54">
        <f>PRODUCT(C47,1/C50)</f>
        <v>0.4723630096759755</v>
      </c>
      <c r="F47" s="43">
        <f>PRODUCT(C47,1/B47)-1</f>
        <v>0.19511197663096391</v>
      </c>
      <c r="G47" s="41">
        <f>I41</f>
        <v>65360</v>
      </c>
      <c r="H47" s="41">
        <f>K41</f>
        <v>67970</v>
      </c>
    </row>
    <row r="48" spans="1:21" x14ac:dyDescent="0.35">
      <c r="A48" s="18" t="s">
        <v>139</v>
      </c>
      <c r="B48" s="41">
        <f>C41</f>
        <v>67590</v>
      </c>
      <c r="C48" s="41">
        <f>H41</f>
        <v>65360</v>
      </c>
      <c r="D48" s="43">
        <f>PRODUCT(B48,1/B50)</f>
        <v>0.55357625494483897</v>
      </c>
      <c r="E48" s="54">
        <f>PRODUCT(C48,1/C50)</f>
        <v>0.50308211495089961</v>
      </c>
      <c r="F48" s="43">
        <f>PRODUCT(C48,1/B48)-1</f>
        <v>-3.299304630862554E-2</v>
      </c>
      <c r="G48" s="41">
        <f>N22</f>
        <v>61370</v>
      </c>
      <c r="H48" s="41">
        <f>P22</f>
        <v>63830.400000000001</v>
      </c>
    </row>
    <row r="49" spans="1:8" x14ac:dyDescent="0.35">
      <c r="A49" s="18" t="s">
        <v>27</v>
      </c>
      <c r="B49" s="15">
        <f>'NPS Bear Creek'!B17</f>
        <v>3157</v>
      </c>
      <c r="C49" s="41">
        <f>B49*1.0105</f>
        <v>3190.1484999999998</v>
      </c>
      <c r="D49" s="43">
        <f>PRODUCT(B49,1/B50)</f>
        <v>2.5856491150478719E-2</v>
      </c>
      <c r="E49" s="43">
        <f>PRODUCT(C49,1/C50)</f>
        <v>2.4554875373124847E-2</v>
      </c>
      <c r="F49" s="43">
        <f>PRODUCT(C49,1/B49)-1</f>
        <v>1.0499999999999954E-2</v>
      </c>
      <c r="G49" s="41">
        <f>C49</f>
        <v>3190.1484999999998</v>
      </c>
      <c r="H49" s="41">
        <f>G49*1.04</f>
        <v>3317.7544399999997</v>
      </c>
    </row>
    <row r="50" spans="1:8" x14ac:dyDescent="0.35">
      <c r="A50" s="49" t="s">
        <v>1</v>
      </c>
      <c r="B50" s="30">
        <f>SUM(B47:B49)</f>
        <v>122097</v>
      </c>
      <c r="C50" s="30">
        <f>SUM(C47:C49)</f>
        <v>129919.1485</v>
      </c>
      <c r="D50" s="59">
        <f>SUM(D47:D49)</f>
        <v>1</v>
      </c>
      <c r="E50" s="59">
        <f>SUM(E47:E49)</f>
        <v>1</v>
      </c>
      <c r="F50" s="59">
        <f>PRODUCT(C50,1/B50)-1</f>
        <v>6.4065034357928541E-2</v>
      </c>
      <c r="G50" s="30">
        <f>SUM(G47:G49)</f>
        <v>129920.1485</v>
      </c>
      <c r="H50" s="30">
        <f>SUM(H47:H49)</f>
        <v>135118.15443999998</v>
      </c>
    </row>
    <row r="52" spans="1:8" x14ac:dyDescent="0.35">
      <c r="A52" s="42" t="s">
        <v>116</v>
      </c>
    </row>
    <row r="54" spans="1:8" s="13" customFormat="1" x14ac:dyDescent="0.35">
      <c r="A54" s="13" t="s">
        <v>128</v>
      </c>
    </row>
    <row r="55" spans="1:8" s="13" customFormat="1" x14ac:dyDescent="0.35">
      <c r="A55" s="32" t="s">
        <v>7</v>
      </c>
      <c r="B55" s="18" t="s">
        <v>8</v>
      </c>
      <c r="C55" s="18" t="s">
        <v>9</v>
      </c>
      <c r="D55" s="18" t="s">
        <v>10</v>
      </c>
      <c r="E55" s="32" t="s">
        <v>11</v>
      </c>
    </row>
    <row r="56" spans="1:8" ht="77.25" customHeight="1" x14ac:dyDescent="0.35">
      <c r="A56" s="32" t="s">
        <v>107</v>
      </c>
      <c r="B56" s="34" t="s">
        <v>137</v>
      </c>
      <c r="C56" s="34" t="s">
        <v>110</v>
      </c>
      <c r="D56" s="65" t="s">
        <v>111</v>
      </c>
      <c r="E56" s="34" t="s">
        <v>135</v>
      </c>
    </row>
    <row r="57" spans="1:8" x14ac:dyDescent="0.35">
      <c r="A57" s="66" t="s">
        <v>6</v>
      </c>
      <c r="B57" s="56">
        <v>0</v>
      </c>
      <c r="C57" s="15">
        <f t="shared" ref="C57:C74" si="6">PRODUCT(B57,$C$76)</f>
        <v>0</v>
      </c>
      <c r="D57" s="15"/>
      <c r="E57" s="15"/>
    </row>
    <row r="58" spans="1:8" x14ac:dyDescent="0.35">
      <c r="A58" s="66" t="s">
        <v>2</v>
      </c>
      <c r="B58" s="56">
        <v>0</v>
      </c>
      <c r="C58" s="15">
        <f t="shared" si="6"/>
        <v>0</v>
      </c>
      <c r="D58" s="15"/>
      <c r="E58" s="15"/>
    </row>
    <row r="59" spans="1:8" x14ac:dyDescent="0.35">
      <c r="A59" s="66" t="s">
        <v>3</v>
      </c>
      <c r="B59" s="56">
        <v>0</v>
      </c>
      <c r="C59" s="15">
        <f t="shared" si="6"/>
        <v>0</v>
      </c>
      <c r="D59" s="15"/>
      <c r="E59" s="15"/>
    </row>
    <row r="60" spans="1:8" x14ac:dyDescent="0.35">
      <c r="A60" s="66" t="s">
        <v>0</v>
      </c>
      <c r="B60" s="56">
        <v>243</v>
      </c>
      <c r="C60" s="15">
        <f t="shared" si="6"/>
        <v>10935</v>
      </c>
      <c r="D60" s="15">
        <v>3400</v>
      </c>
      <c r="E60" s="15">
        <f>36*15</f>
        <v>540</v>
      </c>
    </row>
    <row r="61" spans="1:8" x14ac:dyDescent="0.35">
      <c r="A61" s="66" t="s">
        <v>26</v>
      </c>
      <c r="B61" s="56">
        <v>12</v>
      </c>
      <c r="C61" s="15">
        <f t="shared" si="6"/>
        <v>540</v>
      </c>
      <c r="D61" s="15"/>
      <c r="E61" s="15"/>
    </row>
    <row r="62" spans="1:8" x14ac:dyDescent="0.35">
      <c r="A62" s="67" t="s">
        <v>22</v>
      </c>
      <c r="B62" s="56">
        <v>165</v>
      </c>
      <c r="C62" s="15">
        <f t="shared" si="6"/>
        <v>7425</v>
      </c>
      <c r="D62" s="15">
        <v>1600</v>
      </c>
      <c r="E62" s="15">
        <v>250</v>
      </c>
    </row>
    <row r="63" spans="1:8" x14ac:dyDescent="0.35">
      <c r="A63" s="67" t="s">
        <v>23</v>
      </c>
      <c r="B63" s="56">
        <v>146</v>
      </c>
      <c r="C63" s="15">
        <f t="shared" si="6"/>
        <v>6570</v>
      </c>
      <c r="D63" s="15"/>
      <c r="E63" s="15"/>
    </row>
    <row r="64" spans="1:8" x14ac:dyDescent="0.35">
      <c r="A64" s="67" t="s">
        <v>24</v>
      </c>
      <c r="B64" s="56">
        <v>0</v>
      </c>
      <c r="C64" s="15">
        <f t="shared" si="6"/>
        <v>0</v>
      </c>
      <c r="D64" s="15"/>
      <c r="E64" s="15"/>
    </row>
    <row r="65" spans="1:5" x14ac:dyDescent="0.35">
      <c r="A65" s="67" t="s">
        <v>25</v>
      </c>
      <c r="B65" s="56">
        <v>29</v>
      </c>
      <c r="C65" s="15">
        <f t="shared" si="6"/>
        <v>1305</v>
      </c>
      <c r="D65" s="15"/>
      <c r="E65" s="15"/>
    </row>
    <row r="66" spans="1:5" x14ac:dyDescent="0.35">
      <c r="A66" s="67" t="s">
        <v>34</v>
      </c>
      <c r="B66" s="56">
        <v>0</v>
      </c>
      <c r="C66" s="15">
        <f t="shared" si="6"/>
        <v>0</v>
      </c>
      <c r="D66" s="15"/>
      <c r="E66" s="15"/>
    </row>
    <row r="67" spans="1:5" x14ac:dyDescent="0.35">
      <c r="A67" s="67" t="s">
        <v>28</v>
      </c>
      <c r="B67" s="56">
        <v>0</v>
      </c>
      <c r="C67" s="15">
        <f t="shared" si="6"/>
        <v>0</v>
      </c>
      <c r="D67" s="15"/>
      <c r="E67" s="15"/>
    </row>
    <row r="68" spans="1:5" x14ac:dyDescent="0.35">
      <c r="A68" s="67" t="s">
        <v>29</v>
      </c>
      <c r="B68" s="56">
        <v>0</v>
      </c>
      <c r="C68" s="15">
        <f t="shared" si="6"/>
        <v>0</v>
      </c>
      <c r="D68" s="15"/>
      <c r="E68" s="15"/>
    </row>
    <row r="69" spans="1:5" x14ac:dyDescent="0.35">
      <c r="A69" s="67" t="s">
        <v>30</v>
      </c>
      <c r="B69" s="56">
        <v>0</v>
      </c>
      <c r="C69" s="15">
        <f t="shared" si="6"/>
        <v>0</v>
      </c>
      <c r="D69" s="15"/>
      <c r="E69" s="15"/>
    </row>
    <row r="70" spans="1:5" x14ac:dyDescent="0.35">
      <c r="A70" s="67" t="s">
        <v>31</v>
      </c>
      <c r="B70" s="56">
        <v>0</v>
      </c>
      <c r="C70" s="15">
        <f t="shared" si="6"/>
        <v>0</v>
      </c>
      <c r="D70" s="15"/>
      <c r="E70" s="15"/>
    </row>
    <row r="71" spans="1:5" x14ac:dyDescent="0.35">
      <c r="A71" s="67" t="s">
        <v>32</v>
      </c>
      <c r="B71" s="56">
        <v>0</v>
      </c>
      <c r="C71" s="15">
        <f t="shared" si="6"/>
        <v>0</v>
      </c>
      <c r="D71" s="15"/>
      <c r="E71" s="15"/>
    </row>
    <row r="72" spans="1:5" x14ac:dyDescent="0.35">
      <c r="A72" s="67" t="s">
        <v>118</v>
      </c>
      <c r="B72" s="56">
        <v>0</v>
      </c>
      <c r="C72" s="15">
        <f t="shared" si="6"/>
        <v>0</v>
      </c>
      <c r="D72" s="15"/>
      <c r="E72" s="15"/>
    </row>
    <row r="73" spans="1:5" x14ac:dyDescent="0.35">
      <c r="A73" s="67" t="s">
        <v>117</v>
      </c>
      <c r="B73" s="56">
        <v>0</v>
      </c>
      <c r="C73" s="15">
        <f t="shared" si="6"/>
        <v>0</v>
      </c>
      <c r="D73" s="15"/>
      <c r="E73" s="15"/>
    </row>
    <row r="74" spans="1:5" x14ac:dyDescent="0.35">
      <c r="A74" s="63" t="s">
        <v>27</v>
      </c>
      <c r="B74" s="56">
        <v>0</v>
      </c>
      <c r="C74" s="15">
        <f t="shared" si="6"/>
        <v>0</v>
      </c>
      <c r="D74" s="15"/>
      <c r="E74" s="15"/>
    </row>
    <row r="75" spans="1:5" x14ac:dyDescent="0.35">
      <c r="A75" s="63" t="s">
        <v>35</v>
      </c>
      <c r="B75" s="64">
        <f>SUM(B57:B74)</f>
        <v>595</v>
      </c>
      <c r="C75" s="74">
        <f t="shared" ref="C75:E75" si="7">SUM(C57:C74)</f>
        <v>26775</v>
      </c>
      <c r="D75" s="74">
        <f t="shared" si="7"/>
        <v>5000</v>
      </c>
      <c r="E75" s="74">
        <f t="shared" si="7"/>
        <v>790</v>
      </c>
    </row>
    <row r="76" spans="1:5" x14ac:dyDescent="0.35">
      <c r="B76" s="61"/>
      <c r="C76" s="62">
        <v>45</v>
      </c>
    </row>
    <row r="77" spans="1:5" x14ac:dyDescent="0.35">
      <c r="A77" s="78" t="s">
        <v>119</v>
      </c>
      <c r="B77" s="75">
        <f>SUM(C75:E75)</f>
        <v>32565</v>
      </c>
    </row>
    <row r="79" spans="1:5" x14ac:dyDescent="0.35">
      <c r="A79" s="58"/>
      <c r="B79" t="s">
        <v>129</v>
      </c>
    </row>
    <row r="81" spans="1:1" x14ac:dyDescent="0.35">
      <c r="A81" t="s">
        <v>96</v>
      </c>
    </row>
    <row r="82" spans="1:1" x14ac:dyDescent="0.35">
      <c r="A82" t="s">
        <v>132</v>
      </c>
    </row>
    <row r="83" spans="1:1" x14ac:dyDescent="0.35">
      <c r="A83" t="s">
        <v>136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Bear Creek WSA Dues</vt:lpstr>
      <vt:lpstr>NPS Bear Creek</vt:lpstr>
      <vt:lpstr>PS Bear Creek</vt:lpstr>
      <vt:lpstr>Bear Creek 5050</vt:lpstr>
      <vt:lpstr>BCWA Dues Structure</vt:lpstr>
    </vt:vector>
  </TitlesOfParts>
  <Company>Jefferson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khagaman</dc:creator>
  <cp:lastModifiedBy>RNC Consulting LLC</cp:lastModifiedBy>
  <cp:lastPrinted>2017-06-13T23:31:40Z</cp:lastPrinted>
  <dcterms:created xsi:type="dcterms:W3CDTF">2016-10-20T13:29:17Z</dcterms:created>
  <dcterms:modified xsi:type="dcterms:W3CDTF">2019-06-11T14:40:43Z</dcterms:modified>
</cp:coreProperties>
</file>