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 Master Spreadsheets\"/>
    </mc:Choice>
  </mc:AlternateContent>
  <xr:revisionPtr revIDLastSave="0" documentId="13_ncr:1_{526C8D55-2FB0-4909-9A1E-D12827A634B7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2004 2012 Data" sheetId="1" r:id="rId1"/>
    <sheet name="Flow" sheetId="2" r:id="rId2"/>
    <sheet name="Load" sheetId="3" r:id="rId3"/>
    <sheet name="2013 " sheetId="5" r:id="rId4"/>
    <sheet name="2014" sheetId="6" r:id="rId5"/>
    <sheet name="2015" sheetId="7" r:id="rId6"/>
    <sheet name="2016" sheetId="8" r:id="rId7"/>
  </sheets>
  <definedNames>
    <definedName name="_Hlt465134152" localSheetId="2">Load!$S$125</definedName>
    <definedName name="_xlnm.Print_Area" localSheetId="5">'2015'!$C$57:$I$63</definedName>
    <definedName name="_xlnm.Print_Area" localSheetId="2">Load!$T$61:$X$67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3" i="3" l="1"/>
  <c r="T122" i="3"/>
  <c r="V116" i="3"/>
  <c r="T116" i="3"/>
  <c r="T115" i="3"/>
  <c r="V115" i="3"/>
  <c r="T111" i="3"/>
  <c r="I33" i="7" l="1"/>
  <c r="I36" i="7" s="1"/>
  <c r="I39" i="7" s="1"/>
  <c r="E55" i="7" s="1"/>
  <c r="H33" i="7"/>
  <c r="H36" i="7" s="1"/>
  <c r="H39" i="7" s="1"/>
  <c r="E54" i="7" s="1"/>
  <c r="G33" i="7"/>
  <c r="G36" i="7" s="1"/>
  <c r="G39" i="7" s="1"/>
  <c r="E53" i="7" s="1"/>
  <c r="F33" i="7"/>
  <c r="F36" i="7" s="1"/>
  <c r="F39" i="7" s="1"/>
  <c r="E52" i="7" s="1"/>
  <c r="E33" i="7"/>
  <c r="E36" i="7" s="1"/>
  <c r="E39" i="7" s="1"/>
  <c r="E51" i="7" s="1"/>
  <c r="D33" i="7"/>
  <c r="D36" i="7" s="1"/>
  <c r="D39" i="7" s="1"/>
  <c r="I32" i="7"/>
  <c r="I35" i="7" s="1"/>
  <c r="I38" i="7" s="1"/>
  <c r="E49" i="7" s="1"/>
  <c r="H32" i="7"/>
  <c r="H35" i="7" s="1"/>
  <c r="H38" i="7" s="1"/>
  <c r="E48" i="7" s="1"/>
  <c r="G32" i="7"/>
  <c r="G35" i="7" s="1"/>
  <c r="G38" i="7" s="1"/>
  <c r="E47" i="7" s="1"/>
  <c r="F32" i="7"/>
  <c r="F35" i="7" s="1"/>
  <c r="F38" i="7" s="1"/>
  <c r="E46" i="7" s="1"/>
  <c r="E32" i="7"/>
  <c r="E35" i="7" s="1"/>
  <c r="E38" i="7" s="1"/>
  <c r="D32" i="7"/>
  <c r="D35" i="7" s="1"/>
  <c r="D38" i="7" s="1"/>
  <c r="E44" i="7" s="1"/>
  <c r="I33" i="6"/>
  <c r="I36" i="6" s="1"/>
  <c r="H33" i="6"/>
  <c r="H36" i="6" s="1"/>
  <c r="G33" i="6"/>
  <c r="G36" i="6" s="1"/>
  <c r="F33" i="6"/>
  <c r="F36" i="6" s="1"/>
  <c r="E33" i="6"/>
  <c r="E36" i="6" s="1"/>
  <c r="D33" i="6"/>
  <c r="D36" i="6" s="1"/>
  <c r="I32" i="6"/>
  <c r="I35" i="6" s="1"/>
  <c r="H32" i="6"/>
  <c r="H35" i="6" s="1"/>
  <c r="G32" i="6"/>
  <c r="G35" i="6" s="1"/>
  <c r="F32" i="6"/>
  <c r="F35" i="6" s="1"/>
  <c r="E32" i="6"/>
  <c r="E35" i="6" s="1"/>
  <c r="D32" i="6"/>
  <c r="D35" i="6" s="1"/>
  <c r="F51" i="7" l="1"/>
  <c r="G51" i="7"/>
  <c r="I51" i="7"/>
  <c r="H51" i="7"/>
  <c r="I48" i="7"/>
  <c r="G48" i="7"/>
  <c r="H48" i="7"/>
  <c r="F48" i="7"/>
  <c r="G52" i="7"/>
  <c r="F52" i="7"/>
  <c r="H52" i="7"/>
  <c r="I52" i="7"/>
  <c r="H55" i="7"/>
  <c r="G55" i="7"/>
  <c r="F55" i="7"/>
  <c r="J38" i="7"/>
  <c r="E59" i="7" s="1"/>
  <c r="E45" i="7"/>
  <c r="H46" i="7"/>
  <c r="F46" i="7"/>
  <c r="I46" i="7"/>
  <c r="G46" i="7"/>
  <c r="G47" i="7"/>
  <c r="H47" i="7"/>
  <c r="I47" i="7"/>
  <c r="F47" i="7"/>
  <c r="I44" i="7"/>
  <c r="F44" i="7"/>
  <c r="G44" i="7"/>
  <c r="H44" i="7"/>
  <c r="H49" i="7"/>
  <c r="F49" i="7"/>
  <c r="I49" i="7"/>
  <c r="G49" i="7"/>
  <c r="H53" i="7"/>
  <c r="G53" i="7"/>
  <c r="F53" i="7"/>
  <c r="H54" i="7"/>
  <c r="G54" i="7"/>
  <c r="J39" i="7"/>
  <c r="E60" i="7" s="1"/>
  <c r="E50" i="7"/>
  <c r="I55" i="7"/>
  <c r="I54" i="7"/>
  <c r="F54" i="7"/>
  <c r="I53" i="7"/>
  <c r="J38" i="6"/>
  <c r="J39" i="6"/>
  <c r="H50" i="7" l="1"/>
  <c r="F50" i="7"/>
  <c r="F60" i="7" s="1"/>
  <c r="I50" i="7"/>
  <c r="I63" i="7" s="1"/>
  <c r="G50" i="7"/>
  <c r="H45" i="7"/>
  <c r="H62" i="7" s="1"/>
  <c r="F45" i="7"/>
  <c r="F59" i="7" s="1"/>
  <c r="G45" i="7"/>
  <c r="G62" i="7" s="1"/>
  <c r="I45" i="7"/>
  <c r="E61" i="5"/>
  <c r="E60" i="5"/>
  <c r="E58" i="5"/>
  <c r="E57" i="5"/>
  <c r="I53" i="5"/>
  <c r="H53" i="5"/>
  <c r="G53" i="5"/>
  <c r="F53" i="5"/>
  <c r="I51" i="5"/>
  <c r="H51" i="5"/>
  <c r="G51" i="5"/>
  <c r="F51" i="5"/>
  <c r="I50" i="5"/>
  <c r="H50" i="5"/>
  <c r="G50" i="5"/>
  <c r="F50" i="5"/>
  <c r="I49" i="5"/>
  <c r="H49" i="5"/>
  <c r="G49" i="5"/>
  <c r="F49" i="5"/>
  <c r="I48" i="5"/>
  <c r="H48" i="5"/>
  <c r="G48" i="5"/>
  <c r="F48" i="5"/>
  <c r="I47" i="5"/>
  <c r="H47" i="5"/>
  <c r="G47" i="5"/>
  <c r="F47" i="5"/>
  <c r="I45" i="5"/>
  <c r="H45" i="5"/>
  <c r="G45" i="5"/>
  <c r="F45" i="5"/>
  <c r="I44" i="5"/>
  <c r="H44" i="5"/>
  <c r="G44" i="5"/>
  <c r="F44" i="5"/>
  <c r="I43" i="5"/>
  <c r="I61" i="5" s="1"/>
  <c r="H43" i="5"/>
  <c r="H61" i="5" s="1"/>
  <c r="G43" i="5"/>
  <c r="G61" i="5" s="1"/>
  <c r="F43" i="5"/>
  <c r="F61" i="5" s="1"/>
  <c r="I42" i="5"/>
  <c r="I60" i="5" s="1"/>
  <c r="H42" i="5"/>
  <c r="H60" i="5" s="1"/>
  <c r="G42" i="5"/>
  <c r="G60" i="5" s="1"/>
  <c r="F42" i="5"/>
  <c r="F60" i="5" s="1"/>
  <c r="I34" i="5"/>
  <c r="I37" i="5" s="1"/>
  <c r="H34" i="5"/>
  <c r="G34" i="5"/>
  <c r="G37" i="5" s="1"/>
  <c r="F34" i="5"/>
  <c r="F37" i="5" s="1"/>
  <c r="E34" i="5"/>
  <c r="E37" i="5" s="1"/>
  <c r="D34" i="5"/>
  <c r="D37" i="5" s="1"/>
  <c r="I33" i="5"/>
  <c r="I36" i="5" s="1"/>
  <c r="H33" i="5"/>
  <c r="H36" i="5" s="1"/>
  <c r="G33" i="5"/>
  <c r="G36" i="5" s="1"/>
  <c r="F33" i="5"/>
  <c r="F36" i="5" s="1"/>
  <c r="E33" i="5"/>
  <c r="E36" i="5" s="1"/>
  <c r="D33" i="5"/>
  <c r="D36" i="5" s="1"/>
  <c r="R5" i="5"/>
  <c r="S5" i="5" s="1"/>
  <c r="R4" i="5"/>
  <c r="S4" i="5" s="1"/>
  <c r="R3" i="5"/>
  <c r="S3" i="5" s="1"/>
  <c r="H10" i="2"/>
  <c r="C122" i="3"/>
  <c r="D122" i="3"/>
  <c r="E122" i="3"/>
  <c r="C121" i="3"/>
  <c r="D121" i="3"/>
  <c r="E121" i="3"/>
  <c r="B122" i="3"/>
  <c r="D111" i="1"/>
  <c r="H111" i="1"/>
  <c r="K52" i="2"/>
  <c r="K50" i="2"/>
  <c r="I56" i="7" l="1"/>
  <c r="F63" i="7"/>
  <c r="H59" i="7"/>
  <c r="G59" i="7"/>
  <c r="I60" i="7"/>
  <c r="I59" i="7"/>
  <c r="H60" i="7"/>
  <c r="H63" i="7"/>
  <c r="S6" i="5"/>
  <c r="I62" i="7"/>
  <c r="G63" i="7"/>
  <c r="G60" i="7"/>
  <c r="F62" i="7"/>
  <c r="H57" i="5"/>
  <c r="F57" i="5"/>
  <c r="J36" i="5"/>
  <c r="J37" i="5"/>
  <c r="G58" i="5"/>
  <c r="I58" i="5"/>
  <c r="G57" i="5"/>
  <c r="I57" i="5"/>
  <c r="F58" i="5"/>
  <c r="H58" i="5"/>
  <c r="H109" i="1"/>
  <c r="H110" i="1"/>
  <c r="D109" i="1"/>
  <c r="D110" i="1"/>
  <c r="O83" i="3"/>
  <c r="O84" i="3"/>
  <c r="O85" i="3"/>
  <c r="O86" i="3"/>
  <c r="O87" i="3"/>
  <c r="O88" i="3"/>
  <c r="O89" i="3"/>
  <c r="O90" i="3"/>
  <c r="O91" i="3"/>
  <c r="O92" i="3"/>
  <c r="O93" i="3"/>
  <c r="O82" i="3"/>
  <c r="N83" i="3"/>
  <c r="N84" i="3"/>
  <c r="N85" i="3"/>
  <c r="N86" i="3"/>
  <c r="N87" i="3"/>
  <c r="N88" i="3"/>
  <c r="N89" i="3"/>
  <c r="N90" i="3"/>
  <c r="N91" i="3"/>
  <c r="N92" i="3"/>
  <c r="N93" i="3"/>
  <c r="N82" i="3"/>
  <c r="M83" i="3"/>
  <c r="M84" i="3"/>
  <c r="M85" i="3"/>
  <c r="M86" i="3"/>
  <c r="M87" i="3"/>
  <c r="M88" i="3"/>
  <c r="M89" i="3"/>
  <c r="M90" i="3"/>
  <c r="M91" i="3"/>
  <c r="M92" i="3"/>
  <c r="M93" i="3"/>
  <c r="M82" i="3"/>
  <c r="L83" i="3"/>
  <c r="L84" i="3"/>
  <c r="L85" i="3"/>
  <c r="L86" i="3"/>
  <c r="L87" i="3"/>
  <c r="L88" i="3"/>
  <c r="L89" i="3"/>
  <c r="L90" i="3"/>
  <c r="L91" i="3"/>
  <c r="L92" i="3"/>
  <c r="L93" i="3"/>
  <c r="L82" i="3"/>
  <c r="L52" i="2"/>
  <c r="L50" i="2"/>
  <c r="H8" i="2"/>
  <c r="H7" i="2"/>
  <c r="H6" i="2"/>
  <c r="H5" i="2"/>
  <c r="H4" i="2"/>
  <c r="H3" i="2"/>
  <c r="E89" i="2"/>
  <c r="E88" i="2"/>
  <c r="E87" i="2"/>
  <c r="E86" i="2"/>
  <c r="E85" i="2"/>
  <c r="E84" i="2"/>
  <c r="E83" i="2"/>
  <c r="E82" i="2"/>
  <c r="E81" i="2"/>
  <c r="E80" i="2"/>
  <c r="E79" i="2"/>
  <c r="E78" i="2"/>
  <c r="C88" i="2"/>
  <c r="C86" i="2"/>
  <c r="C83" i="2"/>
  <c r="C81" i="2"/>
  <c r="C80" i="2"/>
  <c r="C79" i="2"/>
  <c r="C82" i="2"/>
  <c r="C84" i="2"/>
  <c r="C85" i="2"/>
  <c r="C87" i="2"/>
  <c r="C89" i="2"/>
  <c r="C78" i="2"/>
  <c r="B121" i="3"/>
  <c r="D108" i="1"/>
  <c r="H108" i="1"/>
  <c r="H100" i="1"/>
  <c r="H101" i="1"/>
  <c r="H102" i="1"/>
  <c r="H103" i="1"/>
  <c r="H104" i="1"/>
  <c r="H105" i="1"/>
  <c r="H106" i="1"/>
  <c r="H107" i="1"/>
  <c r="D100" i="1"/>
  <c r="D101" i="1"/>
  <c r="D102" i="1"/>
  <c r="D103" i="1"/>
  <c r="D104" i="1"/>
  <c r="D105" i="1"/>
  <c r="D106" i="1"/>
  <c r="D107" i="1"/>
  <c r="H9" i="2" l="1"/>
  <c r="U94" i="3"/>
  <c r="T94" i="3"/>
  <c r="W94" i="3"/>
  <c r="V94" i="3"/>
  <c r="O79" i="3"/>
  <c r="O78" i="3"/>
  <c r="O77" i="3"/>
  <c r="O76" i="3"/>
  <c r="O75" i="3"/>
  <c r="O74" i="3"/>
  <c r="O73" i="3"/>
  <c r="O80" i="3"/>
  <c r="O81" i="3"/>
  <c r="N81" i="3"/>
  <c r="N80" i="3"/>
  <c r="N79" i="3"/>
  <c r="N78" i="3"/>
  <c r="N77" i="3"/>
  <c r="N76" i="3"/>
  <c r="N75" i="3"/>
  <c r="N74" i="3"/>
  <c r="N73" i="3"/>
  <c r="L81" i="3"/>
  <c r="L80" i="3"/>
  <c r="L79" i="3"/>
  <c r="L78" i="3"/>
  <c r="M81" i="3"/>
  <c r="M80" i="3"/>
  <c r="M79" i="3"/>
  <c r="M78" i="3"/>
  <c r="M77" i="3"/>
  <c r="M76" i="3"/>
  <c r="M75" i="3"/>
  <c r="M74" i="3"/>
  <c r="M73" i="3"/>
  <c r="N72" i="3" l="1"/>
  <c r="N71" i="3"/>
  <c r="L77" i="3"/>
  <c r="L76" i="3"/>
  <c r="L75" i="3"/>
  <c r="L74" i="3"/>
  <c r="L73" i="3"/>
  <c r="H96" i="1"/>
  <c r="H97" i="1"/>
  <c r="H98" i="1"/>
  <c r="H99" i="1"/>
  <c r="D96" i="1"/>
  <c r="D97" i="1"/>
  <c r="D98" i="1"/>
  <c r="D99" i="1"/>
  <c r="D91" i="1"/>
  <c r="D92" i="1"/>
  <c r="D93" i="1"/>
  <c r="D94" i="1"/>
  <c r="D95" i="1"/>
  <c r="H95" i="1"/>
  <c r="H94" i="1"/>
  <c r="H93" i="1"/>
  <c r="H92" i="1"/>
  <c r="H91" i="1"/>
  <c r="O72" i="3"/>
  <c r="O71" i="3"/>
  <c r="O70" i="3"/>
  <c r="W93" i="3" s="1"/>
  <c r="N70" i="3"/>
  <c r="N69" i="3"/>
  <c r="N68" i="3"/>
  <c r="M72" i="3"/>
  <c r="M71" i="3"/>
  <c r="M70" i="3"/>
  <c r="L72" i="3"/>
  <c r="L71" i="3"/>
  <c r="L70" i="3"/>
  <c r="U93" i="3" l="1"/>
  <c r="T93" i="3"/>
  <c r="V93" i="3"/>
  <c r="H88" i="1"/>
  <c r="H89" i="1"/>
  <c r="H90" i="1"/>
  <c r="D88" i="1"/>
  <c r="D89" i="1"/>
  <c r="D90" i="1"/>
  <c r="O69" i="3"/>
  <c r="O68" i="3"/>
  <c r="M69" i="3"/>
  <c r="M68" i="3"/>
  <c r="L69" i="3"/>
  <c r="L68" i="3"/>
  <c r="D86" i="1"/>
  <c r="D87" i="1"/>
  <c r="H87" i="1"/>
  <c r="H86" i="1"/>
  <c r="O67" i="3"/>
  <c r="N67" i="3"/>
  <c r="M67" i="3"/>
  <c r="L67" i="3"/>
  <c r="N66" i="3"/>
  <c r="L66" i="3"/>
  <c r="M66" i="3"/>
  <c r="O66" i="3"/>
  <c r="O65" i="3"/>
  <c r="H83" i="1" l="1"/>
  <c r="H84" i="1"/>
  <c r="H85" i="1"/>
  <c r="D83" i="1"/>
  <c r="D84" i="1"/>
  <c r="D85" i="1"/>
  <c r="M65" i="3"/>
  <c r="M64" i="3"/>
  <c r="M63" i="3"/>
  <c r="M62" i="3"/>
  <c r="M61" i="3"/>
  <c r="M60" i="3"/>
  <c r="M59" i="3"/>
  <c r="M58" i="3"/>
  <c r="L61" i="3"/>
  <c r="O64" i="3"/>
  <c r="O63" i="3"/>
  <c r="O62" i="3"/>
  <c r="O61" i="3"/>
  <c r="O60" i="3"/>
  <c r="O59" i="3"/>
  <c r="O58" i="3"/>
  <c r="N65" i="3"/>
  <c r="N64" i="3"/>
  <c r="N63" i="3"/>
  <c r="N62" i="3"/>
  <c r="N61" i="3"/>
  <c r="N60" i="3"/>
  <c r="N59" i="3"/>
  <c r="N58" i="3"/>
  <c r="L65" i="3"/>
  <c r="L64" i="3"/>
  <c r="L63" i="3"/>
  <c r="L62" i="3"/>
  <c r="L58" i="3"/>
  <c r="L60" i="3"/>
  <c r="L59" i="3"/>
  <c r="U92" i="3" l="1"/>
  <c r="V92" i="3"/>
  <c r="W92" i="3"/>
  <c r="T92" i="3"/>
  <c r="H76" i="1"/>
  <c r="H77" i="1"/>
  <c r="H78" i="1"/>
  <c r="H79" i="1"/>
  <c r="H80" i="1"/>
  <c r="H81" i="1"/>
  <c r="H82" i="1"/>
  <c r="D76" i="1"/>
  <c r="D77" i="1"/>
  <c r="D78" i="1"/>
  <c r="D79" i="1"/>
  <c r="D80" i="1"/>
  <c r="D81" i="1"/>
  <c r="D82" i="1"/>
  <c r="N57" i="3"/>
  <c r="O57" i="3"/>
  <c r="O56" i="3"/>
  <c r="O55" i="3"/>
  <c r="N56" i="3"/>
  <c r="N55" i="3"/>
  <c r="M57" i="3"/>
  <c r="M56" i="3"/>
  <c r="M55" i="3"/>
  <c r="L57" i="3"/>
  <c r="L56" i="3"/>
  <c r="L55" i="3"/>
  <c r="AN1" i="2"/>
  <c r="D72" i="1" l="1"/>
  <c r="D73" i="1"/>
  <c r="D74" i="1"/>
  <c r="D75" i="1"/>
  <c r="H75" i="1"/>
  <c r="H74" i="1"/>
  <c r="H73" i="1"/>
  <c r="H72" i="1"/>
  <c r="O54" i="3"/>
  <c r="N54" i="3"/>
  <c r="M54" i="3"/>
  <c r="L54" i="3"/>
  <c r="H71" i="1"/>
  <c r="H70" i="1"/>
  <c r="D70" i="1"/>
  <c r="D71" i="1"/>
  <c r="O53" i="3"/>
  <c r="N53" i="3"/>
  <c r="M53" i="3"/>
  <c r="L53" i="3"/>
  <c r="D69" i="1"/>
  <c r="H69" i="1"/>
  <c r="W83" i="3"/>
  <c r="V83" i="3"/>
  <c r="U83" i="3"/>
  <c r="T83" i="3"/>
  <c r="O52" i="3"/>
  <c r="O51" i="3"/>
  <c r="O50" i="3"/>
  <c r="O49" i="3"/>
  <c r="O48" i="3"/>
  <c r="N52" i="3"/>
  <c r="N51" i="3"/>
  <c r="N50" i="3"/>
  <c r="N49" i="3"/>
  <c r="N48" i="3"/>
  <c r="M52" i="3"/>
  <c r="M51" i="3"/>
  <c r="M50" i="3"/>
  <c r="M49" i="3"/>
  <c r="M48" i="3"/>
  <c r="L48" i="3"/>
  <c r="L52" i="3"/>
  <c r="L51" i="3"/>
  <c r="L49" i="3"/>
  <c r="L50" i="3"/>
  <c r="H67" i="1"/>
  <c r="H68" i="1"/>
  <c r="D67" i="1"/>
  <c r="D68" i="1"/>
  <c r="D63" i="1"/>
  <c r="D64" i="1"/>
  <c r="D65" i="1"/>
  <c r="D66" i="1"/>
  <c r="H66" i="1"/>
  <c r="H65" i="1"/>
  <c r="H64" i="1"/>
  <c r="H63" i="1"/>
  <c r="D62" i="1"/>
  <c r="O47" i="3"/>
  <c r="O46" i="3"/>
  <c r="O45" i="3"/>
  <c r="O44" i="3"/>
  <c r="O43" i="3"/>
  <c r="N47" i="3"/>
  <c r="N46" i="3"/>
  <c r="N45" i="3"/>
  <c r="N43" i="3"/>
  <c r="N44" i="3"/>
  <c r="M47" i="3"/>
  <c r="M46" i="3"/>
  <c r="M45" i="3"/>
  <c r="M44" i="3"/>
  <c r="M43" i="3"/>
  <c r="L47" i="3"/>
  <c r="L45" i="3"/>
  <c r="L44" i="3"/>
  <c r="L42" i="3"/>
  <c r="L46" i="3"/>
  <c r="H62" i="1"/>
  <c r="L43" i="3"/>
  <c r="D60" i="1"/>
  <c r="H60" i="1"/>
  <c r="H59" i="1"/>
  <c r="H58" i="1"/>
  <c r="D58" i="1"/>
  <c r="D59" i="1"/>
  <c r="I10" i="3"/>
  <c r="J10" i="3"/>
  <c r="I11" i="3"/>
  <c r="J11" i="3"/>
  <c r="I12" i="3"/>
  <c r="L12" i="3" s="1"/>
  <c r="J12" i="3"/>
  <c r="M12" i="3" s="1"/>
  <c r="I13" i="3"/>
  <c r="L13" i="3" s="1"/>
  <c r="J13" i="3"/>
  <c r="M13" i="3" s="1"/>
  <c r="I14" i="3"/>
  <c r="L14" i="3" s="1"/>
  <c r="J14" i="3"/>
  <c r="I15" i="3"/>
  <c r="L15" i="3" s="1"/>
  <c r="J15" i="3"/>
  <c r="M14" i="3" s="1"/>
  <c r="I16" i="3"/>
  <c r="L16" i="3" s="1"/>
  <c r="J16" i="3"/>
  <c r="M16" i="3" s="1"/>
  <c r="I17" i="3"/>
  <c r="L17" i="3" s="1"/>
  <c r="J17" i="3"/>
  <c r="M17" i="3" s="1"/>
  <c r="I18" i="3"/>
  <c r="L18" i="3" s="1"/>
  <c r="J18" i="3"/>
  <c r="M18" i="3" s="1"/>
  <c r="I19" i="3"/>
  <c r="L19" i="3" s="1"/>
  <c r="J19" i="3"/>
  <c r="M19" i="3" s="1"/>
  <c r="L20" i="3"/>
  <c r="M20" i="3"/>
  <c r="L21" i="3"/>
  <c r="M21" i="3"/>
  <c r="L22" i="3"/>
  <c r="M22" i="3"/>
  <c r="L23" i="3"/>
  <c r="M23" i="3"/>
  <c r="L24" i="3"/>
  <c r="M24" i="3"/>
  <c r="L25" i="3"/>
  <c r="M25" i="3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M31" i="3"/>
  <c r="N31" i="3"/>
  <c r="O31" i="3"/>
  <c r="L32" i="3"/>
  <c r="M32" i="3"/>
  <c r="N32" i="3"/>
  <c r="O32" i="3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L40" i="3"/>
  <c r="M40" i="3"/>
  <c r="N40" i="3"/>
  <c r="O40" i="3"/>
  <c r="L41" i="3"/>
  <c r="M41" i="3"/>
  <c r="N41" i="3"/>
  <c r="O41" i="3"/>
  <c r="M42" i="3"/>
  <c r="N42" i="3"/>
  <c r="O42" i="3"/>
  <c r="B43" i="3"/>
  <c r="C43" i="3"/>
  <c r="D43" i="3"/>
  <c r="E43" i="3"/>
  <c r="B44" i="3"/>
  <c r="C44" i="3"/>
  <c r="D44" i="3"/>
  <c r="E44" i="3"/>
  <c r="D8" i="1"/>
  <c r="D9" i="1"/>
  <c r="H9" i="1"/>
  <c r="D10" i="1"/>
  <c r="H10" i="1"/>
  <c r="D11" i="1"/>
  <c r="H11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H29" i="1"/>
  <c r="D30" i="1"/>
  <c r="H30" i="1"/>
  <c r="D31" i="1"/>
  <c r="H31" i="1"/>
  <c r="D32" i="1"/>
  <c r="H32" i="1"/>
  <c r="D33" i="1"/>
  <c r="H33" i="1"/>
  <c r="D34" i="1"/>
  <c r="H34" i="1"/>
  <c r="D35" i="1"/>
  <c r="H35" i="1"/>
  <c r="D36" i="1"/>
  <c r="H36" i="1"/>
  <c r="D40" i="1"/>
  <c r="H40" i="1"/>
  <c r="D41" i="1"/>
  <c r="H41" i="1"/>
  <c r="D42" i="1"/>
  <c r="H42" i="1"/>
  <c r="D43" i="1"/>
  <c r="H43" i="1"/>
  <c r="D44" i="1"/>
  <c r="H44" i="1"/>
  <c r="D45" i="1"/>
  <c r="H45" i="1"/>
  <c r="D46" i="1"/>
  <c r="H46" i="1"/>
  <c r="D47" i="1"/>
  <c r="H47" i="1"/>
  <c r="D48" i="1"/>
  <c r="H48" i="1"/>
  <c r="D49" i="1"/>
  <c r="H49" i="1"/>
  <c r="D50" i="1"/>
  <c r="H50" i="1"/>
  <c r="D51" i="1"/>
  <c r="H51" i="1"/>
  <c r="D52" i="1"/>
  <c r="H52" i="1"/>
  <c r="D53" i="1"/>
  <c r="H53" i="1"/>
  <c r="D54" i="1"/>
  <c r="H54" i="1"/>
  <c r="D55" i="1"/>
  <c r="H55" i="1"/>
  <c r="D56" i="1"/>
  <c r="H56" i="1"/>
  <c r="D57" i="1"/>
  <c r="H57" i="1"/>
  <c r="W90" i="3" l="1"/>
  <c r="V113" i="3"/>
  <c r="V112" i="3"/>
  <c r="V111" i="3"/>
  <c r="T91" i="3"/>
  <c r="U112" i="3"/>
  <c r="U113" i="3"/>
  <c r="U111" i="3"/>
  <c r="M15" i="3"/>
  <c r="U89" i="3" s="1"/>
  <c r="W113" i="3"/>
  <c r="W112" i="3"/>
  <c r="W111" i="3"/>
  <c r="T113" i="3"/>
  <c r="T112" i="3"/>
  <c r="T89" i="3"/>
  <c r="V91" i="3"/>
  <c r="T90" i="3"/>
  <c r="U91" i="3"/>
  <c r="W91" i="3"/>
  <c r="V90" i="3"/>
  <c r="U90" i="3"/>
  <c r="V122" i="3" l="1"/>
  <c r="W122" i="3" s="1"/>
  <c r="U122" i="3" l="1"/>
  <c r="V123" i="3"/>
  <c r="W123" i="3" s="1"/>
  <c r="U123" i="3"/>
</calcChain>
</file>

<file path=xl/sharedStrings.xml><?xml version="1.0" encoding="utf-8"?>
<sst xmlns="http://schemas.openxmlformats.org/spreadsheetml/2006/main" count="600" uniqueCount="151">
  <si>
    <t>Coyote Gulch Nutrients</t>
  </si>
  <si>
    <t>Nitrate Nitrogen (mg/l)</t>
  </si>
  <si>
    <t>Total Phosphorus (ug/l)</t>
  </si>
  <si>
    <t>Date</t>
  </si>
  <si>
    <t>CG Upper #2</t>
  </si>
  <si>
    <t>CG Lower</t>
  </si>
  <si>
    <t>Delta Change</t>
  </si>
  <si>
    <t>CG Upper #1</t>
  </si>
  <si>
    <t>Average</t>
  </si>
  <si>
    <t>Nitrate</t>
  </si>
  <si>
    <t>T. Phos</t>
  </si>
  <si>
    <t>Avg Conc.</t>
  </si>
  <si>
    <t>T Phos</t>
  </si>
  <si>
    <t>Pre-Average</t>
  </si>
  <si>
    <t>Pre-Deviation</t>
  </si>
  <si>
    <t>Post-Average</t>
  </si>
  <si>
    <t>Post-Deviation</t>
  </si>
  <si>
    <t>Start Construction By-pass 15-Jan-07</t>
  </si>
  <si>
    <t>By-pass reverted 12 April 07</t>
  </si>
  <si>
    <t xml:space="preserve">Nitrate Loading Reservoir </t>
  </si>
  <si>
    <t xml:space="preserve">Nitrate Loading Above Project </t>
  </si>
  <si>
    <t xml:space="preserve">Total Phosphorus Loading Reservoir </t>
  </si>
  <si>
    <t xml:space="preserve">Total Phosphorus Loading Above Project </t>
  </si>
  <si>
    <t>Reservoir ac-ft/month</t>
  </si>
  <si>
    <t>Upper Flow</t>
  </si>
  <si>
    <t>November 11,2007</t>
  </si>
  <si>
    <t>December 11,2007</t>
  </si>
  <si>
    <t>snow and ice</t>
  </si>
  <si>
    <t>side runoff</t>
  </si>
  <si>
    <t>Reservoir</t>
  </si>
  <si>
    <t>Above Project</t>
  </si>
  <si>
    <t>2006-2007</t>
  </si>
  <si>
    <t>mostly melted; good flow; heavy algal matting lower</t>
  </si>
  <si>
    <t>Loading Pounds/Month</t>
  </si>
  <si>
    <t xml:space="preserve">Reservoir </t>
  </si>
  <si>
    <t>2007-2008</t>
  </si>
  <si>
    <t>ice, light flow</t>
  </si>
  <si>
    <t>well established wetland</t>
  </si>
  <si>
    <t>Total Pounds</t>
  </si>
  <si>
    <t>rain event</t>
  </si>
  <si>
    <t>Rain Event (est 21 cfs = 41.6 ac-ft 24-hrs)</t>
  </si>
  <si>
    <t>Storm Events</t>
  </si>
  <si>
    <t>Upper</t>
  </si>
  <si>
    <t>Lower</t>
  </si>
  <si>
    <t>Lab</t>
  </si>
  <si>
    <t>Probe</t>
  </si>
  <si>
    <t>Median</t>
  </si>
  <si>
    <t>Trees Established</t>
  </si>
  <si>
    <t>Coyote Gulch at Reservoir</t>
  </si>
  <si>
    <t>Coyote Gulch Above Project</t>
  </si>
  <si>
    <t>2010*</t>
  </si>
  <si>
    <t xml:space="preserve">Complete Construction End May/ revegetation in progress </t>
  </si>
  <si>
    <t>Stabilizing vegetation</t>
  </si>
  <si>
    <t>Stabilizing; numerous weeds; small fish lower sections</t>
  </si>
  <si>
    <t>Loading Pounds After Stable</t>
  </si>
  <si>
    <t>By-pass, Construction</t>
  </si>
  <si>
    <t>Stabilized vegetation/ Trees</t>
  </si>
  <si>
    <t>2009*</t>
  </si>
  <si>
    <t>Heavy Localized storms, Data collection for storm runoff</t>
  </si>
  <si>
    <t>Representative base-flow</t>
  </si>
  <si>
    <t>Field Notes</t>
  </si>
  <si>
    <t>site Recovery, not stable</t>
  </si>
  <si>
    <t>Recovery Period; Revegation plantings complete</t>
  </si>
  <si>
    <t>Planning in Progress; site visits, limited upstream data</t>
  </si>
  <si>
    <t>Start Association Paired Data Set Monitoring</t>
  </si>
  <si>
    <t>Coyote Gulch Annual Flow (Ac-Ft/year)</t>
  </si>
  <si>
    <t>2011*</t>
  </si>
  <si>
    <t>Average Loading Pounds By Year</t>
  </si>
  <si>
    <t>Total Phosphorus Trade Pounds</t>
  </si>
  <si>
    <t>Monthly</t>
  </si>
  <si>
    <t>Annual</t>
  </si>
  <si>
    <t>Total Base Flow</t>
  </si>
  <si>
    <t>Trade Ration Pounds</t>
  </si>
  <si>
    <t>Base Flows Exclude April Storm Loadings</t>
  </si>
  <si>
    <t>Monthly TRP=PC Base Load-TBF Monthly Pounds/2</t>
  </si>
  <si>
    <t>The base trade ratio is 2:1 for Association Trade Projects</t>
  </si>
  <si>
    <t>cfs</t>
  </si>
  <si>
    <t>Coyote Gulch At Reservoir</t>
  </si>
  <si>
    <t>ac-ft/month</t>
  </si>
  <si>
    <t>Upper Coyote Gulch</t>
  </si>
  <si>
    <t>Distance</t>
  </si>
  <si>
    <t>Depth</t>
  </si>
  <si>
    <t>Vel Ave Ft/sec</t>
  </si>
  <si>
    <t>Area</t>
  </si>
  <si>
    <t>Discharge V avg A</t>
  </si>
  <si>
    <t>Res</t>
  </si>
  <si>
    <t>&lt;0.01</t>
  </si>
  <si>
    <t>Nitrogen, ammonia</t>
  </si>
  <si>
    <t>Phosphorus, total</t>
  </si>
  <si>
    <t>Total Nitrogen</t>
  </si>
  <si>
    <t>Jan-Feb 13</t>
  </si>
  <si>
    <t>Mar-Apr 13</t>
  </si>
  <si>
    <t>May-Jun 13</t>
  </si>
  <si>
    <t>Jul-Aug 13</t>
  </si>
  <si>
    <t>Sep-Oct 13</t>
  </si>
  <si>
    <t>Nov-Dec 13</t>
  </si>
  <si>
    <t>Upper Coyote</t>
  </si>
  <si>
    <t>Flow Estimate ac-yr</t>
  </si>
  <si>
    <t>Nitrate/Nitrite</t>
  </si>
  <si>
    <t>Lower Coyote</t>
  </si>
  <si>
    <t>Average Loading</t>
  </si>
  <si>
    <t>2013 Annual Pounds</t>
  </si>
  <si>
    <t>Segment</t>
  </si>
  <si>
    <t>Site</t>
  </si>
  <si>
    <t>Location</t>
  </si>
  <si>
    <t>Time</t>
  </si>
  <si>
    <t>pH</t>
  </si>
  <si>
    <t>Temp °C</t>
  </si>
  <si>
    <t>DO(mg/l)</t>
  </si>
  <si>
    <t>SC (ms/cm)</t>
  </si>
  <si>
    <t>Flow (cfs)</t>
  </si>
  <si>
    <t>Est Periphyton Coverage %</t>
  </si>
  <si>
    <t>Water Clarity</t>
  </si>
  <si>
    <t>Segment 4a</t>
  </si>
  <si>
    <t>Site 47a</t>
  </si>
  <si>
    <t xml:space="preserve">Upper Coyote </t>
  </si>
  <si>
    <t>c</t>
  </si>
  <si>
    <t>Site 47b</t>
  </si>
  <si>
    <t xml:space="preserve">Lower Coyote </t>
  </si>
  <si>
    <t>sm</t>
  </si>
  <si>
    <t xml:space="preserve">Nitrate/Nitrite </t>
  </si>
  <si>
    <t>Jan-Feb</t>
  </si>
  <si>
    <t>Mar-Apr</t>
  </si>
  <si>
    <t>May-Jun</t>
  </si>
  <si>
    <t>Jul-Aug</t>
  </si>
  <si>
    <t>Sep-Oct</t>
  </si>
  <si>
    <t>Nov-Dec</t>
  </si>
  <si>
    <t>Ac-Ft/day</t>
  </si>
  <si>
    <t>Ac-ft/month</t>
  </si>
  <si>
    <t>Loading Pounds/Period</t>
  </si>
  <si>
    <t>Flow Estimate</t>
  </si>
  <si>
    <t>Flooded</t>
  </si>
  <si>
    <t>Annual Pounds</t>
  </si>
  <si>
    <t xml:space="preserve">Nitrate Nitrite </t>
  </si>
  <si>
    <t>Jan-Feb 14</t>
  </si>
  <si>
    <t>Mar-Apr 14</t>
  </si>
  <si>
    <t>May-Jun 14</t>
  </si>
  <si>
    <t>Jul-Aug 14</t>
  </si>
  <si>
    <t>Sep-Oct 14</t>
  </si>
  <si>
    <t>Nov-Dec 14</t>
  </si>
  <si>
    <t>2009*/2010*/2011/2015 average loadings per year excludes April storm loadings</t>
  </si>
  <si>
    <t>storm</t>
  </si>
  <si>
    <t>Water Temp °C</t>
  </si>
  <si>
    <t>Air Temp °C</t>
  </si>
  <si>
    <t>SC (us/cm)</t>
  </si>
  <si>
    <t>Total Phosphorus</t>
  </si>
  <si>
    <t>tn 2015-2016</t>
  </si>
  <si>
    <t>T Nitrogen</t>
  </si>
  <si>
    <t>Pre-construction</t>
  </si>
  <si>
    <t>Post-Construction</t>
  </si>
  <si>
    <t>Annual Trade Pounds Available = 77 pounds Total Phosphorus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</si>
</sst>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m\ d\,\ yyyy;@"/>
    <numFmt numFmtId="165" formatCode="0.0"/>
    <numFmt numFmtId="166" formatCode="[$-409]mmm\-yy;@"/>
    <numFmt numFmtId="167" formatCode="#,##0.0"/>
    <numFmt numFmtId="168" formatCode="0.000"/>
    <numFmt numFmtId="169" formatCode="h:mm;@"/>
    <numFmt numFmtId="170" formatCode="[$-409]d\-mmm;@"/>
    <numFmt numFmtId="171" formatCode="0.0000000"/>
    <numFmt numFmtId="172" formatCode="[$-F400]h:mm:ss\ AM/PM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9" fontId="15" fillId="0" borderId="0" applyFont="0" applyFill="0" applyBorder="0" applyAlignment="0" applyProtection="0"/>
    <xf numFmtId="0" fontId="19" fillId="0" borderId="1">
      <alignment horizontal="left" vertical="center" wrapText="1"/>
    </xf>
  </cellStyleXfs>
  <cellXfs count="328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9" fontId="6" fillId="2" borderId="2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/>
    </xf>
    <xf numFmtId="164" fontId="5" fillId="4" borderId="3" xfId="0" applyNumberFormat="1" applyFont="1" applyFill="1" applyBorder="1" applyAlignment="1">
      <alignment horizontal="left"/>
    </xf>
    <xf numFmtId="165" fontId="0" fillId="0" borderId="0" xfId="0" applyNumberFormat="1"/>
    <xf numFmtId="0" fontId="0" fillId="0" borderId="0" xfId="0" applyFill="1"/>
    <xf numFmtId="0" fontId="0" fillId="5" borderId="0" xfId="0" applyFill="1"/>
    <xf numFmtId="0" fontId="7" fillId="0" borderId="0" xfId="0" applyFont="1"/>
    <xf numFmtId="1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7" fillId="0" borderId="0" xfId="0" applyNumberFormat="1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0" fillId="5" borderId="1" xfId="0" applyNumberFormat="1" applyFill="1" applyBorder="1"/>
    <xf numFmtId="17" fontId="0" fillId="5" borderId="1" xfId="0" applyNumberFormat="1" applyFill="1" applyBorder="1"/>
    <xf numFmtId="15" fontId="0" fillId="0" borderId="0" xfId="0" applyNumberFormat="1"/>
    <xf numFmtId="0" fontId="9" fillId="0" borderId="0" xfId="0" applyFont="1"/>
    <xf numFmtId="164" fontId="4" fillId="7" borderId="1" xfId="0" applyNumberFormat="1" applyFont="1" applyFill="1" applyBorder="1" applyAlignment="1">
      <alignment horizontal="left"/>
    </xf>
    <xf numFmtId="164" fontId="5" fillId="8" borderId="1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right"/>
    </xf>
    <xf numFmtId="2" fontId="5" fillId="9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164" fontId="5" fillId="8" borderId="0" xfId="0" applyNumberFormat="1" applyFont="1" applyFill="1" applyAlignment="1">
      <alignment horizontal="left"/>
    </xf>
    <xf numFmtId="0" fontId="9" fillId="9" borderId="0" xfId="0" applyFont="1" applyFill="1" applyAlignment="1">
      <alignment wrapText="1"/>
    </xf>
    <xf numFmtId="0" fontId="9" fillId="9" borderId="0" xfId="0" applyFont="1" applyFill="1"/>
    <xf numFmtId="0" fontId="6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64" fontId="5" fillId="11" borderId="1" xfId="0" applyNumberFormat="1" applyFont="1" applyFill="1" applyBorder="1" applyAlignment="1">
      <alignment horizontal="left"/>
    </xf>
    <xf numFmtId="164" fontId="5" fillId="12" borderId="1" xfId="0" applyNumberFormat="1" applyFont="1" applyFill="1" applyBorder="1" applyAlignment="1">
      <alignment horizontal="left"/>
    </xf>
    <xf numFmtId="164" fontId="5" fillId="12" borderId="3" xfId="0" applyNumberFormat="1" applyFont="1" applyFill="1" applyBorder="1" applyAlignment="1">
      <alignment horizontal="left"/>
    </xf>
    <xf numFmtId="164" fontId="4" fillId="12" borderId="1" xfId="0" applyNumberFormat="1" applyFont="1" applyFill="1" applyBorder="1" applyAlignment="1">
      <alignment horizontal="left"/>
    </xf>
    <xf numFmtId="0" fontId="7" fillId="13" borderId="1" xfId="0" applyFont="1" applyFill="1" applyBorder="1"/>
    <xf numFmtId="166" fontId="7" fillId="13" borderId="1" xfId="0" applyNumberFormat="1" applyFont="1" applyFill="1" applyBorder="1"/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6" fillId="0" borderId="0" xfId="0" applyFont="1"/>
    <xf numFmtId="0" fontId="0" fillId="0" borderId="0" xfId="0" applyBorder="1"/>
    <xf numFmtId="0" fontId="10" fillId="0" borderId="1" xfId="1" applyBorder="1"/>
    <xf numFmtId="1" fontId="10" fillId="0" borderId="1" xfId="2" applyNumberFormat="1" applyBorder="1" applyAlignment="1">
      <alignment horizontal="center"/>
    </xf>
    <xf numFmtId="2" fontId="10" fillId="0" borderId="1" xfId="2" applyNumberFormat="1" applyBorder="1" applyAlignment="1">
      <alignment horizontal="center"/>
    </xf>
    <xf numFmtId="0" fontId="10" fillId="0" borderId="1" xfId="1" applyBorder="1" applyAlignment="1">
      <alignment horizontal="center"/>
    </xf>
    <xf numFmtId="164" fontId="0" fillId="0" borderId="1" xfId="0" applyNumberFormat="1" applyBorder="1"/>
    <xf numFmtId="0" fontId="0" fillId="0" borderId="5" xfId="0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6" fontId="9" fillId="9" borderId="1" xfId="0" applyNumberFormat="1" applyFont="1" applyFill="1" applyBorder="1"/>
    <xf numFmtId="166" fontId="0" fillId="9" borderId="1" xfId="0" applyNumberFormat="1" applyFill="1" applyBorder="1"/>
    <xf numFmtId="0" fontId="0" fillId="0" borderId="0" xfId="0" applyAlignment="1">
      <alignment horizontal="center"/>
    </xf>
    <xf numFmtId="0" fontId="0" fillId="14" borderId="6" xfId="0" applyFill="1" applyBorder="1" applyAlignment="1">
      <alignment horizontal="center"/>
    </xf>
    <xf numFmtId="16" fontId="0" fillId="14" borderId="1" xfId="0" applyNumberFormat="1" applyFill="1" applyBorder="1"/>
    <xf numFmtId="14" fontId="0" fillId="0" borderId="1" xfId="0" applyNumberFormat="1" applyBorder="1"/>
    <xf numFmtId="0" fontId="9" fillId="0" borderId="1" xfId="0" applyFont="1" applyBorder="1"/>
    <xf numFmtId="17" fontId="0" fillId="0" borderId="0" xfId="0" applyNumberFormat="1"/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/>
    <xf numFmtId="4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17" fontId="0" fillId="0" borderId="1" xfId="0" applyNumberFormat="1" applyFill="1" applyBorder="1"/>
    <xf numFmtId="0" fontId="7" fillId="13" borderId="0" xfId="0" applyFont="1" applyFill="1" applyBorder="1" applyAlignment="1">
      <alignment horizontal="right"/>
    </xf>
    <xf numFmtId="166" fontId="9" fillId="15" borderId="1" xfId="0" applyNumberFormat="1" applyFont="1" applyFill="1" applyBorder="1"/>
    <xf numFmtId="166" fontId="0" fillId="15" borderId="1" xfId="0" applyNumberFormat="1" applyFill="1" applyBorder="1"/>
    <xf numFmtId="17" fontId="0" fillId="15" borderId="1" xfId="0" applyNumberFormat="1" applyFill="1" applyBorder="1"/>
    <xf numFmtId="164" fontId="0" fillId="13" borderId="1" xfId="0" applyNumberFormat="1" applyFill="1" applyBorder="1" applyAlignment="1">
      <alignment horizontal="left"/>
    </xf>
    <xf numFmtId="164" fontId="10" fillId="13" borderId="1" xfId="1" applyNumberForma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0" xfId="0" applyNumberFormat="1"/>
    <xf numFmtId="0" fontId="7" fillId="13" borderId="4" xfId="0" applyFont="1" applyFill="1" applyBorder="1"/>
    <xf numFmtId="0" fontId="9" fillId="13" borderId="1" xfId="0" applyFont="1" applyFill="1" applyBorder="1"/>
    <xf numFmtId="0" fontId="7" fillId="13" borderId="1" xfId="0" applyNumberFormat="1" applyFont="1" applyFill="1" applyBorder="1"/>
    <xf numFmtId="0" fontId="7" fillId="13" borderId="1" xfId="0" applyFont="1" applyFill="1" applyBorder="1" applyAlignment="1">
      <alignment horizontal="left"/>
    </xf>
    <xf numFmtId="2" fontId="7" fillId="13" borderId="1" xfId="0" applyNumberFormat="1" applyFont="1" applyFill="1" applyBorder="1"/>
    <xf numFmtId="4" fontId="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" xfId="0" applyFont="1" applyBorder="1"/>
    <xf numFmtId="4" fontId="9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7" fontId="0" fillId="16" borderId="0" xfId="0" applyNumberFormat="1" applyFill="1"/>
    <xf numFmtId="17" fontId="0" fillId="8" borderId="0" xfId="0" applyNumberFormat="1" applyFill="1"/>
    <xf numFmtId="0" fontId="0" fillId="17" borderId="1" xfId="0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164" fontId="13" fillId="0" borderId="1" xfId="2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17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center"/>
    </xf>
    <xf numFmtId="0" fontId="9" fillId="1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7" fillId="7" borderId="1" xfId="0" applyNumberFormat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166" fontId="0" fillId="0" borderId="0" xfId="0" applyNumberFormat="1"/>
    <xf numFmtId="0" fontId="0" fillId="13" borderId="1" xfId="0" applyFill="1" applyBorder="1"/>
    <xf numFmtId="165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" fontId="7" fillId="0" borderId="0" xfId="0" applyNumberFormat="1" applyFont="1" applyAlignment="1">
      <alignment horizontal="center"/>
    </xf>
    <xf numFmtId="2" fontId="7" fillId="0" borderId="0" xfId="0" applyNumberFormat="1" applyFont="1"/>
    <xf numFmtId="1" fontId="0" fillId="0" borderId="0" xfId="0" applyNumberFormat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1" fontId="5" fillId="9" borderId="0" xfId="0" applyNumberFormat="1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0" xfId="2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" fontId="0" fillId="0" borderId="1" xfId="0" applyNumberFormat="1" applyFill="1" applyBorder="1"/>
    <xf numFmtId="0" fontId="9" fillId="0" borderId="1" xfId="0" applyNumberFormat="1" applyFont="1" applyBorder="1" applyAlignment="1"/>
    <xf numFmtId="0" fontId="9" fillId="0" borderId="1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center" vertical="center"/>
    </xf>
    <xf numFmtId="0" fontId="0" fillId="15" borderId="1" xfId="0" applyNumberFormat="1" applyFill="1" applyBorder="1"/>
    <xf numFmtId="165" fontId="9" fillId="0" borderId="0" xfId="0" applyNumberFormat="1" applyFont="1" applyAlignment="1">
      <alignment horizontal="center" vertical="center"/>
    </xf>
    <xf numFmtId="3" fontId="16" fillId="13" borderId="0" xfId="0" applyNumberFormat="1" applyFont="1" applyFill="1" applyAlignment="1"/>
    <xf numFmtId="3" fontId="16" fillId="13" borderId="4" xfId="0" applyNumberFormat="1" applyFont="1" applyFill="1" applyBorder="1" applyAlignment="1"/>
    <xf numFmtId="3" fontId="16" fillId="13" borderId="4" xfId="0" applyNumberFormat="1" applyFont="1" applyFill="1" applyBorder="1" applyAlignment="1">
      <alignment wrapText="1"/>
    </xf>
    <xf numFmtId="2" fontId="16" fillId="13" borderId="4" xfId="0" applyNumberFormat="1" applyFont="1" applyFill="1" applyBorder="1" applyAlignment="1"/>
    <xf numFmtId="2" fontId="17" fillId="13" borderId="4" xfId="0" applyNumberFormat="1" applyFont="1" applyFill="1" applyBorder="1" applyAlignment="1"/>
    <xf numFmtId="168" fontId="16" fillId="13" borderId="11" xfId="0" applyNumberFormat="1" applyFont="1" applyFill="1" applyBorder="1" applyAlignment="1"/>
    <xf numFmtId="3" fontId="16" fillId="13" borderId="1" xfId="0" applyNumberFormat="1" applyFont="1" applyFill="1" applyBorder="1" applyAlignment="1">
      <alignment wrapText="1"/>
    </xf>
    <xf numFmtId="3" fontId="16" fillId="13" borderId="6" xfId="0" applyNumberFormat="1" applyFont="1" applyFill="1" applyBorder="1" applyAlignment="1">
      <alignment wrapText="1"/>
    </xf>
    <xf numFmtId="3" fontId="0" fillId="0" borderId="0" xfId="0" applyNumberFormat="1" applyAlignment="1">
      <alignment horizontal="left" vertical="center" wrapText="1"/>
    </xf>
    <xf numFmtId="14" fontId="16" fillId="0" borderId="1" xfId="0" applyNumberFormat="1" applyFont="1" applyFill="1" applyBorder="1" applyAlignment="1"/>
    <xf numFmtId="169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9" fontId="16" fillId="0" borderId="1" xfId="3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168" fontId="7" fillId="0" borderId="0" xfId="0" applyNumberFormat="1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169" fontId="16" fillId="0" borderId="3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9" fontId="16" fillId="0" borderId="3" xfId="3" applyFont="1" applyFill="1" applyBorder="1" applyAlignment="1">
      <alignment horizontal="center"/>
    </xf>
    <xf numFmtId="3" fontId="16" fillId="0" borderId="3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169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center"/>
    </xf>
    <xf numFmtId="9" fontId="16" fillId="0" borderId="1" xfId="3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left" vertical="center" wrapText="1"/>
    </xf>
    <xf numFmtId="169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8" fontId="16" fillId="0" borderId="5" xfId="0" applyNumberFormat="1" applyFont="1" applyBorder="1" applyAlignment="1">
      <alignment horizontal="center"/>
    </xf>
    <xf numFmtId="9" fontId="16" fillId="0" borderId="1" xfId="3" applyFont="1" applyBorder="1" applyAlignment="1">
      <alignment horizontal="center"/>
    </xf>
    <xf numFmtId="168" fontId="0" fillId="0" borderId="0" xfId="0" applyNumberFormat="1" applyAlignment="1">
      <alignment horizontal="left" vertical="center" wrapText="1"/>
    </xf>
    <xf numFmtId="169" fontId="16" fillId="0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168" fontId="16" fillId="0" borderId="1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 wrapText="1"/>
    </xf>
    <xf numFmtId="14" fontId="16" fillId="0" borderId="0" xfId="0" applyNumberFormat="1" applyFont="1" applyBorder="1" applyAlignment="1">
      <alignment horizontal="left" vertical="center" wrapText="1"/>
    </xf>
    <xf numFmtId="169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9" fontId="16" fillId="0" borderId="0" xfId="3" applyFont="1" applyBorder="1" applyAlignment="1">
      <alignment horizontal="center"/>
    </xf>
    <xf numFmtId="3" fontId="16" fillId="0" borderId="0" xfId="0" applyNumberFormat="1" applyFont="1" applyBorder="1" applyAlignment="1">
      <alignment horizontal="left" vertical="center" wrapText="1"/>
    </xf>
    <xf numFmtId="3" fontId="16" fillId="13" borderId="1" xfId="0" applyNumberFormat="1" applyFont="1" applyFill="1" applyBorder="1" applyAlignment="1">
      <alignment horizontal="center" vertical="center"/>
    </xf>
    <xf numFmtId="3" fontId="16" fillId="13" borderId="1" xfId="0" applyNumberFormat="1" applyFont="1" applyFill="1" applyBorder="1" applyAlignment="1">
      <alignment horizontal="center" vertical="center" wrapText="1"/>
    </xf>
    <xf numFmtId="170" fontId="9" fillId="13" borderId="1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170" fontId="9" fillId="0" borderId="0" xfId="0" applyNumberFormat="1" applyFont="1" applyAlignment="1"/>
    <xf numFmtId="170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Border="1" applyAlignment="1"/>
    <xf numFmtId="170" fontId="9" fillId="0" borderId="1" xfId="0" applyNumberFormat="1" applyFont="1" applyFill="1" applyBorder="1" applyAlignment="1">
      <alignment horizontal="left"/>
    </xf>
    <xf numFmtId="2" fontId="1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left"/>
    </xf>
    <xf numFmtId="170" fontId="9" fillId="0" borderId="0" xfId="0" applyNumberFormat="1" applyFont="1" applyFill="1" applyBorder="1" applyAlignment="1">
      <alignment horizontal="left"/>
    </xf>
    <xf numFmtId="170" fontId="9" fillId="0" borderId="7" xfId="0" applyNumberFormat="1" applyFont="1" applyBorder="1" applyAlignment="1">
      <alignment vertical="center"/>
    </xf>
    <xf numFmtId="3" fontId="9" fillId="1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/>
    <xf numFmtId="165" fontId="9" fillId="0" borderId="12" xfId="0" applyNumberFormat="1" applyFont="1" applyFill="1" applyBorder="1" applyAlignment="1"/>
    <xf numFmtId="3" fontId="0" fillId="0" borderId="0" xfId="0" applyNumberFormat="1" applyBorder="1" applyAlignment="1">
      <alignment horizontal="left" vertical="center" wrapText="1"/>
    </xf>
    <xf numFmtId="170" fontId="0" fillId="0" borderId="1" xfId="0" applyNumberFormat="1" applyFill="1" applyBorder="1" applyAlignment="1">
      <alignment horizontal="left"/>
    </xf>
    <xf numFmtId="3" fontId="0" fillId="0" borderId="1" xfId="0" applyNumberForma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" fillId="0" borderId="1" xfId="1" applyFont="1" applyBorder="1"/>
    <xf numFmtId="14" fontId="16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14" fontId="16" fillId="0" borderId="6" xfId="0" applyNumberFormat="1" applyFont="1" applyFill="1" applyBorder="1" applyAlignment="1">
      <alignment horizontal="left" vertical="center" wrapText="1"/>
    </xf>
    <xf numFmtId="14" fontId="16" fillId="13" borderId="1" xfId="0" applyNumberFormat="1" applyFont="1" applyFill="1" applyBorder="1" applyAlignment="1">
      <alignment horizontal="left" vertical="center"/>
    </xf>
    <xf numFmtId="169" fontId="16" fillId="13" borderId="1" xfId="0" applyNumberFormat="1" applyFont="1" applyFill="1" applyBorder="1" applyAlignment="1">
      <alignment horizontal="center"/>
    </xf>
    <xf numFmtId="2" fontId="16" fillId="13" borderId="1" xfId="0" applyNumberFormat="1" applyFont="1" applyFill="1" applyBorder="1" applyAlignment="1">
      <alignment horizontal="center"/>
    </xf>
    <xf numFmtId="168" fontId="16" fillId="13" borderId="5" xfId="0" applyNumberFormat="1" applyFont="1" applyFill="1" applyBorder="1" applyAlignment="1">
      <alignment horizontal="center"/>
    </xf>
    <xf numFmtId="9" fontId="16" fillId="13" borderId="1" xfId="3" applyFont="1" applyFill="1" applyBorder="1" applyAlignment="1">
      <alignment horizontal="center"/>
    </xf>
    <xf numFmtId="3" fontId="16" fillId="13" borderId="1" xfId="0" applyNumberFormat="1" applyFont="1" applyFill="1" applyBorder="1" applyAlignment="1">
      <alignment horizontal="center" wrapText="1"/>
    </xf>
    <xf numFmtId="14" fontId="16" fillId="13" borderId="0" xfId="0" applyNumberFormat="1" applyFont="1" applyFill="1" applyAlignment="1">
      <alignment horizontal="left" vertical="center" wrapText="1"/>
    </xf>
    <xf numFmtId="169" fontId="16" fillId="13" borderId="1" xfId="0" applyNumberFormat="1" applyFont="1" applyFill="1" applyBorder="1" applyAlignment="1">
      <alignment horizontal="center" vertical="center" wrapText="1"/>
    </xf>
    <xf numFmtId="2" fontId="16" fillId="13" borderId="1" xfId="0" applyNumberFormat="1" applyFont="1" applyFill="1" applyBorder="1" applyAlignment="1">
      <alignment horizontal="center" vertical="center" wrapText="1"/>
    </xf>
    <xf numFmtId="168" fontId="16" fillId="13" borderId="1" xfId="0" applyNumberFormat="1" applyFont="1" applyFill="1" applyBorder="1" applyAlignment="1">
      <alignment horizontal="center" vertical="center" wrapText="1"/>
    </xf>
    <xf numFmtId="14" fontId="16" fillId="13" borderId="1" xfId="0" applyNumberFormat="1" applyFont="1" applyFill="1" applyBorder="1" applyAlignment="1">
      <alignment horizontal="left" vertical="center" wrapText="1"/>
    </xf>
    <xf numFmtId="168" fontId="16" fillId="13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left" vertical="center" wrapText="1"/>
    </xf>
    <xf numFmtId="0" fontId="19" fillId="0" borderId="1" xfId="4">
      <alignment horizontal="left" vertical="center" wrapText="1"/>
    </xf>
    <xf numFmtId="171" fontId="9" fillId="0" borderId="0" xfId="0" applyNumberFormat="1" applyFont="1" applyAlignment="1"/>
    <xf numFmtId="165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3" fontId="6" fillId="13" borderId="1" xfId="0" applyNumberFormat="1" applyFont="1" applyFill="1" applyBorder="1" applyAlignment="1">
      <alignment horizontal="center" vertical="center" wrapText="1"/>
    </xf>
    <xf numFmtId="170" fontId="6" fillId="13" borderId="1" xfId="0" applyNumberFormat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0" fontId="0" fillId="0" borderId="5" xfId="0" applyBorder="1"/>
    <xf numFmtId="4" fontId="0" fillId="0" borderId="2" xfId="0" applyNumberFormat="1" applyFill="1" applyBorder="1"/>
    <xf numFmtId="1" fontId="16" fillId="0" borderId="1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13" borderId="5" xfId="0" applyNumberFormat="1" applyFont="1" applyFill="1" applyBorder="1" applyAlignment="1">
      <alignment horizontal="center"/>
    </xf>
    <xf numFmtId="1" fontId="16" fillId="13" borderId="1" xfId="0" applyNumberFormat="1" applyFont="1" applyFill="1" applyBorder="1" applyAlignment="1">
      <alignment horizontal="center" vertical="center" wrapText="1"/>
    </xf>
    <xf numFmtId="1" fontId="16" fillId="13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 vertical="center" wrapText="1"/>
    </xf>
    <xf numFmtId="0" fontId="0" fillId="15" borderId="6" xfId="0" applyNumberFormat="1" applyFill="1" applyBorder="1"/>
    <xf numFmtId="3" fontId="9" fillId="0" borderId="0" xfId="0" applyNumberFormat="1" applyFont="1" applyAlignment="1">
      <alignment horizontal="left" vertical="center" wrapText="1"/>
    </xf>
    <xf numFmtId="0" fontId="7" fillId="13" borderId="5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18" borderId="1" xfId="0" applyFill="1" applyBorder="1"/>
    <xf numFmtId="172" fontId="0" fillId="0" borderId="1" xfId="0" applyNumberFormat="1" applyBorder="1"/>
    <xf numFmtId="9" fontId="0" fillId="0" borderId="1" xfId="3" applyFont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1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13" borderId="0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13" borderId="4" xfId="0" applyFont="1" applyFill="1" applyBorder="1"/>
    <xf numFmtId="3" fontId="7" fillId="0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left"/>
    </xf>
    <xf numFmtId="0" fontId="7" fillId="13" borderId="1" xfId="0" applyFont="1" applyFill="1" applyBorder="1" applyAlignment="1">
      <alignment horizontal="left"/>
    </xf>
    <xf numFmtId="0" fontId="7" fillId="1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/>
    </xf>
    <xf numFmtId="0" fontId="7" fillId="13" borderId="5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7" fillId="13" borderId="8" xfId="0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6" fillId="13" borderId="1" xfId="0" applyFont="1" applyFill="1" applyBorder="1" applyAlignment="1">
      <alignment horizontal="left" vertical="center" wrapText="1"/>
    </xf>
    <xf numFmtId="170" fontId="9" fillId="13" borderId="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top"/>
    </xf>
    <xf numFmtId="3" fontId="16" fillId="0" borderId="6" xfId="0" applyNumberFormat="1" applyFont="1" applyBorder="1" applyAlignment="1">
      <alignment horizontal="center" vertical="top"/>
    </xf>
    <xf numFmtId="3" fontId="16" fillId="0" borderId="4" xfId="0" applyNumberFormat="1" applyFont="1" applyBorder="1" applyAlignment="1">
      <alignment horizontal="center" vertical="top" wrapText="1"/>
    </xf>
    <xf numFmtId="3" fontId="16" fillId="0" borderId="6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/>
    </xf>
    <xf numFmtId="3" fontId="16" fillId="0" borderId="1" xfId="0" applyNumberFormat="1" applyFont="1" applyBorder="1" applyAlignment="1">
      <alignment horizontal="center" vertical="top" wrapText="1"/>
    </xf>
    <xf numFmtId="170" fontId="9" fillId="0" borderId="5" xfId="0" applyNumberFormat="1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70" fontId="9" fillId="0" borderId="2" xfId="0" applyNumberFormat="1" applyFont="1" applyBorder="1" applyAlignment="1">
      <alignment horizontal="center"/>
    </xf>
    <xf numFmtId="170" fontId="9" fillId="0" borderId="5" xfId="0" applyNumberFormat="1" applyFont="1" applyBorder="1" applyAlignment="1">
      <alignment horizontal="center" vertical="center"/>
    </xf>
    <xf numFmtId="170" fontId="9" fillId="0" borderId="8" xfId="0" applyNumberFormat="1" applyFont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70" fontId="6" fillId="13" borderId="1" xfId="0" applyNumberFormat="1" applyFont="1" applyFill="1" applyBorder="1" applyAlignment="1">
      <alignment horizontal="center"/>
    </xf>
    <xf numFmtId="3" fontId="16" fillId="13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</cellXfs>
  <cellStyles count="5">
    <cellStyle name="General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Coyote Gulch Estimated Monthly Flow into Reservoir (ac-ft/month)</a:t>
            </a:r>
          </a:p>
        </c:rich>
      </c:tx>
      <c:layout>
        <c:manualLayout>
          <c:xMode val="edge"/>
          <c:yMode val="edge"/>
          <c:x val="0.29715492188082504"/>
          <c:y val="3.6303466019316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92551440358679E-2"/>
          <c:y val="0.15841635215666588"/>
          <c:w val="0.90427163702340163"/>
          <c:h val="0.69307154068540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Flow!$C$3</c:f>
              <c:strCache>
                <c:ptCount val="1"/>
                <c:pt idx="0">
                  <c:v>ac-ft/month</c:v>
                </c:pt>
              </c:strCache>
            </c:strRef>
          </c:tx>
          <c:invertIfNegative val="0"/>
          <c:trendline>
            <c:trendlineType val="poly"/>
            <c:order val="6"/>
            <c:dispRSqr val="0"/>
            <c:dispEq val="0"/>
          </c:trendline>
          <c:cat>
            <c:strRef>
              <c:f>Flow!$A$4:$A$101</c:f>
              <c:strCache>
                <c:ptCount val="98"/>
                <c:pt idx="0">
                  <c:v>Mar-06</c:v>
                </c:pt>
                <c:pt idx="1">
                  <c:v>Apr-06</c:v>
                </c:pt>
                <c:pt idx="2">
                  <c:v>May-06</c:v>
                </c:pt>
                <c:pt idx="3">
                  <c:v>Jun-06</c:v>
                </c:pt>
                <c:pt idx="4">
                  <c:v>Jun-06</c:v>
                </c:pt>
                <c:pt idx="5">
                  <c:v>Jul-06</c:v>
                </c:pt>
                <c:pt idx="6">
                  <c:v>Aug-06</c:v>
                </c:pt>
                <c:pt idx="7">
                  <c:v>Aug-06</c:v>
                </c:pt>
                <c:pt idx="8">
                  <c:v>Sep-06</c:v>
                </c:pt>
                <c:pt idx="9">
                  <c:v>Sep-06</c:v>
                </c:pt>
                <c:pt idx="10">
                  <c:v>Oct-06</c:v>
                </c:pt>
                <c:pt idx="11">
                  <c:v>Nov-06</c:v>
                </c:pt>
                <c:pt idx="12">
                  <c:v>Nov-06</c:v>
                </c:pt>
                <c:pt idx="13">
                  <c:v>Dec-06</c:v>
                </c:pt>
                <c:pt idx="14">
                  <c:v>Jan-07</c:v>
                </c:pt>
                <c:pt idx="15">
                  <c:v>Feb-07</c:v>
                </c:pt>
                <c:pt idx="16">
                  <c:v>Mar-07</c:v>
                </c:pt>
                <c:pt idx="17">
                  <c:v>Apr-07</c:v>
                </c:pt>
                <c:pt idx="18">
                  <c:v>May-07</c:v>
                </c:pt>
                <c:pt idx="19">
                  <c:v>Jun-07</c:v>
                </c:pt>
                <c:pt idx="20">
                  <c:v>Jul-07</c:v>
                </c:pt>
                <c:pt idx="21">
                  <c:v>Aug-07</c:v>
                </c:pt>
                <c:pt idx="22">
                  <c:v>Sep-07</c:v>
                </c:pt>
                <c:pt idx="23">
                  <c:v>Oct-07</c:v>
                </c:pt>
                <c:pt idx="24">
                  <c:v>Nov-07</c:v>
                </c:pt>
                <c:pt idx="25">
                  <c:v>Dec-07</c:v>
                </c:pt>
                <c:pt idx="26">
                  <c:v>Jan-08</c:v>
                </c:pt>
                <c:pt idx="27">
                  <c:v>Feb-08</c:v>
                </c:pt>
                <c:pt idx="28">
                  <c:v>Mar-08</c:v>
                </c:pt>
                <c:pt idx="29">
                  <c:v>Apr-08</c:v>
                </c:pt>
                <c:pt idx="30">
                  <c:v>May-08</c:v>
                </c:pt>
                <c:pt idx="31">
                  <c:v>Jun-08</c:v>
                </c:pt>
                <c:pt idx="32">
                  <c:v>Jul-08</c:v>
                </c:pt>
                <c:pt idx="33">
                  <c:v>Aug-08</c:v>
                </c:pt>
                <c:pt idx="34">
                  <c:v>Sep-08</c:v>
                </c:pt>
                <c:pt idx="35">
                  <c:v>Oct-08</c:v>
                </c:pt>
                <c:pt idx="36">
                  <c:v>Nov-08</c:v>
                </c:pt>
                <c:pt idx="37">
                  <c:v>Dec-08</c:v>
                </c:pt>
                <c:pt idx="38">
                  <c:v>Jan-09</c:v>
                </c:pt>
                <c:pt idx="39">
                  <c:v>Feb-09</c:v>
                </c:pt>
                <c:pt idx="40">
                  <c:v>Mar-09</c:v>
                </c:pt>
                <c:pt idx="41">
                  <c:v>Apr-09</c:v>
                </c:pt>
                <c:pt idx="42">
                  <c:v>May-09</c:v>
                </c:pt>
                <c:pt idx="43">
                  <c:v>Jun-09</c:v>
                </c:pt>
                <c:pt idx="44">
                  <c:v>Jul-09</c:v>
                </c:pt>
                <c:pt idx="45">
                  <c:v>Aug-09</c:v>
                </c:pt>
                <c:pt idx="46">
                  <c:v>Sep-09</c:v>
                </c:pt>
                <c:pt idx="47">
                  <c:v>Oct-09</c:v>
                </c:pt>
                <c:pt idx="48">
                  <c:v>Nov-09</c:v>
                </c:pt>
                <c:pt idx="49">
                  <c:v>Dec-09</c:v>
                </c:pt>
                <c:pt idx="50">
                  <c:v>Jan-10</c:v>
                </c:pt>
                <c:pt idx="51">
                  <c:v>Feb-10</c:v>
                </c:pt>
                <c:pt idx="52">
                  <c:v>Mar-10</c:v>
                </c:pt>
                <c:pt idx="53">
                  <c:v>Apr-10</c:v>
                </c:pt>
                <c:pt idx="54">
                  <c:v>May-10</c:v>
                </c:pt>
                <c:pt idx="55">
                  <c:v>Jun-10</c:v>
                </c:pt>
                <c:pt idx="56">
                  <c:v>Jul-10</c:v>
                </c:pt>
                <c:pt idx="57">
                  <c:v>Aug-10</c:v>
                </c:pt>
                <c:pt idx="58">
                  <c:v>Sep-10</c:v>
                </c:pt>
                <c:pt idx="59">
                  <c:v>Oct-10</c:v>
                </c:pt>
                <c:pt idx="60">
                  <c:v>Nov-10</c:v>
                </c:pt>
                <c:pt idx="61">
                  <c:v>Dec-10</c:v>
                </c:pt>
                <c:pt idx="62">
                  <c:v>Jan-11</c:v>
                </c:pt>
                <c:pt idx="63">
                  <c:v>Feb-11</c:v>
                </c:pt>
                <c:pt idx="64">
                  <c:v>Mar-11</c:v>
                </c:pt>
                <c:pt idx="65">
                  <c:v>Apr-11</c:v>
                </c:pt>
                <c:pt idx="66">
                  <c:v>May-11</c:v>
                </c:pt>
                <c:pt idx="67">
                  <c:v>Jun-11</c:v>
                </c:pt>
                <c:pt idx="68">
                  <c:v>Jul-11</c:v>
                </c:pt>
                <c:pt idx="69">
                  <c:v>Aug-11</c:v>
                </c:pt>
                <c:pt idx="70">
                  <c:v>Sep-11</c:v>
                </c:pt>
                <c:pt idx="71">
                  <c:v>Oct-11</c:v>
                </c:pt>
                <c:pt idx="72">
                  <c:v>Nov-11</c:v>
                </c:pt>
                <c:pt idx="73">
                  <c:v>Dec-11</c:v>
                </c:pt>
                <c:pt idx="74">
                  <c:v>Jan-12</c:v>
                </c:pt>
                <c:pt idx="75">
                  <c:v>Feb-12</c:v>
                </c:pt>
                <c:pt idx="76">
                  <c:v>Mar-12</c:v>
                </c:pt>
                <c:pt idx="77">
                  <c:v>Apr-12</c:v>
                </c:pt>
                <c:pt idx="78">
                  <c:v>May-12</c:v>
                </c:pt>
                <c:pt idx="79">
                  <c:v>Jun-12</c:v>
                </c:pt>
                <c:pt idx="80">
                  <c:v>Jul-12</c:v>
                </c:pt>
                <c:pt idx="81">
                  <c:v>Aug-12</c:v>
                </c:pt>
                <c:pt idx="82">
                  <c:v>Sep-12</c:v>
                </c:pt>
                <c:pt idx="83">
                  <c:v>Oct-12</c:v>
                </c:pt>
                <c:pt idx="84">
                  <c:v>Nov-12</c:v>
                </c:pt>
                <c:pt idx="85">
                  <c:v>Dec-12</c:v>
                </c:pt>
                <c:pt idx="86">
                  <c:v>Jan-Feb 13</c:v>
                </c:pt>
                <c:pt idx="87">
                  <c:v>Mar-Apr 13</c:v>
                </c:pt>
                <c:pt idx="88">
                  <c:v>May-Jun 13</c:v>
                </c:pt>
                <c:pt idx="89">
                  <c:v>Jul-Aug 13</c:v>
                </c:pt>
                <c:pt idx="90">
                  <c:v>Sep-Oct 13</c:v>
                </c:pt>
                <c:pt idx="91">
                  <c:v>Nov-Dec 13</c:v>
                </c:pt>
                <c:pt idx="92">
                  <c:v>Jan-Feb 14</c:v>
                </c:pt>
                <c:pt idx="93">
                  <c:v>Mar-Apr 14</c:v>
                </c:pt>
                <c:pt idx="94">
                  <c:v>May-Jun 14</c:v>
                </c:pt>
                <c:pt idx="95">
                  <c:v>Jul-Aug 14</c:v>
                </c:pt>
                <c:pt idx="96">
                  <c:v>Sep-Oct 14</c:v>
                </c:pt>
                <c:pt idx="97">
                  <c:v>Nov-Dec 14</c:v>
                </c:pt>
              </c:strCache>
            </c:strRef>
          </c:cat>
          <c:val>
            <c:numRef>
              <c:f>Flow!$C$4:$C$101</c:f>
              <c:numCache>
                <c:formatCode>0.0</c:formatCode>
                <c:ptCount val="98"/>
                <c:pt idx="0">
                  <c:v>19.67136</c:v>
                </c:pt>
                <c:pt idx="1">
                  <c:v>32.719500000000004</c:v>
                </c:pt>
                <c:pt idx="2">
                  <c:v>15.368250000000002</c:v>
                </c:pt>
                <c:pt idx="3">
                  <c:v>0.95184000000000002</c:v>
                </c:pt>
                <c:pt idx="4">
                  <c:v>0.1</c:v>
                </c:pt>
                <c:pt idx="6" formatCode="General">
                  <c:v>10.1</c:v>
                </c:pt>
                <c:pt idx="8" formatCode="General">
                  <c:v>6.8</c:v>
                </c:pt>
                <c:pt idx="10" formatCode="General">
                  <c:v>8.6</c:v>
                </c:pt>
                <c:pt idx="12" formatCode="General">
                  <c:v>17.3</c:v>
                </c:pt>
                <c:pt idx="13" formatCode="General">
                  <c:v>25</c:v>
                </c:pt>
                <c:pt idx="14" formatCode="General">
                  <c:v>232</c:v>
                </c:pt>
                <c:pt idx="15">
                  <c:v>131.45307</c:v>
                </c:pt>
                <c:pt idx="16">
                  <c:v>38.668500000000002</c:v>
                </c:pt>
                <c:pt idx="17">
                  <c:v>31.504912500000003</c:v>
                </c:pt>
                <c:pt idx="18">
                  <c:v>110</c:v>
                </c:pt>
                <c:pt idx="19">
                  <c:v>41.196825000000004</c:v>
                </c:pt>
                <c:pt idx="20">
                  <c:v>21</c:v>
                </c:pt>
                <c:pt idx="21">
                  <c:v>37</c:v>
                </c:pt>
                <c:pt idx="22">
                  <c:v>46</c:v>
                </c:pt>
                <c:pt idx="23">
                  <c:v>49</c:v>
                </c:pt>
                <c:pt idx="24">
                  <c:v>30</c:v>
                </c:pt>
                <c:pt idx="25">
                  <c:v>26</c:v>
                </c:pt>
                <c:pt idx="26">
                  <c:v>8</c:v>
                </c:pt>
                <c:pt idx="27">
                  <c:v>55</c:v>
                </c:pt>
                <c:pt idx="28">
                  <c:v>65</c:v>
                </c:pt>
                <c:pt idx="29">
                  <c:v>29</c:v>
                </c:pt>
                <c:pt idx="30">
                  <c:v>20</c:v>
                </c:pt>
                <c:pt idx="31">
                  <c:v>8</c:v>
                </c:pt>
                <c:pt idx="32">
                  <c:v>80</c:v>
                </c:pt>
                <c:pt idx="33">
                  <c:v>43</c:v>
                </c:pt>
                <c:pt idx="34">
                  <c:v>28</c:v>
                </c:pt>
                <c:pt idx="35">
                  <c:v>24</c:v>
                </c:pt>
                <c:pt idx="36">
                  <c:v>37</c:v>
                </c:pt>
                <c:pt idx="37">
                  <c:v>9</c:v>
                </c:pt>
                <c:pt idx="38">
                  <c:v>9</c:v>
                </c:pt>
                <c:pt idx="39">
                  <c:v>8</c:v>
                </c:pt>
                <c:pt idx="40">
                  <c:v>14</c:v>
                </c:pt>
                <c:pt idx="41">
                  <c:v>477</c:v>
                </c:pt>
                <c:pt idx="42">
                  <c:v>35</c:v>
                </c:pt>
                <c:pt idx="43">
                  <c:v>33</c:v>
                </c:pt>
                <c:pt idx="44">
                  <c:v>37</c:v>
                </c:pt>
                <c:pt idx="45">
                  <c:v>47</c:v>
                </c:pt>
                <c:pt idx="46">
                  <c:v>28</c:v>
                </c:pt>
                <c:pt idx="47">
                  <c:v>44</c:v>
                </c:pt>
                <c:pt idx="48">
                  <c:v>133</c:v>
                </c:pt>
                <c:pt idx="49">
                  <c:v>25</c:v>
                </c:pt>
                <c:pt idx="50">
                  <c:v>27.048120000000001</c:v>
                </c:pt>
                <c:pt idx="51">
                  <c:v>23.875320000000002</c:v>
                </c:pt>
                <c:pt idx="52">
                  <c:v>144.46154999999999</c:v>
                </c:pt>
                <c:pt idx="53">
                  <c:v>405</c:v>
                </c:pt>
                <c:pt idx="54">
                  <c:v>47.592000000000006</c:v>
                </c:pt>
                <c:pt idx="55">
                  <c:v>44.022599999999997</c:v>
                </c:pt>
                <c:pt idx="56">
                  <c:v>39.957450000000001</c:v>
                </c:pt>
                <c:pt idx="57">
                  <c:v>49.793130000000005</c:v>
                </c:pt>
                <c:pt idx="58">
                  <c:v>28.892310000000002</c:v>
                </c:pt>
                <c:pt idx="59">
                  <c:v>44.260559999999998</c:v>
                </c:pt>
                <c:pt idx="60">
                  <c:v>31.351230000000001</c:v>
                </c:pt>
                <c:pt idx="61">
                  <c:v>33.810150000000007</c:v>
                </c:pt>
                <c:pt idx="62">
                  <c:v>20</c:v>
                </c:pt>
                <c:pt idx="63">
                  <c:v>18</c:v>
                </c:pt>
                <c:pt idx="64">
                  <c:v>18</c:v>
                </c:pt>
                <c:pt idx="65">
                  <c:v>156</c:v>
                </c:pt>
                <c:pt idx="66">
                  <c:v>37</c:v>
                </c:pt>
                <c:pt idx="67">
                  <c:v>15</c:v>
                </c:pt>
                <c:pt idx="68">
                  <c:v>27.662850000000002</c:v>
                </c:pt>
                <c:pt idx="69">
                  <c:v>35.039609999999996</c:v>
                </c:pt>
                <c:pt idx="70">
                  <c:v>23.359740000000002</c:v>
                </c:pt>
                <c:pt idx="71">
                  <c:v>24.589200000000005</c:v>
                </c:pt>
                <c:pt idx="72">
                  <c:v>30.736500000000003</c:v>
                </c:pt>
                <c:pt idx="73">
                  <c:v>38</c:v>
                </c:pt>
                <c:pt idx="74" formatCode="0">
                  <c:v>65.161380000000008</c:v>
                </c:pt>
                <c:pt idx="75" formatCode="0">
                  <c:v>33.869639999999997</c:v>
                </c:pt>
                <c:pt idx="76" formatCode="0">
                  <c:v>46.99710000000001</c:v>
                </c:pt>
                <c:pt idx="77" formatCode="0">
                  <c:v>45.212400000000002</c:v>
                </c:pt>
                <c:pt idx="78" formatCode="0">
                  <c:v>43.031099999999995</c:v>
                </c:pt>
                <c:pt idx="79" formatCode="0">
                  <c:v>38.073599999999999</c:v>
                </c:pt>
                <c:pt idx="80" formatCode="0">
                  <c:v>14.75352</c:v>
                </c:pt>
                <c:pt idx="81" formatCode="0">
                  <c:v>28.277580000000004</c:v>
                </c:pt>
                <c:pt idx="82" formatCode="0">
                  <c:v>20.821499999999997</c:v>
                </c:pt>
                <c:pt idx="83" formatCode="0">
                  <c:v>12.294600000000003</c:v>
                </c:pt>
                <c:pt idx="84" formatCode="0">
                  <c:v>8.9235000000000007</c:v>
                </c:pt>
                <c:pt idx="85" formatCode="0">
                  <c:v>32.580690000000004</c:v>
                </c:pt>
                <c:pt idx="86">
                  <c:v>25.104779999999998</c:v>
                </c:pt>
                <c:pt idx="87">
                  <c:v>27.841320000000003</c:v>
                </c:pt>
                <c:pt idx="88">
                  <c:v>32.124600000000001</c:v>
                </c:pt>
                <c:pt idx="89">
                  <c:v>22.963140000000003</c:v>
                </c:pt>
                <c:pt idx="90">
                  <c:v>0</c:v>
                </c:pt>
                <c:pt idx="91">
                  <c:v>54.96876000000001</c:v>
                </c:pt>
                <c:pt idx="92">
                  <c:v>35.694000000000003</c:v>
                </c:pt>
                <c:pt idx="93">
                  <c:v>16.934820000000002</c:v>
                </c:pt>
                <c:pt idx="94">
                  <c:v>42.337049999999998</c:v>
                </c:pt>
                <c:pt idx="95">
                  <c:v>35.654339999999998</c:v>
                </c:pt>
                <c:pt idx="96">
                  <c:v>42.337049999999998</c:v>
                </c:pt>
                <c:pt idx="97">
                  <c:v>20.56371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1-452C-9705-1B41A01D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9815936"/>
        <c:axId val="49817856"/>
      </c:barChart>
      <c:catAx>
        <c:axId val="49815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178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9817856"/>
        <c:scaling>
          <c:orientation val="minMax"/>
          <c:max val="500"/>
          <c:min val="0"/>
        </c:scaling>
        <c:delete val="0"/>
        <c:axPos val="l"/>
        <c:majorGridlines/>
        <c:minorGridlines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15936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Average Total Phosphorus Above and Below Project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22169838092678E-2"/>
          <c:y val="0.14079642421779762"/>
          <c:w val="0.89851199642812529"/>
          <c:h val="0.5333875311040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Load!$T$87</c:f>
              <c:strCache>
                <c:ptCount val="1"/>
                <c:pt idx="0">
                  <c:v>Reservoir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Load!$Q$89:$S$101</c:f>
              <c:multiLvlStrCache>
                <c:ptCount val="13"/>
                <c:lvl>
                  <c:pt idx="0">
                    <c:v>2006-2007</c:v>
                  </c:pt>
                  <c:pt idx="1">
                    <c:v>2007-2008</c:v>
                  </c:pt>
                  <c:pt idx="2">
                    <c:v>2009*</c:v>
                  </c:pt>
                  <c:pt idx="3">
                    <c:v>2010*</c:v>
                  </c:pt>
                  <c:pt idx="4">
                    <c:v>2011*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</c:lvl>
                <c:lvl>
                  <c:pt idx="0">
                    <c:v>Pre-construction</c:v>
                  </c:pt>
                  <c:pt idx="1">
                    <c:v>Post-Construction</c:v>
                  </c:pt>
                </c:lvl>
              </c:multiLvlStrCache>
            </c:multiLvlStrRef>
          </c:cat>
          <c:val>
            <c:numRef>
              <c:f>Load!$U$89:$U$101</c:f>
              <c:numCache>
                <c:formatCode>#,##0.0</c:formatCode>
                <c:ptCount val="13"/>
                <c:pt idx="0">
                  <c:v>19.958846877282355</c:v>
                </c:pt>
                <c:pt idx="1">
                  <c:v>4.4289765545789486</c:v>
                </c:pt>
                <c:pt idx="2">
                  <c:v>6.6654089090909112</c:v>
                </c:pt>
                <c:pt idx="3">
                  <c:v>8.1264441638545453</c:v>
                </c:pt>
                <c:pt idx="4">
                  <c:v>6.0778043225454557</c:v>
                </c:pt>
                <c:pt idx="5">
                  <c:v>2.74611214325</c:v>
                </c:pt>
                <c:pt idx="6">
                  <c:v>4.5999999999999996</c:v>
                </c:pt>
                <c:pt idx="7" formatCode="General">
                  <c:v>4.4000000000000004</c:v>
                </c:pt>
                <c:pt idx="8" formatCode="General">
                  <c:v>6</c:v>
                </c:pt>
                <c:pt idx="9" formatCode="General">
                  <c:v>10.1</c:v>
                </c:pt>
                <c:pt idx="10" formatCode="General">
                  <c:v>12.5</c:v>
                </c:pt>
                <c:pt idx="11" formatCode="General">
                  <c:v>10.4</c:v>
                </c:pt>
                <c:pt idx="12" formatCode="General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C-4AA0-8121-B8CFC9EB2865}"/>
            </c:ext>
          </c:extLst>
        </c:ser>
        <c:ser>
          <c:idx val="1"/>
          <c:order val="1"/>
          <c:tx>
            <c:strRef>
              <c:f>Load!$V$87</c:f>
              <c:strCache>
                <c:ptCount val="1"/>
                <c:pt idx="0">
                  <c:v>Above Project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Load!$Q$89:$S$101</c:f>
              <c:multiLvlStrCache>
                <c:ptCount val="13"/>
                <c:lvl>
                  <c:pt idx="0">
                    <c:v>2006-2007</c:v>
                  </c:pt>
                  <c:pt idx="1">
                    <c:v>2007-2008</c:v>
                  </c:pt>
                  <c:pt idx="2">
                    <c:v>2009*</c:v>
                  </c:pt>
                  <c:pt idx="3">
                    <c:v>2010*</c:v>
                  </c:pt>
                  <c:pt idx="4">
                    <c:v>2011*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</c:lvl>
                <c:lvl>
                  <c:pt idx="0">
                    <c:v>Pre-construction</c:v>
                  </c:pt>
                  <c:pt idx="1">
                    <c:v>Post-Construction</c:v>
                  </c:pt>
                </c:lvl>
              </c:multiLvlStrCache>
            </c:multiLvlStrRef>
          </c:cat>
          <c:val>
            <c:numRef>
              <c:f>Load!$W$89:$W$101</c:f>
              <c:numCache>
                <c:formatCode>#,##0.0</c:formatCode>
                <c:ptCount val="13"/>
                <c:pt idx="1">
                  <c:v>5.1656424638552627</c:v>
                </c:pt>
                <c:pt idx="2">
                  <c:v>8.8992590909090907</c:v>
                </c:pt>
                <c:pt idx="3">
                  <c:v>8.5477655744409073</c:v>
                </c:pt>
                <c:pt idx="4">
                  <c:v>7.0425712677727281</c:v>
                </c:pt>
                <c:pt idx="5">
                  <c:v>4.8488680655333347</c:v>
                </c:pt>
                <c:pt idx="6">
                  <c:v>4.7</c:v>
                </c:pt>
                <c:pt idx="7" formatCode="General">
                  <c:v>4.8</c:v>
                </c:pt>
                <c:pt idx="8" formatCode="General">
                  <c:v>21.7</c:v>
                </c:pt>
                <c:pt idx="9" formatCode="General">
                  <c:v>12.4</c:v>
                </c:pt>
                <c:pt idx="10" formatCode="General">
                  <c:v>10.4</c:v>
                </c:pt>
                <c:pt idx="11" formatCode="General">
                  <c:v>8.4</c:v>
                </c:pt>
                <c:pt idx="12" formatCode="General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C-4AA0-8121-B8CFC9EB2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1721344"/>
        <c:axId val="51722880"/>
      </c:barChart>
      <c:catAx>
        <c:axId val="5172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2880"/>
        <c:crosses val="autoZero"/>
        <c:auto val="1"/>
        <c:lblAlgn val="ctr"/>
        <c:lblOffset val="100"/>
        <c:noMultiLvlLbl val="0"/>
      </c:catAx>
      <c:valAx>
        <c:axId val="517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Phosphorus ug/l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12812207940603"/>
          <c:y val="0.17970289268494022"/>
          <c:w val="0.24345639399592109"/>
          <c:h val="6.8570167046876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Coyote Gulch Annual Estimated Flow (Ac-Ft/year)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Flow!$G$2</c:f>
              <c:strCache>
                <c:ptCount val="1"/>
                <c:pt idx="0">
                  <c:v>Coyote Gulch Annual Flow (Ac-Ft/year)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Flow!$G$3:$G$16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Flow!$H$3:$H$16</c:f>
              <c:numCache>
                <c:formatCode>0.0</c:formatCode>
                <c:ptCount val="14"/>
                <c:pt idx="0">
                  <c:v>136.61095</c:v>
                </c:pt>
                <c:pt idx="1">
                  <c:v>793.82330750000006</c:v>
                </c:pt>
                <c:pt idx="2">
                  <c:v>406</c:v>
                </c:pt>
                <c:pt idx="3">
                  <c:v>890</c:v>
                </c:pt>
                <c:pt idx="4">
                  <c:v>920.06441999999993</c:v>
                </c:pt>
                <c:pt idx="5">
                  <c:v>443.38789999999995</c:v>
                </c:pt>
                <c:pt idx="6">
                  <c:v>389.99661000000003</c:v>
                </c:pt>
                <c:pt idx="7">
                  <c:v>163.0026</c:v>
                </c:pt>
                <c:pt idx="8" formatCode="General">
                  <c:v>216</c:v>
                </c:pt>
                <c:pt idx="9" formatCode="General">
                  <c:v>1278</c:v>
                </c:pt>
                <c:pt idx="10" formatCode="General">
                  <c:v>514</c:v>
                </c:pt>
                <c:pt idx="11" formatCode="General">
                  <c:v>427</c:v>
                </c:pt>
                <c:pt idx="12" formatCode="General">
                  <c:v>322</c:v>
                </c:pt>
                <c:pt idx="13" formatCode="General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0-415D-A20D-3F42C0D43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055040"/>
        <c:axId val="51729152"/>
      </c:barChart>
      <c:catAx>
        <c:axId val="500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9152"/>
        <c:crosses val="autoZero"/>
        <c:auto val="1"/>
        <c:lblAlgn val="ctr"/>
        <c:lblOffset val="100"/>
        <c:noMultiLvlLbl val="0"/>
      </c:catAx>
      <c:valAx>
        <c:axId val="517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 pitchFamily="18" charset="0"/>
                <a:ea typeface="Cooper Black"/>
                <a:cs typeface="Times New Roman" pitchFamily="18" charset="0"/>
              </a:defRPr>
            </a:pPr>
            <a:r>
              <a:rPr lang="en-US" b="1">
                <a:latin typeface="Calibri" pitchFamily="34" charset="0"/>
                <a:cs typeface="Calibri" pitchFamily="34" charset="0"/>
              </a:rPr>
              <a:t>Pre-Construction Nitrate Increased Loading At Project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Load!$B$4</c:f>
              <c:strCache>
                <c:ptCount val="1"/>
                <c:pt idx="0">
                  <c:v>Coyote Gulch Above Project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Load!$A$5:$A$42</c:f>
              <c:numCache>
                <c:formatCode>[$-409]mmmm\ d\,\ yyyy;@</c:formatCode>
                <c:ptCount val="38"/>
                <c:pt idx="0">
                  <c:v>38250</c:v>
                </c:pt>
                <c:pt idx="1">
                  <c:v>38264</c:v>
                </c:pt>
                <c:pt idx="2">
                  <c:v>38309</c:v>
                </c:pt>
                <c:pt idx="3">
                  <c:v>38363</c:v>
                </c:pt>
                <c:pt idx="4">
                  <c:v>38390</c:v>
                </c:pt>
                <c:pt idx="5">
                  <c:v>38413</c:v>
                </c:pt>
                <c:pt idx="6">
                  <c:v>38447</c:v>
                </c:pt>
                <c:pt idx="7">
                  <c:v>38455</c:v>
                </c:pt>
                <c:pt idx="8">
                  <c:v>38482</c:v>
                </c:pt>
                <c:pt idx="9">
                  <c:v>38519</c:v>
                </c:pt>
                <c:pt idx="10">
                  <c:v>38539</c:v>
                </c:pt>
                <c:pt idx="11">
                  <c:v>38568</c:v>
                </c:pt>
                <c:pt idx="12">
                  <c:v>38604</c:v>
                </c:pt>
                <c:pt idx="13">
                  <c:v>38636</c:v>
                </c:pt>
                <c:pt idx="14">
                  <c:v>38674</c:v>
                </c:pt>
                <c:pt idx="15">
                  <c:v>38694</c:v>
                </c:pt>
                <c:pt idx="16">
                  <c:v>38722</c:v>
                </c:pt>
                <c:pt idx="17">
                  <c:v>38755</c:v>
                </c:pt>
                <c:pt idx="18">
                  <c:v>38797</c:v>
                </c:pt>
                <c:pt idx="19">
                  <c:v>38817</c:v>
                </c:pt>
                <c:pt idx="20">
                  <c:v>38840</c:v>
                </c:pt>
                <c:pt idx="21">
                  <c:v>38881</c:v>
                </c:pt>
                <c:pt idx="22">
                  <c:v>38903</c:v>
                </c:pt>
                <c:pt idx="23">
                  <c:v>38908</c:v>
                </c:pt>
                <c:pt idx="24">
                  <c:v>38939</c:v>
                </c:pt>
                <c:pt idx="25">
                  <c:v>38947</c:v>
                </c:pt>
                <c:pt idx="26">
                  <c:v>38967</c:v>
                </c:pt>
                <c:pt idx="27">
                  <c:v>38995</c:v>
                </c:pt>
                <c:pt idx="28">
                  <c:v>39010</c:v>
                </c:pt>
                <c:pt idx="29">
                  <c:v>39036</c:v>
                </c:pt>
                <c:pt idx="30">
                  <c:v>39041</c:v>
                </c:pt>
                <c:pt idx="31">
                  <c:v>39056</c:v>
                </c:pt>
                <c:pt idx="32">
                  <c:v>39100</c:v>
                </c:pt>
                <c:pt idx="33">
                  <c:v>39121</c:v>
                </c:pt>
                <c:pt idx="34">
                  <c:v>39164</c:v>
                </c:pt>
                <c:pt idx="35">
                  <c:v>39197</c:v>
                </c:pt>
                <c:pt idx="36">
                  <c:v>39212</c:v>
                </c:pt>
                <c:pt idx="37">
                  <c:v>39253</c:v>
                </c:pt>
              </c:numCache>
            </c:numRef>
          </c:cat>
          <c:val>
            <c:numRef>
              <c:f>Load!$B$5:$B$42</c:f>
              <c:numCache>
                <c:formatCode>General</c:formatCode>
                <c:ptCount val="38"/>
                <c:pt idx="0">
                  <c:v>1.1000000000000001</c:v>
                </c:pt>
                <c:pt idx="1">
                  <c:v>1.5</c:v>
                </c:pt>
                <c:pt idx="3">
                  <c:v>5.4</c:v>
                </c:pt>
                <c:pt idx="4">
                  <c:v>7.25</c:v>
                </c:pt>
                <c:pt idx="5">
                  <c:v>3</c:v>
                </c:pt>
                <c:pt idx="6">
                  <c:v>3.34</c:v>
                </c:pt>
                <c:pt idx="8">
                  <c:v>5.49</c:v>
                </c:pt>
                <c:pt idx="9">
                  <c:v>4.13</c:v>
                </c:pt>
                <c:pt idx="10">
                  <c:v>3.99</c:v>
                </c:pt>
                <c:pt idx="11">
                  <c:v>0.71</c:v>
                </c:pt>
                <c:pt idx="12">
                  <c:v>4.25</c:v>
                </c:pt>
                <c:pt idx="13">
                  <c:v>0.47</c:v>
                </c:pt>
                <c:pt idx="14">
                  <c:v>4.87</c:v>
                </c:pt>
                <c:pt idx="15">
                  <c:v>6.28</c:v>
                </c:pt>
                <c:pt idx="16">
                  <c:v>3.05</c:v>
                </c:pt>
                <c:pt idx="17">
                  <c:v>5.04</c:v>
                </c:pt>
                <c:pt idx="18">
                  <c:v>2.11</c:v>
                </c:pt>
                <c:pt idx="19">
                  <c:v>0.11</c:v>
                </c:pt>
                <c:pt idx="20">
                  <c:v>4.0599999999999996</c:v>
                </c:pt>
                <c:pt idx="21">
                  <c:v>3.2</c:v>
                </c:pt>
                <c:pt idx="22">
                  <c:v>1.54</c:v>
                </c:pt>
                <c:pt idx="23">
                  <c:v>1.01</c:v>
                </c:pt>
                <c:pt idx="24">
                  <c:v>5.93</c:v>
                </c:pt>
                <c:pt idx="25">
                  <c:v>0.32</c:v>
                </c:pt>
                <c:pt idx="26">
                  <c:v>3.98</c:v>
                </c:pt>
                <c:pt idx="27">
                  <c:v>3.57</c:v>
                </c:pt>
                <c:pt idx="28">
                  <c:v>3.84</c:v>
                </c:pt>
                <c:pt idx="29">
                  <c:v>5.9</c:v>
                </c:pt>
                <c:pt idx="30">
                  <c:v>3.69</c:v>
                </c:pt>
                <c:pt idx="31">
                  <c:v>1</c:v>
                </c:pt>
                <c:pt idx="35">
                  <c:v>1.44</c:v>
                </c:pt>
                <c:pt idx="36">
                  <c:v>1.52</c:v>
                </c:pt>
                <c:pt idx="37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3-43E1-88FD-C57F63EB8B34}"/>
            </c:ext>
          </c:extLst>
        </c:ser>
        <c:ser>
          <c:idx val="1"/>
          <c:order val="1"/>
          <c:tx>
            <c:strRef>
              <c:f>Load!$C$4</c:f>
              <c:strCache>
                <c:ptCount val="1"/>
                <c:pt idx="0">
                  <c:v>Coyote Gulch at Reservoir</c:v>
                </c:pt>
              </c:strCache>
            </c:strRef>
          </c:tx>
          <c:spPr>
            <a:solidFill>
              <a:schemeClr val="accent1"/>
            </a:solidFill>
          </c:spPr>
          <c:cat>
            <c:numRef>
              <c:f>Load!$A$5:$A$42</c:f>
              <c:numCache>
                <c:formatCode>[$-409]mmmm\ d\,\ yyyy;@</c:formatCode>
                <c:ptCount val="38"/>
                <c:pt idx="0">
                  <c:v>38250</c:v>
                </c:pt>
                <c:pt idx="1">
                  <c:v>38264</c:v>
                </c:pt>
                <c:pt idx="2">
                  <c:v>38309</c:v>
                </c:pt>
                <c:pt idx="3">
                  <c:v>38363</c:v>
                </c:pt>
                <c:pt idx="4">
                  <c:v>38390</c:v>
                </c:pt>
                <c:pt idx="5">
                  <c:v>38413</c:v>
                </c:pt>
                <c:pt idx="6">
                  <c:v>38447</c:v>
                </c:pt>
                <c:pt idx="7">
                  <c:v>38455</c:v>
                </c:pt>
                <c:pt idx="8">
                  <c:v>38482</c:v>
                </c:pt>
                <c:pt idx="9">
                  <c:v>38519</c:v>
                </c:pt>
                <c:pt idx="10">
                  <c:v>38539</c:v>
                </c:pt>
                <c:pt idx="11">
                  <c:v>38568</c:v>
                </c:pt>
                <c:pt idx="12">
                  <c:v>38604</c:v>
                </c:pt>
                <c:pt idx="13">
                  <c:v>38636</c:v>
                </c:pt>
                <c:pt idx="14">
                  <c:v>38674</c:v>
                </c:pt>
                <c:pt idx="15">
                  <c:v>38694</c:v>
                </c:pt>
                <c:pt idx="16">
                  <c:v>38722</c:v>
                </c:pt>
                <c:pt idx="17">
                  <c:v>38755</c:v>
                </c:pt>
                <c:pt idx="18">
                  <c:v>38797</c:v>
                </c:pt>
                <c:pt idx="19">
                  <c:v>38817</c:v>
                </c:pt>
                <c:pt idx="20">
                  <c:v>38840</c:v>
                </c:pt>
                <c:pt idx="21">
                  <c:v>38881</c:v>
                </c:pt>
                <c:pt idx="22">
                  <c:v>38903</c:v>
                </c:pt>
                <c:pt idx="23">
                  <c:v>38908</c:v>
                </c:pt>
                <c:pt idx="24">
                  <c:v>38939</c:v>
                </c:pt>
                <c:pt idx="25">
                  <c:v>38947</c:v>
                </c:pt>
                <c:pt idx="26">
                  <c:v>38967</c:v>
                </c:pt>
                <c:pt idx="27">
                  <c:v>38995</c:v>
                </c:pt>
                <c:pt idx="28">
                  <c:v>39010</c:v>
                </c:pt>
                <c:pt idx="29">
                  <c:v>39036</c:v>
                </c:pt>
                <c:pt idx="30">
                  <c:v>39041</c:v>
                </c:pt>
                <c:pt idx="31">
                  <c:v>39056</c:v>
                </c:pt>
                <c:pt idx="32">
                  <c:v>39100</c:v>
                </c:pt>
                <c:pt idx="33">
                  <c:v>39121</c:v>
                </c:pt>
                <c:pt idx="34">
                  <c:v>39164</c:v>
                </c:pt>
                <c:pt idx="35">
                  <c:v>39197</c:v>
                </c:pt>
                <c:pt idx="36">
                  <c:v>39212</c:v>
                </c:pt>
                <c:pt idx="37">
                  <c:v>39253</c:v>
                </c:pt>
              </c:numCache>
            </c:numRef>
          </c:cat>
          <c:val>
            <c:numRef>
              <c:f>Load!$C$5:$C$42</c:f>
              <c:numCache>
                <c:formatCode>General</c:formatCode>
                <c:ptCount val="38"/>
                <c:pt idx="2">
                  <c:v>2.2000000000000002</c:v>
                </c:pt>
                <c:pt idx="3">
                  <c:v>3.3</c:v>
                </c:pt>
                <c:pt idx="4">
                  <c:v>3.38</c:v>
                </c:pt>
                <c:pt idx="5">
                  <c:v>5.49</c:v>
                </c:pt>
                <c:pt idx="6">
                  <c:v>1.78</c:v>
                </c:pt>
                <c:pt idx="7">
                  <c:v>1.21</c:v>
                </c:pt>
                <c:pt idx="8">
                  <c:v>1.33</c:v>
                </c:pt>
                <c:pt idx="9">
                  <c:v>0.47</c:v>
                </c:pt>
                <c:pt idx="10">
                  <c:v>0.42</c:v>
                </c:pt>
                <c:pt idx="11">
                  <c:v>0.53</c:v>
                </c:pt>
                <c:pt idx="12">
                  <c:v>0.8</c:v>
                </c:pt>
                <c:pt idx="13">
                  <c:v>0.52</c:v>
                </c:pt>
                <c:pt idx="14">
                  <c:v>2.0699999999999998</c:v>
                </c:pt>
                <c:pt idx="15">
                  <c:v>4.18</c:v>
                </c:pt>
                <c:pt idx="16">
                  <c:v>4.8499999999999996</c:v>
                </c:pt>
                <c:pt idx="17">
                  <c:v>2.9</c:v>
                </c:pt>
                <c:pt idx="18">
                  <c:v>1.08</c:v>
                </c:pt>
                <c:pt idx="19">
                  <c:v>0.1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0.82</c:v>
                </c:pt>
                <c:pt idx="23">
                  <c:v>0.42</c:v>
                </c:pt>
                <c:pt idx="25">
                  <c:v>1.64</c:v>
                </c:pt>
                <c:pt idx="26">
                  <c:v>7.0000000000000007E-2</c:v>
                </c:pt>
                <c:pt idx="27">
                  <c:v>0.04</c:v>
                </c:pt>
                <c:pt idx="28">
                  <c:v>0.89</c:v>
                </c:pt>
                <c:pt idx="29">
                  <c:v>3.41</c:v>
                </c:pt>
                <c:pt idx="30">
                  <c:v>1.92</c:v>
                </c:pt>
                <c:pt idx="31">
                  <c:v>1.66</c:v>
                </c:pt>
                <c:pt idx="32">
                  <c:v>1.98</c:v>
                </c:pt>
                <c:pt idx="33">
                  <c:v>0.77</c:v>
                </c:pt>
                <c:pt idx="34">
                  <c:v>0.11</c:v>
                </c:pt>
                <c:pt idx="35">
                  <c:v>2.13</c:v>
                </c:pt>
                <c:pt idx="36">
                  <c:v>1.69</c:v>
                </c:pt>
                <c:pt idx="37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3-43E1-88FD-C57F63EB8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53056"/>
        <c:axId val="87130496"/>
      </c:areaChart>
      <c:dateAx>
        <c:axId val="870530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13049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87130496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053056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  <a:alpha val="51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 pitchFamily="18" charset="0"/>
              <a:ea typeface="Calibri"/>
              <a:cs typeface="Times New Roman" pitchFamily="18" charset="0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Nitrate Reductions at Project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0"/>
          <c:order val="0"/>
          <c:tx>
            <c:strRef>
              <c:f>Load!$T$47</c:f>
              <c:strCache>
                <c:ptCount val="1"/>
                <c:pt idx="0">
                  <c:v>Nitrate Loading Reservoir </c:v>
                </c:pt>
              </c:strCache>
            </c:strRef>
          </c:tx>
          <c:cat>
            <c:numRef>
              <c:f>Load!$K$12:$K$96</c:f>
              <c:numCache>
                <c:formatCode>[$-409]mmm\-yy;@</c:formatCode>
                <c:ptCount val="85"/>
                <c:pt idx="0">
                  <c:v>38782</c:v>
                </c:pt>
                <c:pt idx="1">
                  <c:v>38813</c:v>
                </c:pt>
                <c:pt idx="2">
                  <c:v>38843</c:v>
                </c:pt>
                <c:pt idx="3">
                  <c:v>38874</c:v>
                </c:pt>
                <c:pt idx="4">
                  <c:v>38904</c:v>
                </c:pt>
                <c:pt idx="5">
                  <c:v>38935</c:v>
                </c:pt>
                <c:pt idx="6">
                  <c:v>38966</c:v>
                </c:pt>
                <c:pt idx="7">
                  <c:v>38996</c:v>
                </c:pt>
                <c:pt idx="8">
                  <c:v>39027</c:v>
                </c:pt>
                <c:pt idx="9">
                  <c:v>39057</c:v>
                </c:pt>
                <c:pt idx="10">
                  <c:v>39088</c:v>
                </c:pt>
                <c:pt idx="11">
                  <c:v>39119</c:v>
                </c:pt>
                <c:pt idx="12">
                  <c:v>39147</c:v>
                </c:pt>
                <c:pt idx="13">
                  <c:v>39178</c:v>
                </c:pt>
                <c:pt idx="14">
                  <c:v>39208</c:v>
                </c:pt>
                <c:pt idx="15">
                  <c:v>39239</c:v>
                </c:pt>
                <c:pt idx="16">
                  <c:v>39269</c:v>
                </c:pt>
                <c:pt idx="17">
                  <c:v>39300</c:v>
                </c:pt>
                <c:pt idx="18">
                  <c:v>39331</c:v>
                </c:pt>
                <c:pt idx="19">
                  <c:v>39361</c:v>
                </c:pt>
                <c:pt idx="20">
                  <c:v>39392</c:v>
                </c:pt>
                <c:pt idx="21">
                  <c:v>39422</c:v>
                </c:pt>
                <c:pt idx="22">
                  <c:v>39453</c:v>
                </c:pt>
                <c:pt idx="23">
                  <c:v>39484</c:v>
                </c:pt>
                <c:pt idx="24">
                  <c:v>39513</c:v>
                </c:pt>
                <c:pt idx="25">
                  <c:v>39544</c:v>
                </c:pt>
                <c:pt idx="26">
                  <c:v>39574</c:v>
                </c:pt>
                <c:pt idx="27">
                  <c:v>39605</c:v>
                </c:pt>
                <c:pt idx="28">
                  <c:v>39635</c:v>
                </c:pt>
                <c:pt idx="29">
                  <c:v>39666</c:v>
                </c:pt>
                <c:pt idx="30">
                  <c:v>39697</c:v>
                </c:pt>
                <c:pt idx="31">
                  <c:v>39727</c:v>
                </c:pt>
                <c:pt idx="32">
                  <c:v>39758</c:v>
                </c:pt>
                <c:pt idx="33">
                  <c:v>39788</c:v>
                </c:pt>
                <c:pt idx="34">
                  <c:v>39839</c:v>
                </c:pt>
                <c:pt idx="35">
                  <c:v>39867</c:v>
                </c:pt>
                <c:pt idx="36">
                  <c:v>39895</c:v>
                </c:pt>
                <c:pt idx="37">
                  <c:v>39923</c:v>
                </c:pt>
                <c:pt idx="38">
                  <c:v>39951</c:v>
                </c:pt>
                <c:pt idx="39">
                  <c:v>39979</c:v>
                </c:pt>
                <c:pt idx="40">
                  <c:v>40007</c:v>
                </c:pt>
                <c:pt idx="41">
                  <c:v>40035</c:v>
                </c:pt>
                <c:pt idx="42">
                  <c:v>40063</c:v>
                </c:pt>
                <c:pt idx="43">
                  <c:v>40091</c:v>
                </c:pt>
                <c:pt idx="44">
                  <c:v>40119</c:v>
                </c:pt>
                <c:pt idx="45">
                  <c:v>40175</c:v>
                </c:pt>
                <c:pt idx="46">
                  <c:v>40179</c:v>
                </c:pt>
                <c:pt idx="47">
                  <c:v>40219</c:v>
                </c:pt>
                <c:pt idx="48">
                  <c:v>40259</c:v>
                </c:pt>
                <c:pt idx="49">
                  <c:v>40278</c:v>
                </c:pt>
                <c:pt idx="50">
                  <c:v>40316</c:v>
                </c:pt>
                <c:pt idx="51">
                  <c:v>40335</c:v>
                </c:pt>
                <c:pt idx="52">
                  <c:v>40373</c:v>
                </c:pt>
                <c:pt idx="53">
                  <c:v>40392</c:v>
                </c:pt>
                <c:pt idx="54">
                  <c:v>40431</c:v>
                </c:pt>
                <c:pt idx="55">
                  <c:v>40452</c:v>
                </c:pt>
                <c:pt idx="56" formatCode="mmm\-yy">
                  <c:v>40483</c:v>
                </c:pt>
                <c:pt idx="57" formatCode="mmm\-yy">
                  <c:v>40513</c:v>
                </c:pt>
                <c:pt idx="58" formatCode="mmm\-yy">
                  <c:v>40544</c:v>
                </c:pt>
                <c:pt idx="59" formatCode="mmm\-yy">
                  <c:v>40575</c:v>
                </c:pt>
                <c:pt idx="60" formatCode="mmm\-yy">
                  <c:v>40603</c:v>
                </c:pt>
                <c:pt idx="61" formatCode="mmm\-yy">
                  <c:v>40634</c:v>
                </c:pt>
                <c:pt idx="62" formatCode="mmm\-yy">
                  <c:v>40664</c:v>
                </c:pt>
                <c:pt idx="63" formatCode="mmm\-yy">
                  <c:v>40695</c:v>
                </c:pt>
                <c:pt idx="64" formatCode="mmm\-yy">
                  <c:v>40725</c:v>
                </c:pt>
                <c:pt idx="65" formatCode="mmm\-yy">
                  <c:v>40756</c:v>
                </c:pt>
                <c:pt idx="66" formatCode="mmm\-yy">
                  <c:v>40787</c:v>
                </c:pt>
                <c:pt idx="67" formatCode="mmm\-yy">
                  <c:v>40817</c:v>
                </c:pt>
                <c:pt idx="68" formatCode="mmm\-yy">
                  <c:v>40848</c:v>
                </c:pt>
                <c:pt idx="69" formatCode="mmm\-yy">
                  <c:v>40878</c:v>
                </c:pt>
                <c:pt idx="70" formatCode="mmm\-yy">
                  <c:v>40909</c:v>
                </c:pt>
                <c:pt idx="71" formatCode="mmm\-yy">
                  <c:v>40940</c:v>
                </c:pt>
                <c:pt idx="72" formatCode="mmm\-yy">
                  <c:v>40969</c:v>
                </c:pt>
                <c:pt idx="73" formatCode="mmm\-yy">
                  <c:v>41000</c:v>
                </c:pt>
                <c:pt idx="74" formatCode="mmm\-yy">
                  <c:v>41030</c:v>
                </c:pt>
                <c:pt idx="75" formatCode="mmm\-yy">
                  <c:v>41061</c:v>
                </c:pt>
                <c:pt idx="76" formatCode="mmm\-yy">
                  <c:v>41091</c:v>
                </c:pt>
                <c:pt idx="77" formatCode="mmm\-yy">
                  <c:v>41122</c:v>
                </c:pt>
                <c:pt idx="78" formatCode="mmm\-yy">
                  <c:v>41153</c:v>
                </c:pt>
                <c:pt idx="79" formatCode="mmm\-yy">
                  <c:v>41183</c:v>
                </c:pt>
                <c:pt idx="80" formatCode="mmm\-yy">
                  <c:v>41214</c:v>
                </c:pt>
                <c:pt idx="81" formatCode="mmm\-yy">
                  <c:v>41244</c:v>
                </c:pt>
                <c:pt idx="82" formatCode="General">
                  <c:v>2013</c:v>
                </c:pt>
                <c:pt idx="83" formatCode="General">
                  <c:v>2014</c:v>
                </c:pt>
                <c:pt idx="84" formatCode="General">
                  <c:v>2015</c:v>
                </c:pt>
              </c:numCache>
            </c:numRef>
          </c:cat>
          <c:val>
            <c:numRef>
              <c:f>Load!$L$12:$L$96</c:f>
              <c:numCache>
                <c:formatCode>0.00</c:formatCode>
                <c:ptCount val="85"/>
                <c:pt idx="0">
                  <c:v>85.560744500000013</c:v>
                </c:pt>
                <c:pt idx="1">
                  <c:v>9.3494205000000026</c:v>
                </c:pt>
                <c:pt idx="2">
                  <c:v>86.415592908750014</c:v>
                </c:pt>
                <c:pt idx="3">
                  <c:v>4.2376916231999999</c:v>
                </c:pt>
                <c:pt idx="4">
                  <c:v>0.25800425000000005</c:v>
                </c:pt>
                <c:pt idx="5">
                  <c:v>72.000259776900009</c:v>
                </c:pt>
                <c:pt idx="6">
                  <c:v>37.723717001250002</c:v>
                </c:pt>
                <c:pt idx="7">
                  <c:v>48.826113000000007</c:v>
                </c:pt>
                <c:pt idx="8">
                  <c:v>125.77809300000001</c:v>
                </c:pt>
                <c:pt idx="9">
                  <c:v>113.00450000000001</c:v>
                </c:pt>
                <c:pt idx="10" formatCode="#,##0.00">
                  <c:v>1288.5780600000001</c:v>
                </c:pt>
                <c:pt idx="11" formatCode="#,##0.00">
                  <c:v>275.61896639970001</c:v>
                </c:pt>
                <c:pt idx="12" formatCode="#,##0.00">
                  <c:v>11.582375805000002</c:v>
                </c:pt>
                <c:pt idx="13" formatCode="#,##0.00">
                  <c:v>182.72817745087499</c:v>
                </c:pt>
                <c:pt idx="14" formatCode="#,##0.00">
                  <c:v>506.20569999999998</c:v>
                </c:pt>
                <c:pt idx="15" formatCode="#,##0.00">
                  <c:v>153.68516763075004</c:v>
                </c:pt>
                <c:pt idx="16" formatCode="#,##0.00">
                  <c:v>2.2873200000000002</c:v>
                </c:pt>
                <c:pt idx="17" formatCode="#,##0.00">
                  <c:v>82.615820000000014</c:v>
                </c:pt>
                <c:pt idx="18" formatCode="#,##0.00">
                  <c:v>195.40248000000005</c:v>
                </c:pt>
                <c:pt idx="19" formatCode="#,##0.00">
                  <c:v>261.51691999999997</c:v>
                </c:pt>
                <c:pt idx="20" formatCode="#,##0.00">
                  <c:v>221.37989999999999</c:v>
                </c:pt>
                <c:pt idx="21" formatCode="#,##0.00">
                  <c:v>187.61470000000003</c:v>
                </c:pt>
                <c:pt idx="22" formatCode="#,##0.00">
                  <c:v>71.233680000000007</c:v>
                </c:pt>
                <c:pt idx="23" formatCode="#,##0.00">
                  <c:v>396.87725</c:v>
                </c:pt>
                <c:pt idx="24" formatCode="#,##0.00">
                  <c:v>322.1309</c:v>
                </c:pt>
                <c:pt idx="25" formatCode="#,##0.00">
                  <c:v>71.859970000000004</c:v>
                </c:pt>
                <c:pt idx="26" formatCode="#,##0.00">
                  <c:v>10.892000000000001</c:v>
                </c:pt>
                <c:pt idx="27" formatCode="#,##0.00">
                  <c:v>2.1783999999999999</c:v>
                </c:pt>
                <c:pt idx="28" formatCode="#,##0.00">
                  <c:v>130.70400000000001</c:v>
                </c:pt>
                <c:pt idx="29" formatCode="#,##0.00">
                  <c:v>58.544500000000006</c:v>
                </c:pt>
                <c:pt idx="30" formatCode="#,##0.00">
                  <c:v>79.59329000000001</c:v>
                </c:pt>
                <c:pt idx="31" formatCode="#,##0.00">
                  <c:v>70.906920000000014</c:v>
                </c:pt>
                <c:pt idx="32" formatCode="#,##0.00">
                  <c:v>79.075919999999996</c:v>
                </c:pt>
                <c:pt idx="33" formatCode="#,##0.00">
                  <c:v>46.563300000000005</c:v>
                </c:pt>
                <c:pt idx="34" formatCode="#,##0.00">
                  <c:v>50.974560000000011</c:v>
                </c:pt>
                <c:pt idx="35" formatCode="#,##0.00">
                  <c:v>52.717279999999995</c:v>
                </c:pt>
                <c:pt idx="36" formatCode="#,##0.00">
                  <c:v>67.094719999999995</c:v>
                </c:pt>
                <c:pt idx="37" formatCode="#,##0.00">
                  <c:v>558.51452999999992</c:v>
                </c:pt>
                <c:pt idx="38" formatCode="#,##0.00">
                  <c:v>77.175266000000008</c:v>
                </c:pt>
                <c:pt idx="39" formatCode="#,##0.00">
                  <c:v>124.00541999999999</c:v>
                </c:pt>
                <c:pt idx="40" formatCode="#,##0.00">
                  <c:v>59.443090000000005</c:v>
                </c:pt>
                <c:pt idx="41" formatCode="#,##0.00">
                  <c:v>163.38000000000002</c:v>
                </c:pt>
                <c:pt idx="42" formatCode="#,##0.00">
                  <c:v>83.105960000000024</c:v>
                </c:pt>
                <c:pt idx="43" formatCode="#,##0.00">
                  <c:v>222.85032000000001</c:v>
                </c:pt>
                <c:pt idx="44" formatCode="#,##0.00">
                  <c:v>459.94193000000001</c:v>
                </c:pt>
                <c:pt idx="45" formatCode="#,##0.00">
                  <c:v>201.50200000000001</c:v>
                </c:pt>
                <c:pt idx="46" formatCode="#,##0.00">
                  <c:v>262.93774981320001</c:v>
                </c:pt>
                <c:pt idx="47" formatCode="#,##0.00">
                  <c:v>195.68761404360004</c:v>
                </c:pt>
                <c:pt idx="48" formatCode="#,##0.00">
                  <c:v>515.3131288515001</c:v>
                </c:pt>
                <c:pt idx="49" formatCode="#,##0.00">
                  <c:v>1036.6460999999999</c:v>
                </c:pt>
                <c:pt idx="50" formatCode="#,##0.00">
                  <c:v>177.54243192000004</c:v>
                </c:pt>
                <c:pt idx="51" formatCode="#,##0.00">
                  <c:v>87.507684053999995</c:v>
                </c:pt>
                <c:pt idx="52" formatCode="#,##0.00">
                  <c:v>72.898771354500013</c:v>
                </c:pt>
                <c:pt idx="53" formatCode="#,##0.00">
                  <c:v>101.69001974250003</c:v>
                </c:pt>
                <c:pt idx="54" formatCode="#,##0.00">
                  <c:v>110.5538</c:v>
                </c:pt>
                <c:pt idx="55" formatCode="#,##0.00">
                  <c:v>173.55096702719999</c:v>
                </c:pt>
                <c:pt idx="56" formatCode="#,##0.00">
                  <c:v>212.56980423210004</c:v>
                </c:pt>
                <c:pt idx="57" formatCode="#,##0.00">
                  <c:v>330.51348803550013</c:v>
                </c:pt>
                <c:pt idx="58" formatCode="#,##0.00">
                  <c:v>162.29080000000002</c:v>
                </c:pt>
                <c:pt idx="59" formatCode="#,##0.00">
                  <c:v>78.42240000000001</c:v>
                </c:pt>
                <c:pt idx="60" formatCode="#,##0.00">
                  <c:v>59.797080000000001</c:v>
                </c:pt>
                <c:pt idx="61" formatCode="#,##0.00">
                  <c:v>301.59948000000003</c:v>
                </c:pt>
                <c:pt idx="62" formatCode="#,##0.00">
                  <c:v>62.465620000000001</c:v>
                </c:pt>
                <c:pt idx="63" formatCode="#,##0.00">
                  <c:v>24.507000000000001</c:v>
                </c:pt>
                <c:pt idx="64" formatCode="#,##0.00">
                  <c:v>41.429267302500008</c:v>
                </c:pt>
                <c:pt idx="65" formatCode="#,##0.00">
                  <c:v>58.201843398299992</c:v>
                </c:pt>
                <c:pt idx="66" formatCode="#,##0.00">
                  <c:v>59.792057698800001</c:v>
                </c:pt>
                <c:pt idx="67" formatCode="#,##0.00">
                  <c:v>95.07807607200003</c:v>
                </c:pt>
                <c:pt idx="68" formatCode="#,##0.00">
                  <c:v>220.11913738500002</c:v>
                </c:pt>
                <c:pt idx="69" formatCode="#,##0.00">
                  <c:v>271.10187999999999</c:v>
                </c:pt>
                <c:pt idx="70" formatCode="#,##0.00">
                  <c:v>324.70502106420008</c:v>
                </c:pt>
                <c:pt idx="71" formatCode="#,##0.00">
                  <c:v>147.56324755199998</c:v>
                </c:pt>
                <c:pt idx="72" formatCode="#,##0.00">
                  <c:v>168.92449635600008</c:v>
                </c:pt>
                <c:pt idx="73" formatCode="#,##0.00">
                  <c:v>92.335023900000024</c:v>
                </c:pt>
                <c:pt idx="74" formatCode="#,##0.00">
                  <c:v>82.021579709999983</c:v>
                </c:pt>
                <c:pt idx="75" formatCode="#,##0.00">
                  <c:v>90.196739136000005</c:v>
                </c:pt>
                <c:pt idx="76" formatCode="#,##0.00">
                  <c:v>29.728637870400004</c:v>
                </c:pt>
                <c:pt idx="77" formatCode="#,##0.00">
                  <c:v>53.12989673460001</c:v>
                </c:pt>
                <c:pt idx="78" formatCode="#,##0.00">
                  <c:v>26.647563914999996</c:v>
                </c:pt>
                <c:pt idx="79" formatCode="#,##0.00">
                  <c:v>23.769519018000008</c:v>
                </c:pt>
                <c:pt idx="80" formatCode="#,##0.00">
                  <c:v>49.259070000000001</c:v>
                </c:pt>
                <c:pt idx="81" formatCode="#,##0.00">
                  <c:v>190.50108000000003</c:v>
                </c:pt>
                <c:pt idx="82" formatCode="General">
                  <c:v>402.9</c:v>
                </c:pt>
                <c:pt idx="83" formatCode="General">
                  <c:v>541.6</c:v>
                </c:pt>
                <c:pt idx="84" formatCode="General">
                  <c:v>1560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7-4692-9ECB-8BF60261CCD0}"/>
            </c:ext>
          </c:extLst>
        </c:ser>
        <c:ser>
          <c:idx val="1"/>
          <c:order val="1"/>
          <c:tx>
            <c:strRef>
              <c:f>Load!$T$48</c:f>
              <c:strCache>
                <c:ptCount val="1"/>
                <c:pt idx="0">
                  <c:v>Nitrate Loading Above Project </c:v>
                </c:pt>
              </c:strCache>
            </c:strRef>
          </c:tx>
          <c:cat>
            <c:numRef>
              <c:f>Load!$K$12:$K$96</c:f>
              <c:numCache>
                <c:formatCode>[$-409]mmm\-yy;@</c:formatCode>
                <c:ptCount val="85"/>
                <c:pt idx="0">
                  <c:v>38782</c:v>
                </c:pt>
                <c:pt idx="1">
                  <c:v>38813</c:v>
                </c:pt>
                <c:pt idx="2">
                  <c:v>38843</c:v>
                </c:pt>
                <c:pt idx="3">
                  <c:v>38874</c:v>
                </c:pt>
                <c:pt idx="4">
                  <c:v>38904</c:v>
                </c:pt>
                <c:pt idx="5">
                  <c:v>38935</c:v>
                </c:pt>
                <c:pt idx="6">
                  <c:v>38966</c:v>
                </c:pt>
                <c:pt idx="7">
                  <c:v>38996</c:v>
                </c:pt>
                <c:pt idx="8">
                  <c:v>39027</c:v>
                </c:pt>
                <c:pt idx="9">
                  <c:v>39057</c:v>
                </c:pt>
                <c:pt idx="10">
                  <c:v>39088</c:v>
                </c:pt>
                <c:pt idx="11">
                  <c:v>39119</c:v>
                </c:pt>
                <c:pt idx="12">
                  <c:v>39147</c:v>
                </c:pt>
                <c:pt idx="13">
                  <c:v>39178</c:v>
                </c:pt>
                <c:pt idx="14">
                  <c:v>39208</c:v>
                </c:pt>
                <c:pt idx="15">
                  <c:v>39239</c:v>
                </c:pt>
                <c:pt idx="16">
                  <c:v>39269</c:v>
                </c:pt>
                <c:pt idx="17">
                  <c:v>39300</c:v>
                </c:pt>
                <c:pt idx="18">
                  <c:v>39331</c:v>
                </c:pt>
                <c:pt idx="19">
                  <c:v>39361</c:v>
                </c:pt>
                <c:pt idx="20">
                  <c:v>39392</c:v>
                </c:pt>
                <c:pt idx="21">
                  <c:v>39422</c:v>
                </c:pt>
                <c:pt idx="22">
                  <c:v>39453</c:v>
                </c:pt>
                <c:pt idx="23">
                  <c:v>39484</c:v>
                </c:pt>
                <c:pt idx="24">
                  <c:v>39513</c:v>
                </c:pt>
                <c:pt idx="25">
                  <c:v>39544</c:v>
                </c:pt>
                <c:pt idx="26">
                  <c:v>39574</c:v>
                </c:pt>
                <c:pt idx="27">
                  <c:v>39605</c:v>
                </c:pt>
                <c:pt idx="28">
                  <c:v>39635</c:v>
                </c:pt>
                <c:pt idx="29">
                  <c:v>39666</c:v>
                </c:pt>
                <c:pt idx="30">
                  <c:v>39697</c:v>
                </c:pt>
                <c:pt idx="31">
                  <c:v>39727</c:v>
                </c:pt>
                <c:pt idx="32">
                  <c:v>39758</c:v>
                </c:pt>
                <c:pt idx="33">
                  <c:v>39788</c:v>
                </c:pt>
                <c:pt idx="34">
                  <c:v>39839</c:v>
                </c:pt>
                <c:pt idx="35">
                  <c:v>39867</c:v>
                </c:pt>
                <c:pt idx="36">
                  <c:v>39895</c:v>
                </c:pt>
                <c:pt idx="37">
                  <c:v>39923</c:v>
                </c:pt>
                <c:pt idx="38">
                  <c:v>39951</c:v>
                </c:pt>
                <c:pt idx="39">
                  <c:v>39979</c:v>
                </c:pt>
                <c:pt idx="40">
                  <c:v>40007</c:v>
                </c:pt>
                <c:pt idx="41">
                  <c:v>40035</c:v>
                </c:pt>
                <c:pt idx="42">
                  <c:v>40063</c:v>
                </c:pt>
                <c:pt idx="43">
                  <c:v>40091</c:v>
                </c:pt>
                <c:pt idx="44">
                  <c:v>40119</c:v>
                </c:pt>
                <c:pt idx="45">
                  <c:v>40175</c:v>
                </c:pt>
                <c:pt idx="46">
                  <c:v>40179</c:v>
                </c:pt>
                <c:pt idx="47">
                  <c:v>40219</c:v>
                </c:pt>
                <c:pt idx="48">
                  <c:v>40259</c:v>
                </c:pt>
                <c:pt idx="49">
                  <c:v>40278</c:v>
                </c:pt>
                <c:pt idx="50">
                  <c:v>40316</c:v>
                </c:pt>
                <c:pt idx="51">
                  <c:v>40335</c:v>
                </c:pt>
                <c:pt idx="52">
                  <c:v>40373</c:v>
                </c:pt>
                <c:pt idx="53">
                  <c:v>40392</c:v>
                </c:pt>
                <c:pt idx="54">
                  <c:v>40431</c:v>
                </c:pt>
                <c:pt idx="55">
                  <c:v>40452</c:v>
                </c:pt>
                <c:pt idx="56" formatCode="mmm\-yy">
                  <c:v>40483</c:v>
                </c:pt>
                <c:pt idx="57" formatCode="mmm\-yy">
                  <c:v>40513</c:v>
                </c:pt>
                <c:pt idx="58" formatCode="mmm\-yy">
                  <c:v>40544</c:v>
                </c:pt>
                <c:pt idx="59" formatCode="mmm\-yy">
                  <c:v>40575</c:v>
                </c:pt>
                <c:pt idx="60" formatCode="mmm\-yy">
                  <c:v>40603</c:v>
                </c:pt>
                <c:pt idx="61" formatCode="mmm\-yy">
                  <c:v>40634</c:v>
                </c:pt>
                <c:pt idx="62" formatCode="mmm\-yy">
                  <c:v>40664</c:v>
                </c:pt>
                <c:pt idx="63" formatCode="mmm\-yy">
                  <c:v>40695</c:v>
                </c:pt>
                <c:pt idx="64" formatCode="mmm\-yy">
                  <c:v>40725</c:v>
                </c:pt>
                <c:pt idx="65" formatCode="mmm\-yy">
                  <c:v>40756</c:v>
                </c:pt>
                <c:pt idx="66" formatCode="mmm\-yy">
                  <c:v>40787</c:v>
                </c:pt>
                <c:pt idx="67" formatCode="mmm\-yy">
                  <c:v>40817</c:v>
                </c:pt>
                <c:pt idx="68" formatCode="mmm\-yy">
                  <c:v>40848</c:v>
                </c:pt>
                <c:pt idx="69" formatCode="mmm\-yy">
                  <c:v>40878</c:v>
                </c:pt>
                <c:pt idx="70" formatCode="mmm\-yy">
                  <c:v>40909</c:v>
                </c:pt>
                <c:pt idx="71" formatCode="mmm\-yy">
                  <c:v>40940</c:v>
                </c:pt>
                <c:pt idx="72" formatCode="mmm\-yy">
                  <c:v>40969</c:v>
                </c:pt>
                <c:pt idx="73" formatCode="mmm\-yy">
                  <c:v>41000</c:v>
                </c:pt>
                <c:pt idx="74" formatCode="mmm\-yy">
                  <c:v>41030</c:v>
                </c:pt>
                <c:pt idx="75" formatCode="mmm\-yy">
                  <c:v>41061</c:v>
                </c:pt>
                <c:pt idx="76" formatCode="mmm\-yy">
                  <c:v>41091</c:v>
                </c:pt>
                <c:pt idx="77" formatCode="mmm\-yy">
                  <c:v>41122</c:v>
                </c:pt>
                <c:pt idx="78" formatCode="mmm\-yy">
                  <c:v>41153</c:v>
                </c:pt>
                <c:pt idx="79" formatCode="mmm\-yy">
                  <c:v>41183</c:v>
                </c:pt>
                <c:pt idx="80" formatCode="mmm\-yy">
                  <c:v>41214</c:v>
                </c:pt>
                <c:pt idx="81" formatCode="mmm\-yy">
                  <c:v>41244</c:v>
                </c:pt>
                <c:pt idx="82" formatCode="General">
                  <c:v>2013</c:v>
                </c:pt>
                <c:pt idx="83" formatCode="General">
                  <c:v>2014</c:v>
                </c:pt>
                <c:pt idx="84" formatCode="General">
                  <c:v>2015</c:v>
                </c:pt>
              </c:numCache>
            </c:numRef>
          </c:cat>
          <c:val>
            <c:numRef>
              <c:f>Load!$N$12:$N$96</c:f>
              <c:numCache>
                <c:formatCode>General</c:formatCode>
                <c:ptCount val="85"/>
                <c:pt idx="13" formatCode="#,##0.00">
                  <c:v>133.31808000000001</c:v>
                </c:pt>
                <c:pt idx="14" formatCode="#,##0.00">
                  <c:v>430.45184</c:v>
                </c:pt>
                <c:pt idx="15" formatCode="#,##0.00">
                  <c:v>81.690000000000012</c:v>
                </c:pt>
                <c:pt idx="16" formatCode="#,##0.00">
                  <c:v>34.854399999999998</c:v>
                </c:pt>
                <c:pt idx="17" formatCode="#,##0.00">
                  <c:v>114.85614</c:v>
                </c:pt>
                <c:pt idx="18" formatCode="#,##0.00">
                  <c:v>227.96956</c:v>
                </c:pt>
                <c:pt idx="19" formatCode="#,##0.00">
                  <c:v>482.24329999999998</c:v>
                </c:pt>
                <c:pt idx="20" formatCode="#,##0.00">
                  <c:v>226.28130000000002</c:v>
                </c:pt>
                <c:pt idx="21" formatCode="#,##0.00">
                  <c:v>161.58282000000003</c:v>
                </c:pt>
                <c:pt idx="22" formatCode="#,##0.00">
                  <c:v>72.758560000000003</c:v>
                </c:pt>
                <c:pt idx="23" formatCode="#,##0.00">
                  <c:v>398.37490000000003</c:v>
                </c:pt>
                <c:pt idx="24" formatCode="#,##0.00">
                  <c:v>355.75995</c:v>
                </c:pt>
                <c:pt idx="25" formatCode="#,##0.00">
                  <c:v>102.98385999999999</c:v>
                </c:pt>
                <c:pt idx="26" formatCode="#,##0.00">
                  <c:v>21.92015</c:v>
                </c:pt>
                <c:pt idx="27" formatCode="#,##0.00">
                  <c:v>23.690100000000001</c:v>
                </c:pt>
                <c:pt idx="28" formatCode="#,##0.00">
                  <c:v>217.2954</c:v>
                </c:pt>
                <c:pt idx="29" formatCode="#,##0.00">
                  <c:v>118.34158000000001</c:v>
                </c:pt>
                <c:pt idx="30" formatCode="#,##0.00">
                  <c:v>105.78855000000001</c:v>
                </c:pt>
                <c:pt idx="31" formatCode="#,##0.00">
                  <c:v>81.417699999999996</c:v>
                </c:pt>
                <c:pt idx="32" formatCode="#,##0.00">
                  <c:v>177.26730000000001</c:v>
                </c:pt>
                <c:pt idx="33" formatCode="#,##0.00">
                  <c:v>51.464700000000008</c:v>
                </c:pt>
                <c:pt idx="34" formatCode="#,##0.00">
                  <c:v>0</c:v>
                </c:pt>
                <c:pt idx="35" formatCode="#,##0.00">
                  <c:v>201.06631999999999</c:v>
                </c:pt>
                <c:pt idx="36" formatCode="#,##0.00">
                  <c:v>99.988560000000021</c:v>
                </c:pt>
                <c:pt idx="37" formatCode="#,##0.00">
                  <c:v>687.33965999999998</c:v>
                </c:pt>
                <c:pt idx="38" formatCode="#,##0.00">
                  <c:v>136.78173600000002</c:v>
                </c:pt>
                <c:pt idx="39" formatCode="#,##0.00">
                  <c:v>163.21662000000001</c:v>
                </c:pt>
                <c:pt idx="40" formatCode="#,##0.00">
                  <c:v>113.41295000000001</c:v>
                </c:pt>
                <c:pt idx="41" formatCode="#,##0.00">
                  <c:v>175.33397000000002</c:v>
                </c:pt>
                <c:pt idx="42" formatCode="#,##0.00">
                  <c:v>119.51247000000001</c:v>
                </c:pt>
                <c:pt idx="43" formatCode="#,##0.00">
                  <c:v>211.74048000000005</c:v>
                </c:pt>
                <c:pt idx="44" formatCode="#,##0.00">
                  <c:v>401.42466000000002</c:v>
                </c:pt>
                <c:pt idx="45" formatCode="#,##0.00">
                  <c:v>421.95607999999999</c:v>
                </c:pt>
                <c:pt idx="46" formatCode="#,##0.00">
                  <c:v>108.13457243400002</c:v>
                </c:pt>
                <c:pt idx="47" formatCode="#,##0.00">
                  <c:v>260.77570632959998</c:v>
                </c:pt>
                <c:pt idx="48" formatCode="#,##0.00">
                  <c:v>537.49243356900013</c:v>
                </c:pt>
                <c:pt idx="49" formatCode="#,##0.00">
                  <c:v>859.20169608000003</c:v>
                </c:pt>
                <c:pt idx="50" formatCode="#,##0.00">
                  <c:v>220.30812720000006</c:v>
                </c:pt>
                <c:pt idx="51" formatCode="#,##0.00">
                  <c:v>105.48871502399999</c:v>
                </c:pt>
                <c:pt idx="52" formatCode="#,##0.00">
                  <c:v>81.937884220500024</c:v>
                </c:pt>
                <c:pt idx="53" formatCode="#,##0.00">
                  <c:v>211.38132828120004</c:v>
                </c:pt>
                <c:pt idx="54" formatCode="#,##0.00">
                  <c:v>148.13119999999998</c:v>
                </c:pt>
                <c:pt idx="55" formatCode="#,##0.00">
                  <c:v>115.16499355200001</c:v>
                </c:pt>
                <c:pt idx="56" formatCode="#,##0.00">
                  <c:v>188.58267694140005</c:v>
                </c:pt>
                <c:pt idx="57" formatCode="#,##0.00">
                  <c:v>468.2595246546</c:v>
                </c:pt>
                <c:pt idx="58" formatCode="#,##0.00">
                  <c:v>169.58844000000002</c:v>
                </c:pt>
                <c:pt idx="59" formatCode="#,##0.00">
                  <c:v>71.887199999999993</c:v>
                </c:pt>
                <c:pt idx="60" formatCode="#,##0.00">
                  <c:v>95.577300000000008</c:v>
                </c:pt>
                <c:pt idx="61" formatCode="#,##0.00">
                  <c:v>285.58823999999998</c:v>
                </c:pt>
                <c:pt idx="62" formatCode="#,##0.00">
                  <c:v>105.87024000000002</c:v>
                </c:pt>
                <c:pt idx="63" formatCode="#,##0.00">
                  <c:v>46.291000000000004</c:v>
                </c:pt>
                <c:pt idx="64" formatCode="#,##0.00">
                  <c:v>84.515705297100013</c:v>
                </c:pt>
                <c:pt idx="65" formatCode="#,##0.00">
                  <c:v>102.05827989630002</c:v>
                </c:pt>
                <c:pt idx="66" formatCode="#,##0.00">
                  <c:v>109.27283109120002</c:v>
                </c:pt>
                <c:pt idx="67" formatCode="#,##0.00">
                  <c:v>153.19622398080003</c:v>
                </c:pt>
                <c:pt idx="68" formatCode="#,##0.00">
                  <c:v>395.87966533500008</c:v>
                </c:pt>
                <c:pt idx="69" formatCode="#,##0.00">
                  <c:v>468.79168000000004</c:v>
                </c:pt>
                <c:pt idx="70" formatCode="#,##0.00">
                  <c:v>159.08838644160002</c:v>
                </c:pt>
                <c:pt idx="71" formatCode="#,##0.00">
                  <c:v>196.91226804479996</c:v>
                </c:pt>
                <c:pt idx="72" formatCode="#,##0.00">
                  <c:v>203.05605694500002</c:v>
                </c:pt>
                <c:pt idx="73" formatCode="#,##0.00">
                  <c:v>223.5479526</c:v>
                </c:pt>
                <c:pt idx="74" formatCode="#,##0.00">
                  <c:v>107.11348746210003</c:v>
                </c:pt>
                <c:pt idx="75" formatCode="#,##0.00">
                  <c:v>43.154474327999999</c:v>
                </c:pt>
                <c:pt idx="76" formatCode="#,##0.00">
                  <c:v>14.730406152</c:v>
                </c:pt>
                <c:pt idx="77" formatCode="#,##0.00">
                  <c:v>45.195564330000003</c:v>
                </c:pt>
                <c:pt idx="78" formatCode="#,##0.00">
                  <c:v>53.78110164000001</c:v>
                </c:pt>
                <c:pt idx="79" formatCode="#,##0.00">
                  <c:v>35.989060485000003</c:v>
                </c:pt>
                <c:pt idx="80" formatCode="#,##0.00">
                  <c:v>80.818640000000016</c:v>
                </c:pt>
                <c:pt idx="81" formatCode="#,##0.00">
                  <c:v>89.859000000000009</c:v>
                </c:pt>
                <c:pt idx="82">
                  <c:v>393.9</c:v>
                </c:pt>
                <c:pt idx="83">
                  <c:v>788.1</c:v>
                </c:pt>
                <c:pt idx="84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7-4692-9ECB-8BF60261C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90688"/>
        <c:axId val="101896576"/>
        <c:axId val="0"/>
      </c:area3DChart>
      <c:catAx>
        <c:axId val="10189068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600000" vert="horz"/>
          <a:lstStyle/>
          <a:p>
            <a:pPr>
              <a:defRPr/>
            </a:pPr>
            <a:endParaRPr lang="en-US"/>
          </a:p>
        </c:txPr>
        <c:crossAx val="101896576"/>
        <c:crosses val="autoZero"/>
        <c:auto val="1"/>
        <c:lblAlgn val="ctr"/>
        <c:lblOffset val="100"/>
        <c:tickLblSkip val="6"/>
        <c:noMultiLvlLbl val="0"/>
      </c:catAx>
      <c:valAx>
        <c:axId val="10189657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890688"/>
        <c:crossesAt val="38777"/>
        <c:crossBetween val="midCat"/>
      </c:valAx>
    </c:plotArea>
    <c:legend>
      <c:legendPos val="t"/>
      <c:overlay val="0"/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389" l="0.70000000000000062" r="0.70000000000000062" t="0.75000000000000389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 pitchFamily="18" charset="0"/>
                <a:ea typeface="Calibri"/>
                <a:cs typeface="Times New Roman" pitchFamily="18" charset="0"/>
              </a:defRPr>
            </a:pPr>
            <a:r>
              <a:rPr lang="en-US" sz="1400" b="1">
                <a:latin typeface="+mn-lt"/>
                <a:cs typeface="Times New Roman" pitchFamily="18" charset="0"/>
              </a:rPr>
              <a:t>Pre-Construction Total Phosphorus Increased Loading at Project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Load!$D$4</c:f>
              <c:strCache>
                <c:ptCount val="1"/>
                <c:pt idx="0">
                  <c:v>Coyote Gulch Above Project</c:v>
                </c:pt>
              </c:strCache>
            </c:strRef>
          </c:tx>
          <c:spPr>
            <a:solidFill>
              <a:srgbClr val="1F497D"/>
            </a:solidFill>
          </c:spPr>
          <c:cat>
            <c:numRef>
              <c:f>Load!$A$9:$A$42</c:f>
              <c:numCache>
                <c:formatCode>[$-409]mmmm\ d\,\ yyyy;@</c:formatCode>
                <c:ptCount val="34"/>
                <c:pt idx="0">
                  <c:v>38390</c:v>
                </c:pt>
                <c:pt idx="1">
                  <c:v>38413</c:v>
                </c:pt>
                <c:pt idx="2">
                  <c:v>38447</c:v>
                </c:pt>
                <c:pt idx="3">
                  <c:v>38455</c:v>
                </c:pt>
                <c:pt idx="4">
                  <c:v>38482</c:v>
                </c:pt>
                <c:pt idx="5">
                  <c:v>38519</c:v>
                </c:pt>
                <c:pt idx="6">
                  <c:v>38539</c:v>
                </c:pt>
                <c:pt idx="7">
                  <c:v>38568</c:v>
                </c:pt>
                <c:pt idx="8">
                  <c:v>38604</c:v>
                </c:pt>
                <c:pt idx="9">
                  <c:v>38636</c:v>
                </c:pt>
                <c:pt idx="10">
                  <c:v>38674</c:v>
                </c:pt>
                <c:pt idx="11">
                  <c:v>38694</c:v>
                </c:pt>
                <c:pt idx="12">
                  <c:v>38722</c:v>
                </c:pt>
                <c:pt idx="13">
                  <c:v>38755</c:v>
                </c:pt>
                <c:pt idx="14">
                  <c:v>38797</c:v>
                </c:pt>
                <c:pt idx="15">
                  <c:v>38817</c:v>
                </c:pt>
                <c:pt idx="16">
                  <c:v>38840</c:v>
                </c:pt>
                <c:pt idx="17">
                  <c:v>38881</c:v>
                </c:pt>
                <c:pt idx="18">
                  <c:v>38903</c:v>
                </c:pt>
                <c:pt idx="19">
                  <c:v>38908</c:v>
                </c:pt>
                <c:pt idx="20">
                  <c:v>38939</c:v>
                </c:pt>
                <c:pt idx="21">
                  <c:v>38947</c:v>
                </c:pt>
                <c:pt idx="22">
                  <c:v>38967</c:v>
                </c:pt>
                <c:pt idx="23">
                  <c:v>38995</c:v>
                </c:pt>
                <c:pt idx="24">
                  <c:v>39010</c:v>
                </c:pt>
                <c:pt idx="25">
                  <c:v>39036</c:v>
                </c:pt>
                <c:pt idx="26">
                  <c:v>39041</c:v>
                </c:pt>
                <c:pt idx="27">
                  <c:v>39056</c:v>
                </c:pt>
                <c:pt idx="28">
                  <c:v>39100</c:v>
                </c:pt>
                <c:pt idx="29">
                  <c:v>39121</c:v>
                </c:pt>
                <c:pt idx="30">
                  <c:v>39164</c:v>
                </c:pt>
                <c:pt idx="31">
                  <c:v>39197</c:v>
                </c:pt>
                <c:pt idx="32">
                  <c:v>39212</c:v>
                </c:pt>
                <c:pt idx="33">
                  <c:v>39253</c:v>
                </c:pt>
              </c:numCache>
            </c:numRef>
          </c:cat>
          <c:val>
            <c:numRef>
              <c:f>Load!$D$9:$D$42</c:f>
              <c:numCache>
                <c:formatCode>General</c:formatCode>
                <c:ptCount val="34"/>
                <c:pt idx="0">
                  <c:v>30</c:v>
                </c:pt>
                <c:pt idx="1">
                  <c:v>40</c:v>
                </c:pt>
                <c:pt idx="2">
                  <c:v>170</c:v>
                </c:pt>
                <c:pt idx="4">
                  <c:v>320</c:v>
                </c:pt>
                <c:pt idx="5">
                  <c:v>120</c:v>
                </c:pt>
                <c:pt idx="6">
                  <c:v>140</c:v>
                </c:pt>
                <c:pt idx="7">
                  <c:v>280</c:v>
                </c:pt>
                <c:pt idx="8">
                  <c:v>70</c:v>
                </c:pt>
                <c:pt idx="9">
                  <c:v>260</c:v>
                </c:pt>
                <c:pt idx="10">
                  <c:v>180</c:v>
                </c:pt>
                <c:pt idx="11">
                  <c:v>10</c:v>
                </c:pt>
                <c:pt idx="12">
                  <c:v>10</c:v>
                </c:pt>
                <c:pt idx="13">
                  <c:v>30</c:v>
                </c:pt>
                <c:pt idx="14">
                  <c:v>70</c:v>
                </c:pt>
                <c:pt idx="15" formatCode="#,##0">
                  <c:v>3910</c:v>
                </c:pt>
                <c:pt idx="16">
                  <c:v>70</c:v>
                </c:pt>
                <c:pt idx="17">
                  <c:v>160</c:v>
                </c:pt>
                <c:pt idx="18">
                  <c:v>280</c:v>
                </c:pt>
                <c:pt idx="19">
                  <c:v>160</c:v>
                </c:pt>
                <c:pt idx="20">
                  <c:v>70</c:v>
                </c:pt>
                <c:pt idx="21">
                  <c:v>160</c:v>
                </c:pt>
                <c:pt idx="22">
                  <c:v>80</c:v>
                </c:pt>
                <c:pt idx="23">
                  <c:v>160</c:v>
                </c:pt>
                <c:pt idx="24">
                  <c:v>30</c:v>
                </c:pt>
                <c:pt idx="25">
                  <c:v>10</c:v>
                </c:pt>
                <c:pt idx="26">
                  <c:v>10</c:v>
                </c:pt>
                <c:pt idx="27">
                  <c:v>60</c:v>
                </c:pt>
                <c:pt idx="31">
                  <c:v>380</c:v>
                </c:pt>
                <c:pt idx="32">
                  <c:v>70</c:v>
                </c:pt>
                <c:pt idx="3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7-43F0-BEB8-DCD687E4416E}"/>
            </c:ext>
          </c:extLst>
        </c:ser>
        <c:ser>
          <c:idx val="1"/>
          <c:order val="1"/>
          <c:tx>
            <c:strRef>
              <c:f>Load!$E$4</c:f>
              <c:strCache>
                <c:ptCount val="1"/>
                <c:pt idx="0">
                  <c:v>Coyote Gulch at Reservoir</c:v>
                </c:pt>
              </c:strCache>
            </c:strRef>
          </c:tx>
          <c:spPr>
            <a:solidFill>
              <a:srgbClr val="4F81BD"/>
            </a:solidFill>
          </c:spPr>
          <c:cat>
            <c:numRef>
              <c:f>Load!$A$9:$A$42</c:f>
              <c:numCache>
                <c:formatCode>[$-409]mmmm\ d\,\ yyyy;@</c:formatCode>
                <c:ptCount val="34"/>
                <c:pt idx="0">
                  <c:v>38390</c:v>
                </c:pt>
                <c:pt idx="1">
                  <c:v>38413</c:v>
                </c:pt>
                <c:pt idx="2">
                  <c:v>38447</c:v>
                </c:pt>
                <c:pt idx="3">
                  <c:v>38455</c:v>
                </c:pt>
                <c:pt idx="4">
                  <c:v>38482</c:v>
                </c:pt>
                <c:pt idx="5">
                  <c:v>38519</c:v>
                </c:pt>
                <c:pt idx="6">
                  <c:v>38539</c:v>
                </c:pt>
                <c:pt idx="7">
                  <c:v>38568</c:v>
                </c:pt>
                <c:pt idx="8">
                  <c:v>38604</c:v>
                </c:pt>
                <c:pt idx="9">
                  <c:v>38636</c:v>
                </c:pt>
                <c:pt idx="10">
                  <c:v>38674</c:v>
                </c:pt>
                <c:pt idx="11">
                  <c:v>38694</c:v>
                </c:pt>
                <c:pt idx="12">
                  <c:v>38722</c:v>
                </c:pt>
                <c:pt idx="13">
                  <c:v>38755</c:v>
                </c:pt>
                <c:pt idx="14">
                  <c:v>38797</c:v>
                </c:pt>
                <c:pt idx="15">
                  <c:v>38817</c:v>
                </c:pt>
                <c:pt idx="16">
                  <c:v>38840</c:v>
                </c:pt>
                <c:pt idx="17">
                  <c:v>38881</c:v>
                </c:pt>
                <c:pt idx="18">
                  <c:v>38903</c:v>
                </c:pt>
                <c:pt idx="19">
                  <c:v>38908</c:v>
                </c:pt>
                <c:pt idx="20">
                  <c:v>38939</c:v>
                </c:pt>
                <c:pt idx="21">
                  <c:v>38947</c:v>
                </c:pt>
                <c:pt idx="22">
                  <c:v>38967</c:v>
                </c:pt>
                <c:pt idx="23">
                  <c:v>38995</c:v>
                </c:pt>
                <c:pt idx="24">
                  <c:v>39010</c:v>
                </c:pt>
                <c:pt idx="25">
                  <c:v>39036</c:v>
                </c:pt>
                <c:pt idx="26">
                  <c:v>39041</c:v>
                </c:pt>
                <c:pt idx="27">
                  <c:v>39056</c:v>
                </c:pt>
                <c:pt idx="28">
                  <c:v>39100</c:v>
                </c:pt>
                <c:pt idx="29">
                  <c:v>39121</c:v>
                </c:pt>
                <c:pt idx="30">
                  <c:v>39164</c:v>
                </c:pt>
                <c:pt idx="31">
                  <c:v>39197</c:v>
                </c:pt>
                <c:pt idx="32">
                  <c:v>39212</c:v>
                </c:pt>
                <c:pt idx="33">
                  <c:v>39253</c:v>
                </c:pt>
              </c:numCache>
            </c:numRef>
          </c:cat>
          <c:val>
            <c:numRef>
              <c:f>Load!$E$9:$E$42</c:f>
              <c:numCache>
                <c:formatCode>General</c:formatCode>
                <c:ptCount val="34"/>
                <c:pt idx="0">
                  <c:v>50</c:v>
                </c:pt>
                <c:pt idx="1">
                  <c:v>30</c:v>
                </c:pt>
                <c:pt idx="2">
                  <c:v>160</c:v>
                </c:pt>
                <c:pt idx="3">
                  <c:v>120</c:v>
                </c:pt>
                <c:pt idx="4">
                  <c:v>10</c:v>
                </c:pt>
                <c:pt idx="5">
                  <c:v>90</c:v>
                </c:pt>
                <c:pt idx="6">
                  <c:v>60</c:v>
                </c:pt>
                <c:pt idx="7">
                  <c:v>810</c:v>
                </c:pt>
                <c:pt idx="8">
                  <c:v>50</c:v>
                </c:pt>
                <c:pt idx="9">
                  <c:v>230</c:v>
                </c:pt>
                <c:pt idx="10">
                  <c:v>140</c:v>
                </c:pt>
                <c:pt idx="11">
                  <c:v>10</c:v>
                </c:pt>
                <c:pt idx="12">
                  <c:v>30</c:v>
                </c:pt>
                <c:pt idx="13">
                  <c:v>100</c:v>
                </c:pt>
                <c:pt idx="14">
                  <c:v>170</c:v>
                </c:pt>
                <c:pt idx="15">
                  <c:v>420</c:v>
                </c:pt>
                <c:pt idx="16">
                  <c:v>30</c:v>
                </c:pt>
                <c:pt idx="17">
                  <c:v>180</c:v>
                </c:pt>
                <c:pt idx="18">
                  <c:v>160</c:v>
                </c:pt>
                <c:pt idx="19">
                  <c:v>80</c:v>
                </c:pt>
                <c:pt idx="21">
                  <c:v>110</c:v>
                </c:pt>
                <c:pt idx="22">
                  <c:v>80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30</c:v>
                </c:pt>
                <c:pt idx="28">
                  <c:v>10</c:v>
                </c:pt>
                <c:pt idx="29">
                  <c:v>50</c:v>
                </c:pt>
                <c:pt idx="30">
                  <c:v>190</c:v>
                </c:pt>
                <c:pt idx="31">
                  <c:v>270</c:v>
                </c:pt>
                <c:pt idx="32">
                  <c:v>60</c:v>
                </c:pt>
                <c:pt idx="3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7-43F0-BEB8-DCD687E44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8064"/>
        <c:axId val="50009600"/>
      </c:areaChart>
      <c:dateAx>
        <c:axId val="50008064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09600"/>
        <c:crosses val="autoZero"/>
        <c:auto val="1"/>
        <c:lblOffset val="100"/>
        <c:baseTimeUnit val="days"/>
        <c:majorUnit val="3"/>
        <c:majorTimeUnit val="months"/>
      </c:dateAx>
      <c:valAx>
        <c:axId val="50009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08064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overlay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Total Phosphorus Reductions at Project</a:t>
            </a:r>
          </a:p>
        </c:rich>
      </c:tx>
      <c:overlay val="0"/>
    </c:title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0"/>
          <c:order val="0"/>
          <c:tx>
            <c:strRef>
              <c:f>Load!$T$50</c:f>
              <c:strCache>
                <c:ptCount val="1"/>
                <c:pt idx="0">
                  <c:v>Total Phosphorus Loading Reservoir </c:v>
                </c:pt>
              </c:strCache>
            </c:strRef>
          </c:tx>
          <c:cat>
            <c:numRef>
              <c:f>Load!$K$12:$K$93</c:f>
              <c:numCache>
                <c:formatCode>[$-409]mmm\-yy;@</c:formatCode>
                <c:ptCount val="82"/>
                <c:pt idx="0">
                  <c:v>38782</c:v>
                </c:pt>
                <c:pt idx="1">
                  <c:v>38813</c:v>
                </c:pt>
                <c:pt idx="2">
                  <c:v>38843</c:v>
                </c:pt>
                <c:pt idx="3">
                  <c:v>38874</c:v>
                </c:pt>
                <c:pt idx="4">
                  <c:v>38904</c:v>
                </c:pt>
                <c:pt idx="5">
                  <c:v>38935</c:v>
                </c:pt>
                <c:pt idx="6">
                  <c:v>38966</c:v>
                </c:pt>
                <c:pt idx="7">
                  <c:v>38996</c:v>
                </c:pt>
                <c:pt idx="8">
                  <c:v>39027</c:v>
                </c:pt>
                <c:pt idx="9">
                  <c:v>39057</c:v>
                </c:pt>
                <c:pt idx="10">
                  <c:v>39088</c:v>
                </c:pt>
                <c:pt idx="11">
                  <c:v>39119</c:v>
                </c:pt>
                <c:pt idx="12">
                  <c:v>39147</c:v>
                </c:pt>
                <c:pt idx="13">
                  <c:v>39178</c:v>
                </c:pt>
                <c:pt idx="14">
                  <c:v>39208</c:v>
                </c:pt>
                <c:pt idx="15">
                  <c:v>39239</c:v>
                </c:pt>
                <c:pt idx="16">
                  <c:v>39269</c:v>
                </c:pt>
                <c:pt idx="17">
                  <c:v>39300</c:v>
                </c:pt>
                <c:pt idx="18">
                  <c:v>39331</c:v>
                </c:pt>
                <c:pt idx="19">
                  <c:v>39361</c:v>
                </c:pt>
                <c:pt idx="20">
                  <c:v>39392</c:v>
                </c:pt>
                <c:pt idx="21">
                  <c:v>39422</c:v>
                </c:pt>
                <c:pt idx="22">
                  <c:v>39453</c:v>
                </c:pt>
                <c:pt idx="23">
                  <c:v>39484</c:v>
                </c:pt>
                <c:pt idx="24">
                  <c:v>39513</c:v>
                </c:pt>
                <c:pt idx="25">
                  <c:v>39544</c:v>
                </c:pt>
                <c:pt idx="26">
                  <c:v>39574</c:v>
                </c:pt>
                <c:pt idx="27">
                  <c:v>39605</c:v>
                </c:pt>
                <c:pt idx="28">
                  <c:v>39635</c:v>
                </c:pt>
                <c:pt idx="29">
                  <c:v>39666</c:v>
                </c:pt>
                <c:pt idx="30">
                  <c:v>39697</c:v>
                </c:pt>
                <c:pt idx="31">
                  <c:v>39727</c:v>
                </c:pt>
                <c:pt idx="32">
                  <c:v>39758</c:v>
                </c:pt>
                <c:pt idx="33">
                  <c:v>39788</c:v>
                </c:pt>
                <c:pt idx="34">
                  <c:v>39839</c:v>
                </c:pt>
                <c:pt idx="35">
                  <c:v>39867</c:v>
                </c:pt>
                <c:pt idx="36">
                  <c:v>39895</c:v>
                </c:pt>
                <c:pt idx="37">
                  <c:v>39923</c:v>
                </c:pt>
                <c:pt idx="38">
                  <c:v>39951</c:v>
                </c:pt>
                <c:pt idx="39">
                  <c:v>39979</c:v>
                </c:pt>
                <c:pt idx="40">
                  <c:v>40007</c:v>
                </c:pt>
                <c:pt idx="41">
                  <c:v>40035</c:v>
                </c:pt>
                <c:pt idx="42">
                  <c:v>40063</c:v>
                </c:pt>
                <c:pt idx="43">
                  <c:v>40091</c:v>
                </c:pt>
                <c:pt idx="44">
                  <c:v>40119</c:v>
                </c:pt>
                <c:pt idx="45">
                  <c:v>40175</c:v>
                </c:pt>
                <c:pt idx="46">
                  <c:v>40179</c:v>
                </c:pt>
                <c:pt idx="47">
                  <c:v>40219</c:v>
                </c:pt>
                <c:pt idx="48">
                  <c:v>40259</c:v>
                </c:pt>
                <c:pt idx="49">
                  <c:v>40278</c:v>
                </c:pt>
                <c:pt idx="50">
                  <c:v>40316</c:v>
                </c:pt>
                <c:pt idx="51">
                  <c:v>40335</c:v>
                </c:pt>
                <c:pt idx="52">
                  <c:v>40373</c:v>
                </c:pt>
                <c:pt idx="53">
                  <c:v>40392</c:v>
                </c:pt>
                <c:pt idx="54">
                  <c:v>40431</c:v>
                </c:pt>
                <c:pt idx="55">
                  <c:v>40452</c:v>
                </c:pt>
                <c:pt idx="56" formatCode="mmm\-yy">
                  <c:v>40483</c:v>
                </c:pt>
                <c:pt idx="57" formatCode="mmm\-yy">
                  <c:v>40513</c:v>
                </c:pt>
                <c:pt idx="58" formatCode="mmm\-yy">
                  <c:v>40544</c:v>
                </c:pt>
                <c:pt idx="59" formatCode="mmm\-yy">
                  <c:v>40575</c:v>
                </c:pt>
                <c:pt idx="60" formatCode="mmm\-yy">
                  <c:v>40603</c:v>
                </c:pt>
                <c:pt idx="61" formatCode="mmm\-yy">
                  <c:v>40634</c:v>
                </c:pt>
                <c:pt idx="62" formatCode="mmm\-yy">
                  <c:v>40664</c:v>
                </c:pt>
                <c:pt idx="63" formatCode="mmm\-yy">
                  <c:v>40695</c:v>
                </c:pt>
                <c:pt idx="64" formatCode="mmm\-yy">
                  <c:v>40725</c:v>
                </c:pt>
                <c:pt idx="65" formatCode="mmm\-yy">
                  <c:v>40756</c:v>
                </c:pt>
                <c:pt idx="66" formatCode="mmm\-yy">
                  <c:v>40787</c:v>
                </c:pt>
                <c:pt idx="67" formatCode="mmm\-yy">
                  <c:v>40817</c:v>
                </c:pt>
                <c:pt idx="68" formatCode="mmm\-yy">
                  <c:v>40848</c:v>
                </c:pt>
                <c:pt idx="69" formatCode="mmm\-yy">
                  <c:v>40878</c:v>
                </c:pt>
                <c:pt idx="70" formatCode="mmm\-yy">
                  <c:v>40909</c:v>
                </c:pt>
                <c:pt idx="71" formatCode="mmm\-yy">
                  <c:v>40940</c:v>
                </c:pt>
                <c:pt idx="72" formatCode="mmm\-yy">
                  <c:v>40969</c:v>
                </c:pt>
                <c:pt idx="73" formatCode="mmm\-yy">
                  <c:v>41000</c:v>
                </c:pt>
                <c:pt idx="74" formatCode="mmm\-yy">
                  <c:v>41030</c:v>
                </c:pt>
                <c:pt idx="75" formatCode="mmm\-yy">
                  <c:v>41061</c:v>
                </c:pt>
                <c:pt idx="76" formatCode="mmm\-yy">
                  <c:v>41091</c:v>
                </c:pt>
                <c:pt idx="77" formatCode="mmm\-yy">
                  <c:v>41122</c:v>
                </c:pt>
                <c:pt idx="78" formatCode="mmm\-yy">
                  <c:v>41153</c:v>
                </c:pt>
                <c:pt idx="79" formatCode="mmm\-yy">
                  <c:v>41183</c:v>
                </c:pt>
                <c:pt idx="80" formatCode="mmm\-yy">
                  <c:v>41214</c:v>
                </c:pt>
                <c:pt idx="81" formatCode="mmm\-yy">
                  <c:v>41244</c:v>
                </c:pt>
              </c:numCache>
            </c:numRef>
          </c:cat>
          <c:val>
            <c:numRef>
              <c:f>Load!$M$12:$M$93</c:f>
              <c:numCache>
                <c:formatCode>0.00</c:formatCode>
                <c:ptCount val="82"/>
                <c:pt idx="0">
                  <c:v>6.4371719999999994</c:v>
                </c:pt>
                <c:pt idx="1">
                  <c:v>192.77614650000001</c:v>
                </c:pt>
                <c:pt idx="2">
                  <c:v>7.1141166075000015</c:v>
                </c:pt>
                <c:pt idx="3">
                  <c:v>0.44061625440000007</c:v>
                </c:pt>
                <c:pt idx="4">
                  <c:v>4.6291000000000006E-2</c:v>
                </c:pt>
                <c:pt idx="5">
                  <c:v>3.1026727914000007</c:v>
                </c:pt>
                <c:pt idx="6">
                  <c:v>1.4903196840000001</c:v>
                </c:pt>
                <c:pt idx="7">
                  <c:v>1.2294345</c:v>
                </c:pt>
                <c:pt idx="8">
                  <c:v>0.47107900000000003</c:v>
                </c:pt>
                <c:pt idx="9">
                  <c:v>2.0422500000000001</c:v>
                </c:pt>
                <c:pt idx="10" formatCode="#,##0.00">
                  <c:v>6.5079700000000003</c:v>
                </c:pt>
                <c:pt idx="11" formatCode="#,##0.00">
                  <c:v>17.897335480500001</c:v>
                </c:pt>
                <c:pt idx="12" formatCode="#,##0.00">
                  <c:v>20.005921845</c:v>
                </c:pt>
                <c:pt idx="13" formatCode="#,##0.00">
                  <c:v>23.162726719125004</c:v>
                </c:pt>
                <c:pt idx="14" formatCode="#,##0.00">
                  <c:v>17.971799999999998</c:v>
                </c:pt>
                <c:pt idx="15" formatCode="#,##0.00">
                  <c:v>13.461474537000001</c:v>
                </c:pt>
                <c:pt idx="16" formatCode="#,##0.00">
                  <c:v>2.8591500000000005</c:v>
                </c:pt>
                <c:pt idx="17" formatCode="#,##0.00">
                  <c:v>10.075100000000001</c:v>
                </c:pt>
                <c:pt idx="18" formatCode="#,##0.00">
                  <c:v>2.5051600000000001</c:v>
                </c:pt>
                <c:pt idx="19" formatCode="#,##0.00">
                  <c:v>1.3342700000000001</c:v>
                </c:pt>
                <c:pt idx="20" formatCode="#,##0.00">
                  <c:v>6.5352000000000006</c:v>
                </c:pt>
                <c:pt idx="21" formatCode="#,##0.00">
                  <c:v>3.5399000000000007</c:v>
                </c:pt>
                <c:pt idx="22" formatCode="#,##0.00">
                  <c:v>1.30704</c:v>
                </c:pt>
                <c:pt idx="23" formatCode="#,##0.00">
                  <c:v>7.4882500000000007</c:v>
                </c:pt>
                <c:pt idx="24" formatCode="#,##0.00">
                  <c:v>5.30985</c:v>
                </c:pt>
                <c:pt idx="25" formatCode="#,##0.00">
                  <c:v>2.3690099999999998</c:v>
                </c:pt>
                <c:pt idx="26" formatCode="#,##0.00">
                  <c:v>2.7230000000000003</c:v>
                </c:pt>
                <c:pt idx="27" formatCode="#,##0.00">
                  <c:v>0.87136000000000002</c:v>
                </c:pt>
                <c:pt idx="28" formatCode="#,##0.00">
                  <c:v>3.2675999999999998</c:v>
                </c:pt>
                <c:pt idx="29" formatCode="#,##0.00">
                  <c:v>9.3671199999999999</c:v>
                </c:pt>
                <c:pt idx="30" formatCode="#,##0.00">
                  <c:v>3.04976</c:v>
                </c:pt>
                <c:pt idx="31" formatCode="#,##0.00">
                  <c:v>1.30704</c:v>
                </c:pt>
                <c:pt idx="32" formatCode="#,##0.00">
                  <c:v>6.0450600000000003</c:v>
                </c:pt>
                <c:pt idx="33" formatCode="#,##0.00">
                  <c:v>0.73521000000000003</c:v>
                </c:pt>
                <c:pt idx="34" formatCode="#,##0.00">
                  <c:v>0.73521000000000003</c:v>
                </c:pt>
                <c:pt idx="35" formatCode="#,##0.00">
                  <c:v>0.65351999999999999</c:v>
                </c:pt>
                <c:pt idx="36" formatCode="#,##0.00">
                  <c:v>1.9061000000000003</c:v>
                </c:pt>
                <c:pt idx="37" formatCode="#,##0.00">
                  <c:v>116.89839000000001</c:v>
                </c:pt>
                <c:pt idx="38" formatCode="#,##0.00">
                  <c:v>12.514907999999998</c:v>
                </c:pt>
                <c:pt idx="39" formatCode="#,##0.00">
                  <c:v>7.18872</c:v>
                </c:pt>
                <c:pt idx="40" formatCode="#,##0.00">
                  <c:v>9.0675900000000009</c:v>
                </c:pt>
                <c:pt idx="41" formatCode="#,##0.00">
                  <c:v>10.891999999999999</c:v>
                </c:pt>
                <c:pt idx="42" formatCode="#,##0.00">
                  <c:v>4.5746399999999996</c:v>
                </c:pt>
                <c:pt idx="43" formatCode="#,##0.00">
                  <c:v>3.59436</c:v>
                </c:pt>
                <c:pt idx="44" formatCode="#,##0.00">
                  <c:v>18.107950000000002</c:v>
                </c:pt>
                <c:pt idx="45" formatCode="#,##0.00">
                  <c:v>4.0845000000000002</c:v>
                </c:pt>
                <c:pt idx="46" formatCode="#,##0.00">
                  <c:v>2.9460812304000004</c:v>
                </c:pt>
                <c:pt idx="47" formatCode="#,##0.00">
                  <c:v>2.6004998544000002</c:v>
                </c:pt>
                <c:pt idx="48" formatCode="#,##0.00">
                  <c:v>31.469504051999998</c:v>
                </c:pt>
                <c:pt idx="49" formatCode="#,##0.00">
                  <c:v>99.253349999999998</c:v>
                </c:pt>
                <c:pt idx="50" formatCode="#,##0.00">
                  <c:v>6.4796508000000017</c:v>
                </c:pt>
                <c:pt idx="51" formatCode="#,##0.00">
                  <c:v>10.788618582</c:v>
                </c:pt>
                <c:pt idx="52" formatCode="#,##0.00">
                  <c:v>9.7923722715000014</c:v>
                </c:pt>
                <c:pt idx="53" formatCode="#,##0.00">
                  <c:v>8.1352015794000003</c:v>
                </c:pt>
                <c:pt idx="54" formatCode="#,##0.00">
                  <c:v>10.26571</c:v>
                </c:pt>
                <c:pt idx="55" formatCode="#,##0.00">
                  <c:v>6.0260752440000003</c:v>
                </c:pt>
                <c:pt idx="56" formatCode="#,##0.00">
                  <c:v>0.42684699645000002</c:v>
                </c:pt>
                <c:pt idx="57" formatCode="#,##0.00">
                  <c:v>0.46032519225000013</c:v>
                </c:pt>
                <c:pt idx="58" formatCode="#,##0.00">
                  <c:v>2.1783999999999999</c:v>
                </c:pt>
                <c:pt idx="59" formatCode="#,##0.00">
                  <c:v>1.9605600000000001</c:v>
                </c:pt>
                <c:pt idx="60" formatCode="#,##0.00">
                  <c:v>1.4704200000000001</c:v>
                </c:pt>
                <c:pt idx="61" formatCode="#,##0.00">
                  <c:v>42.478800000000007</c:v>
                </c:pt>
                <c:pt idx="62" formatCode="#,##0.00">
                  <c:v>14.10514</c:v>
                </c:pt>
                <c:pt idx="63" formatCode="#,##0.00">
                  <c:v>10.619700000000002</c:v>
                </c:pt>
                <c:pt idx="64" formatCode="#,##0.00">
                  <c:v>12.805409893500002</c:v>
                </c:pt>
                <c:pt idx="65" formatCode="#,##0.00">
                  <c:v>2.8623857408999998</c:v>
                </c:pt>
                <c:pt idx="66" formatCode="#,##0.00">
                  <c:v>8.2691143626000017</c:v>
                </c:pt>
                <c:pt idx="67" formatCode="#,##0.00">
                  <c:v>10.713022656000003</c:v>
                </c:pt>
                <c:pt idx="68" formatCode="#,##0.00">
                  <c:v>0.83695489500000009</c:v>
                </c:pt>
                <c:pt idx="69" formatCode="#,##0.00">
                  <c:v>1.03474</c:v>
                </c:pt>
                <c:pt idx="70" formatCode="#,##0.00">
                  <c:v>1.7743443774000003</c:v>
                </c:pt>
                <c:pt idx="71" formatCode="#,##0.00">
                  <c:v>0.92227029719999998</c:v>
                </c:pt>
                <c:pt idx="72" formatCode="#,##0.00">
                  <c:v>1.2797310330000002</c:v>
                </c:pt>
                <c:pt idx="73" formatCode="#,##0.00">
                  <c:v>1.231133652</c:v>
                </c:pt>
                <c:pt idx="74" formatCode="#,##0.00">
                  <c:v>9.3738948239999988</c:v>
                </c:pt>
                <c:pt idx="75" formatCode="#,##0.00">
                  <c:v>8.2939530240000003</c:v>
                </c:pt>
                <c:pt idx="76" formatCode="#,##0.00">
                  <c:v>3.6156451464000003</c:v>
                </c:pt>
                <c:pt idx="77" formatCode="#,##0.00">
                  <c:v>3.8499925170000013</c:v>
                </c:pt>
                <c:pt idx="78" formatCode="#,##0.00">
                  <c:v>1.1339388899999998</c:v>
                </c:pt>
                <c:pt idx="79" formatCode="#,##0.00">
                  <c:v>0.3347819580000001</c:v>
                </c:pt>
                <c:pt idx="80" formatCode="#,##0.00">
                  <c:v>0.24507000000000001</c:v>
                </c:pt>
                <c:pt idx="81" formatCode="#,##0.00">
                  <c:v>0.89859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B9D-95CD-308DE51320AC}"/>
            </c:ext>
          </c:extLst>
        </c:ser>
        <c:ser>
          <c:idx val="1"/>
          <c:order val="1"/>
          <c:tx>
            <c:strRef>
              <c:f>Load!$T$51</c:f>
              <c:strCache>
                <c:ptCount val="1"/>
                <c:pt idx="0">
                  <c:v>Total Phosphorus Loading Above Project </c:v>
                </c:pt>
              </c:strCache>
            </c:strRef>
          </c:tx>
          <c:cat>
            <c:numRef>
              <c:f>Load!$K$12:$K$93</c:f>
              <c:numCache>
                <c:formatCode>[$-409]mmm\-yy;@</c:formatCode>
                <c:ptCount val="82"/>
                <c:pt idx="0">
                  <c:v>38782</c:v>
                </c:pt>
                <c:pt idx="1">
                  <c:v>38813</c:v>
                </c:pt>
                <c:pt idx="2">
                  <c:v>38843</c:v>
                </c:pt>
                <c:pt idx="3">
                  <c:v>38874</c:v>
                </c:pt>
                <c:pt idx="4">
                  <c:v>38904</c:v>
                </c:pt>
                <c:pt idx="5">
                  <c:v>38935</c:v>
                </c:pt>
                <c:pt idx="6">
                  <c:v>38966</c:v>
                </c:pt>
                <c:pt idx="7">
                  <c:v>38996</c:v>
                </c:pt>
                <c:pt idx="8">
                  <c:v>39027</c:v>
                </c:pt>
                <c:pt idx="9">
                  <c:v>39057</c:v>
                </c:pt>
                <c:pt idx="10">
                  <c:v>39088</c:v>
                </c:pt>
                <c:pt idx="11">
                  <c:v>39119</c:v>
                </c:pt>
                <c:pt idx="12">
                  <c:v>39147</c:v>
                </c:pt>
                <c:pt idx="13">
                  <c:v>39178</c:v>
                </c:pt>
                <c:pt idx="14">
                  <c:v>39208</c:v>
                </c:pt>
                <c:pt idx="15">
                  <c:v>39239</c:v>
                </c:pt>
                <c:pt idx="16">
                  <c:v>39269</c:v>
                </c:pt>
                <c:pt idx="17">
                  <c:v>39300</c:v>
                </c:pt>
                <c:pt idx="18">
                  <c:v>39331</c:v>
                </c:pt>
                <c:pt idx="19">
                  <c:v>39361</c:v>
                </c:pt>
                <c:pt idx="20">
                  <c:v>39392</c:v>
                </c:pt>
                <c:pt idx="21">
                  <c:v>39422</c:v>
                </c:pt>
                <c:pt idx="22">
                  <c:v>39453</c:v>
                </c:pt>
                <c:pt idx="23">
                  <c:v>39484</c:v>
                </c:pt>
                <c:pt idx="24">
                  <c:v>39513</c:v>
                </c:pt>
                <c:pt idx="25">
                  <c:v>39544</c:v>
                </c:pt>
                <c:pt idx="26">
                  <c:v>39574</c:v>
                </c:pt>
                <c:pt idx="27">
                  <c:v>39605</c:v>
                </c:pt>
                <c:pt idx="28">
                  <c:v>39635</c:v>
                </c:pt>
                <c:pt idx="29">
                  <c:v>39666</c:v>
                </c:pt>
                <c:pt idx="30">
                  <c:v>39697</c:v>
                </c:pt>
                <c:pt idx="31">
                  <c:v>39727</c:v>
                </c:pt>
                <c:pt idx="32">
                  <c:v>39758</c:v>
                </c:pt>
                <c:pt idx="33">
                  <c:v>39788</c:v>
                </c:pt>
                <c:pt idx="34">
                  <c:v>39839</c:v>
                </c:pt>
                <c:pt idx="35">
                  <c:v>39867</c:v>
                </c:pt>
                <c:pt idx="36">
                  <c:v>39895</c:v>
                </c:pt>
                <c:pt idx="37">
                  <c:v>39923</c:v>
                </c:pt>
                <c:pt idx="38">
                  <c:v>39951</c:v>
                </c:pt>
                <c:pt idx="39">
                  <c:v>39979</c:v>
                </c:pt>
                <c:pt idx="40">
                  <c:v>40007</c:v>
                </c:pt>
                <c:pt idx="41">
                  <c:v>40035</c:v>
                </c:pt>
                <c:pt idx="42">
                  <c:v>40063</c:v>
                </c:pt>
                <c:pt idx="43">
                  <c:v>40091</c:v>
                </c:pt>
                <c:pt idx="44">
                  <c:v>40119</c:v>
                </c:pt>
                <c:pt idx="45">
                  <c:v>40175</c:v>
                </c:pt>
                <c:pt idx="46">
                  <c:v>40179</c:v>
                </c:pt>
                <c:pt idx="47">
                  <c:v>40219</c:v>
                </c:pt>
                <c:pt idx="48">
                  <c:v>40259</c:v>
                </c:pt>
                <c:pt idx="49">
                  <c:v>40278</c:v>
                </c:pt>
                <c:pt idx="50">
                  <c:v>40316</c:v>
                </c:pt>
                <c:pt idx="51">
                  <c:v>40335</c:v>
                </c:pt>
                <c:pt idx="52">
                  <c:v>40373</c:v>
                </c:pt>
                <c:pt idx="53">
                  <c:v>40392</c:v>
                </c:pt>
                <c:pt idx="54">
                  <c:v>40431</c:v>
                </c:pt>
                <c:pt idx="55">
                  <c:v>40452</c:v>
                </c:pt>
                <c:pt idx="56" formatCode="mmm\-yy">
                  <c:v>40483</c:v>
                </c:pt>
                <c:pt idx="57" formatCode="mmm\-yy">
                  <c:v>40513</c:v>
                </c:pt>
                <c:pt idx="58" formatCode="mmm\-yy">
                  <c:v>40544</c:v>
                </c:pt>
                <c:pt idx="59" formatCode="mmm\-yy">
                  <c:v>40575</c:v>
                </c:pt>
                <c:pt idx="60" formatCode="mmm\-yy">
                  <c:v>40603</c:v>
                </c:pt>
                <c:pt idx="61" formatCode="mmm\-yy">
                  <c:v>40634</c:v>
                </c:pt>
                <c:pt idx="62" formatCode="mmm\-yy">
                  <c:v>40664</c:v>
                </c:pt>
                <c:pt idx="63" formatCode="mmm\-yy">
                  <c:v>40695</c:v>
                </c:pt>
                <c:pt idx="64" formatCode="mmm\-yy">
                  <c:v>40725</c:v>
                </c:pt>
                <c:pt idx="65" formatCode="mmm\-yy">
                  <c:v>40756</c:v>
                </c:pt>
                <c:pt idx="66" formatCode="mmm\-yy">
                  <c:v>40787</c:v>
                </c:pt>
                <c:pt idx="67" formatCode="mmm\-yy">
                  <c:v>40817</c:v>
                </c:pt>
                <c:pt idx="68" formatCode="mmm\-yy">
                  <c:v>40848</c:v>
                </c:pt>
                <c:pt idx="69" formatCode="mmm\-yy">
                  <c:v>40878</c:v>
                </c:pt>
                <c:pt idx="70" formatCode="mmm\-yy">
                  <c:v>40909</c:v>
                </c:pt>
                <c:pt idx="71" formatCode="mmm\-yy">
                  <c:v>40940</c:v>
                </c:pt>
                <c:pt idx="72" formatCode="mmm\-yy">
                  <c:v>40969</c:v>
                </c:pt>
                <c:pt idx="73" formatCode="mmm\-yy">
                  <c:v>41000</c:v>
                </c:pt>
                <c:pt idx="74" formatCode="mmm\-yy">
                  <c:v>41030</c:v>
                </c:pt>
                <c:pt idx="75" formatCode="mmm\-yy">
                  <c:v>41061</c:v>
                </c:pt>
                <c:pt idx="76" formatCode="mmm\-yy">
                  <c:v>41091</c:v>
                </c:pt>
                <c:pt idx="77" formatCode="mmm\-yy">
                  <c:v>41122</c:v>
                </c:pt>
                <c:pt idx="78" formatCode="mmm\-yy">
                  <c:v>41153</c:v>
                </c:pt>
                <c:pt idx="79" formatCode="mmm\-yy">
                  <c:v>41183</c:v>
                </c:pt>
                <c:pt idx="80" formatCode="mmm\-yy">
                  <c:v>41214</c:v>
                </c:pt>
                <c:pt idx="81" formatCode="mmm\-yy">
                  <c:v>41244</c:v>
                </c:pt>
              </c:numCache>
            </c:numRef>
          </c:cat>
          <c:val>
            <c:numRef>
              <c:f>Load!$O$12:$O$93</c:f>
              <c:numCache>
                <c:formatCode>General</c:formatCode>
                <c:ptCount val="82"/>
                <c:pt idx="13" formatCode="#,##0.00">
                  <c:v>32.599393160250003</c:v>
                </c:pt>
                <c:pt idx="14" formatCode="#,##0.00">
                  <c:v>6.0051513716250007</c:v>
                </c:pt>
                <c:pt idx="15" formatCode="#,##0.00">
                  <c:v>7.8525268132500008</c:v>
                </c:pt>
                <c:pt idx="16" formatCode="#,##0.00">
                  <c:v>8.0056200000000004</c:v>
                </c:pt>
                <c:pt idx="17" formatCode="#,##0.00">
                  <c:v>12.090120000000001</c:v>
                </c:pt>
                <c:pt idx="18" formatCode="#,##0.00">
                  <c:v>6.262900000000001</c:v>
                </c:pt>
                <c:pt idx="19" formatCode="#,##0.00">
                  <c:v>2.6685400000000001</c:v>
                </c:pt>
                <c:pt idx="20" formatCode="#,##0.00">
                  <c:v>8.060080000000001</c:v>
                </c:pt>
                <c:pt idx="21" formatCode="#,##0.00">
                  <c:v>2.5051600000000001</c:v>
                </c:pt>
                <c:pt idx="22" formatCode="#,##0.00">
                  <c:v>0.68075000000000008</c:v>
                </c:pt>
                <c:pt idx="23" formatCode="#,##0.00">
                  <c:v>7.0525700000000002</c:v>
                </c:pt>
                <c:pt idx="24" formatCode="#,##0.00">
                  <c:v>1.6882600000000001</c:v>
                </c:pt>
                <c:pt idx="25" formatCode="#,##0.00">
                  <c:v>2.5323899999999999</c:v>
                </c:pt>
                <c:pt idx="26" formatCode="#,##0.00">
                  <c:v>2.5051600000000001</c:v>
                </c:pt>
                <c:pt idx="27" formatCode="#,##0.00">
                  <c:v>2.0422500000000001</c:v>
                </c:pt>
                <c:pt idx="28" formatCode="#,##0.00">
                  <c:v>6.2084400000000004</c:v>
                </c:pt>
                <c:pt idx="29" formatCode="#,##0.00">
                  <c:v>12.988710000000001</c:v>
                </c:pt>
                <c:pt idx="30" formatCode="#,##0.00">
                  <c:v>5.0375500000000004</c:v>
                </c:pt>
                <c:pt idx="31" formatCode="#,##0.00">
                  <c:v>2.1239400000000002</c:v>
                </c:pt>
                <c:pt idx="32" formatCode="#,##0.00">
                  <c:v>6.8619599999999998</c:v>
                </c:pt>
                <c:pt idx="33" formatCode="#,##0.00">
                  <c:v>0.98028000000000004</c:v>
                </c:pt>
                <c:pt idx="34" formatCode="#,##0.00">
                  <c:v>0</c:v>
                </c:pt>
                <c:pt idx="35" formatCode="#,##0.00">
                  <c:v>2.8319200000000002</c:v>
                </c:pt>
                <c:pt idx="36" formatCode="#,##0.00">
                  <c:v>2.77746</c:v>
                </c:pt>
                <c:pt idx="37" formatCode="#,##0.00">
                  <c:v>147.28707</c:v>
                </c:pt>
                <c:pt idx="38" formatCode="#,##0.00">
                  <c:v>13.152090000000001</c:v>
                </c:pt>
                <c:pt idx="39" formatCode="#,##0.00">
                  <c:v>9.0675900000000009</c:v>
                </c:pt>
                <c:pt idx="40" formatCode="#,##0.00">
                  <c:v>18.679780000000001</c:v>
                </c:pt>
                <c:pt idx="41" formatCode="#,##0.00">
                  <c:v>11.51829</c:v>
                </c:pt>
                <c:pt idx="42" formatCode="#,##0.00">
                  <c:v>6.2901300000000004</c:v>
                </c:pt>
                <c:pt idx="43" formatCode="#,##0.00">
                  <c:v>4.9014000000000006</c:v>
                </c:pt>
                <c:pt idx="44" formatCode="#,##0.00">
                  <c:v>15.929550000000003</c:v>
                </c:pt>
                <c:pt idx="45" formatCode="#,##0.00">
                  <c:v>12.743640000000001</c:v>
                </c:pt>
                <c:pt idx="46" formatCode="#,##0.00">
                  <c:v>1.1382586572000002</c:v>
                </c:pt>
                <c:pt idx="47" formatCode="#,##0.00">
                  <c:v>2.9633602992000005</c:v>
                </c:pt>
                <c:pt idx="48" formatCode="#,##0.00">
                  <c:v>33.0764574504</c:v>
                </c:pt>
                <c:pt idx="49" formatCode="#,##0.00">
                  <c:v>75.811914360000003</c:v>
                </c:pt>
                <c:pt idx="50" formatCode="#,##0.00">
                  <c:v>7.775580960000001</c:v>
                </c:pt>
                <c:pt idx="51" formatCode="#,##0.00">
                  <c:v>13.186089378</c:v>
                </c:pt>
                <c:pt idx="52" formatCode="#,##0.00">
                  <c:v>8.285853460500002</c:v>
                </c:pt>
                <c:pt idx="53" formatCode="#,##0.00">
                  <c:v>9.0223737681000014</c:v>
                </c:pt>
                <c:pt idx="54" formatCode="#,##0.00">
                  <c:v>12.96148</c:v>
                </c:pt>
                <c:pt idx="55" formatCode="#,##0.00">
                  <c:v>2.8791248388000006</c:v>
                </c:pt>
                <c:pt idx="56" formatCode="#,##0.00">
                  <c:v>0.35989060485000007</c:v>
                </c:pt>
                <c:pt idx="57" formatCode="#,##0.00">
                  <c:v>2.3769519018</c:v>
                </c:pt>
                <c:pt idx="58" formatCode="#,##0.00">
                  <c:v>2.9408400000000001</c:v>
                </c:pt>
                <c:pt idx="59" formatCode="#,##0.00">
                  <c:v>2.0422500000000001</c:v>
                </c:pt>
                <c:pt idx="60" formatCode="#,##0.00">
                  <c:v>1.6338000000000001</c:v>
                </c:pt>
                <c:pt idx="61" formatCode="#,##0.00">
                  <c:v>45.528560000000006</c:v>
                </c:pt>
                <c:pt idx="62" formatCode="#,##0.00">
                  <c:v>11.76336</c:v>
                </c:pt>
                <c:pt idx="63" formatCode="#,##0.00">
                  <c:v>13.070399999999999</c:v>
                </c:pt>
                <c:pt idx="64" formatCode="#,##0.00">
                  <c:v>15.366491872200001</c:v>
                </c:pt>
                <c:pt idx="65" formatCode="#,##0.00">
                  <c:v>3.3645586779000003</c:v>
                </c:pt>
                <c:pt idx="66" formatCode="#,##0.00">
                  <c:v>13.659103886400001</c:v>
                </c:pt>
                <c:pt idx="67" formatCode="#,##0.00">
                  <c:v>10.445197089600001</c:v>
                </c:pt>
                <c:pt idx="68" formatCode="#,##0.00">
                  <c:v>1.4395624194000003</c:v>
                </c:pt>
                <c:pt idx="69" formatCode="#,##0.00">
                  <c:v>1.74272</c:v>
                </c:pt>
                <c:pt idx="70" formatCode="#,##0.00">
                  <c:v>0.9039112866000002</c:v>
                </c:pt>
                <c:pt idx="71" formatCode="#,##0.00">
                  <c:v>1.1188197047999999</c:v>
                </c:pt>
                <c:pt idx="72" formatCode="#,##0.00">
                  <c:v>1.7657048430000004</c:v>
                </c:pt>
                <c:pt idx="73" formatCode="#,##0.00">
                  <c:v>1.9438952400000002</c:v>
                </c:pt>
                <c:pt idx="74" formatCode="#,##0.00">
                  <c:v>35.704495820700011</c:v>
                </c:pt>
                <c:pt idx="75" formatCode="#,##0.00">
                  <c:v>4.2765695280000005</c:v>
                </c:pt>
                <c:pt idx="76" formatCode="#,##0.00">
                  <c:v>3.2139067967999999</c:v>
                </c:pt>
                <c:pt idx="77" formatCode="#,##0.00">
                  <c:v>3.5152105590000002</c:v>
                </c:pt>
                <c:pt idx="78" formatCode="#,##0.00">
                  <c:v>4.535755560000001</c:v>
                </c:pt>
                <c:pt idx="79" formatCode="#,##0.00">
                  <c:v>0.41847744750000004</c:v>
                </c:pt>
                <c:pt idx="80" formatCode="#,##0.00">
                  <c:v>0.38122</c:v>
                </c:pt>
                <c:pt idx="81" formatCode="#,##0.00">
                  <c:v>0.40845000000000004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B9D-95CD-308DE513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1312"/>
        <c:axId val="50062848"/>
        <c:axId val="0"/>
      </c:area3DChart>
      <c:dateAx>
        <c:axId val="5006131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062848"/>
        <c:crosses val="autoZero"/>
        <c:auto val="1"/>
        <c:lblOffset val="100"/>
        <c:baseTimeUnit val="days"/>
      </c:dateAx>
      <c:valAx>
        <c:axId val="50062848"/>
        <c:scaling>
          <c:orientation val="minMax"/>
        </c:scaling>
        <c:delete val="0"/>
        <c:axPos val="l"/>
        <c:majorGridlines/>
        <c:min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061312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Average Loading Pounds By Year Reservoir Nitrogen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Load!$T$86:$T$88</c:f>
              <c:strCache>
                <c:ptCount val="3"/>
                <c:pt idx="0">
                  <c:v>Average Loading Pounds By Year</c:v>
                </c:pt>
                <c:pt idx="1">
                  <c:v>Reservoir</c:v>
                </c:pt>
                <c:pt idx="2">
                  <c:v>Nitrate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Load!$Q$89:$S$99</c:f>
              <c:multiLvlStrCache>
                <c:ptCount val="11"/>
                <c:lvl>
                  <c:pt idx="0">
                    <c:v>2006-2007</c:v>
                  </c:pt>
                  <c:pt idx="1">
                    <c:v>2007-2008</c:v>
                  </c:pt>
                  <c:pt idx="2">
                    <c:v>2009*</c:v>
                  </c:pt>
                  <c:pt idx="3">
                    <c:v>2010*</c:v>
                  </c:pt>
                  <c:pt idx="4">
                    <c:v>2011*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</c:lvl>
                <c:lvl>
                  <c:pt idx="0">
                    <c:v>Pre-construction</c:v>
                  </c:pt>
                  <c:pt idx="1">
                    <c:v>Post-Construction</c:v>
                  </c:pt>
                </c:lvl>
              </c:multiLvlStrCache>
            </c:multiLvlStrRef>
          </c:cat>
          <c:val>
            <c:numRef>
              <c:f>Load!$T$89:$T$99</c:f>
              <c:numCache>
                <c:formatCode>#,##0.0</c:formatCode>
                <c:ptCount val="11"/>
                <c:pt idx="0">
                  <c:v>200.68454918915739</c:v>
                </c:pt>
                <c:pt idx="1">
                  <c:v>128.68749671740787</c:v>
                </c:pt>
                <c:pt idx="2">
                  <c:v>142.01732236363637</c:v>
                </c:pt>
                <c:pt idx="3">
                  <c:v>203.7059508249182</c:v>
                </c:pt>
                <c:pt idx="4">
                  <c:v>103.01865107787275</c:v>
                </c:pt>
                <c:pt idx="5">
                  <c:v>106.56515627135002</c:v>
                </c:pt>
                <c:pt idx="6">
                  <c:v>80.599999999999994</c:v>
                </c:pt>
                <c:pt idx="7" formatCode="General">
                  <c:v>90.3</c:v>
                </c:pt>
                <c:pt idx="8" formatCode="General">
                  <c:v>260</c:v>
                </c:pt>
                <c:pt idx="9" formatCode="General">
                  <c:v>470.3</c:v>
                </c:pt>
                <c:pt idx="10" formatCode="General">
                  <c:v>225.6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7-48E8-9158-43F43DBB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7040"/>
        <c:axId val="50088576"/>
      </c:barChart>
      <c:catAx>
        <c:axId val="5008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50088576"/>
        <c:crosses val="autoZero"/>
        <c:auto val="1"/>
        <c:lblAlgn val="ctr"/>
        <c:lblOffset val="100"/>
        <c:noMultiLvlLbl val="0"/>
      </c:catAx>
      <c:valAx>
        <c:axId val="50088576"/>
        <c:scaling>
          <c:orientation val="minMax"/>
        </c:scaling>
        <c:delete val="0"/>
        <c:axPos val="l"/>
        <c:majorGridlines/>
        <c:minorGridlines/>
        <c:numFmt formatCode="#,##0.0" sourceLinked="1"/>
        <c:majorTickMark val="out"/>
        <c:minorTickMark val="none"/>
        <c:tickLblPos val="nextTo"/>
        <c:crossAx val="50087040"/>
        <c:crosses val="autoZero"/>
        <c:crossBetween val="between"/>
      </c:valAx>
    </c:plotArea>
    <c:plotVisOnly val="1"/>
    <c:dispBlanksAs val="zero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Average Total Phosphorus Loading</a:t>
            </a:r>
          </a:p>
          <a:p>
            <a:pPr>
              <a:defRPr sz="1400"/>
            </a:pPr>
            <a:r>
              <a:rPr lang="en-US" sz="1400"/>
              <a:t> into Bear Creek Reservoir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Load!$U$88</c:f>
              <c:strCache>
                <c:ptCount val="1"/>
                <c:pt idx="0">
                  <c:v>T Phos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multiLvlStrRef>
              <c:f>Load!$Q$89:$S$101</c:f>
              <c:multiLvlStrCache>
                <c:ptCount val="13"/>
                <c:lvl>
                  <c:pt idx="0">
                    <c:v>2006-2007</c:v>
                  </c:pt>
                  <c:pt idx="1">
                    <c:v>2007-2008</c:v>
                  </c:pt>
                  <c:pt idx="2">
                    <c:v>2009*</c:v>
                  </c:pt>
                  <c:pt idx="3">
                    <c:v>2010*</c:v>
                  </c:pt>
                  <c:pt idx="4">
                    <c:v>2011*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</c:lvl>
                <c:lvl>
                  <c:pt idx="0">
                    <c:v>Pre-construction</c:v>
                  </c:pt>
                  <c:pt idx="1">
                    <c:v>Post-Construction</c:v>
                  </c:pt>
                </c:lvl>
              </c:multiLvlStrCache>
            </c:multiLvlStrRef>
          </c:cat>
          <c:val>
            <c:numRef>
              <c:f>Load!$U$89:$U$101</c:f>
              <c:numCache>
                <c:formatCode>#,##0.0</c:formatCode>
                <c:ptCount val="13"/>
                <c:pt idx="0">
                  <c:v>19.958846877282355</c:v>
                </c:pt>
                <c:pt idx="1">
                  <c:v>4.4289765545789486</c:v>
                </c:pt>
                <c:pt idx="2">
                  <c:v>6.6654089090909112</c:v>
                </c:pt>
                <c:pt idx="3">
                  <c:v>8.1264441638545453</c:v>
                </c:pt>
                <c:pt idx="4">
                  <c:v>6.0778043225454557</c:v>
                </c:pt>
                <c:pt idx="5">
                  <c:v>2.74611214325</c:v>
                </c:pt>
                <c:pt idx="6">
                  <c:v>4.5999999999999996</c:v>
                </c:pt>
                <c:pt idx="7" formatCode="General">
                  <c:v>4.4000000000000004</c:v>
                </c:pt>
                <c:pt idx="8" formatCode="General">
                  <c:v>6</c:v>
                </c:pt>
                <c:pt idx="9" formatCode="General">
                  <c:v>10.1</c:v>
                </c:pt>
                <c:pt idx="10" formatCode="General">
                  <c:v>12.5</c:v>
                </c:pt>
                <c:pt idx="11" formatCode="General">
                  <c:v>10.4</c:v>
                </c:pt>
                <c:pt idx="12" formatCode="General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E-4C24-9768-67F5BDEC2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07904"/>
        <c:axId val="50109440"/>
      </c:areaChart>
      <c:catAx>
        <c:axId val="5010790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9440"/>
        <c:crosses val="autoZero"/>
        <c:auto val="1"/>
        <c:lblAlgn val="ctr"/>
        <c:lblOffset val="100"/>
        <c:noMultiLvlLbl val="0"/>
      </c:catAx>
      <c:valAx>
        <c:axId val="501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TP Pounds/Year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Average Nitrate Loading Above and Below Project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Load!$T$87</c:f>
              <c:strCache>
                <c:ptCount val="1"/>
                <c:pt idx="0">
                  <c:v>Reservoir</c:v>
                </c:pt>
              </c:strCache>
            </c:strRef>
          </c:tx>
          <c:invertIfNegative val="0"/>
          <c:cat>
            <c:multiLvlStrRef>
              <c:f>Load!$Q$89:$S$104</c:f>
              <c:multiLvlStrCache>
                <c:ptCount val="16"/>
                <c:lvl>
                  <c:pt idx="0">
                    <c:v>2006-2007</c:v>
                  </c:pt>
                  <c:pt idx="1">
                    <c:v>2007-2008</c:v>
                  </c:pt>
                  <c:pt idx="2">
                    <c:v>2009*</c:v>
                  </c:pt>
                  <c:pt idx="3">
                    <c:v>2010*</c:v>
                  </c:pt>
                  <c:pt idx="4">
                    <c:v>2011*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2015</c:v>
                  </c:pt>
                  <c:pt idx="15">
                    <c:v>2016</c:v>
                  </c:pt>
                </c:lvl>
                <c:lvl>
                  <c:pt idx="0">
                    <c:v>Pre-construction</c:v>
                  </c:pt>
                  <c:pt idx="1">
                    <c:v>Post-Construction</c:v>
                  </c:pt>
                </c:lvl>
              </c:multiLvlStrCache>
            </c:multiLvlStrRef>
          </c:cat>
          <c:val>
            <c:numRef>
              <c:f>Load!$T$89:$T$104</c:f>
              <c:numCache>
                <c:formatCode>#,##0.0</c:formatCode>
                <c:ptCount val="16"/>
                <c:pt idx="0">
                  <c:v>200.68454918915739</c:v>
                </c:pt>
                <c:pt idx="1">
                  <c:v>128.68749671740787</c:v>
                </c:pt>
                <c:pt idx="2">
                  <c:v>142.01732236363637</c:v>
                </c:pt>
                <c:pt idx="3">
                  <c:v>203.7059508249182</c:v>
                </c:pt>
                <c:pt idx="4">
                  <c:v>103.01865107787275</c:v>
                </c:pt>
                <c:pt idx="5">
                  <c:v>106.56515627135002</c:v>
                </c:pt>
                <c:pt idx="6">
                  <c:v>80.599999999999994</c:v>
                </c:pt>
                <c:pt idx="7" formatCode="General">
                  <c:v>90.3</c:v>
                </c:pt>
                <c:pt idx="8" formatCode="General">
                  <c:v>260</c:v>
                </c:pt>
                <c:pt idx="9" formatCode="General">
                  <c:v>470.3</c:v>
                </c:pt>
                <c:pt idx="10" formatCode="General">
                  <c:v>225.6</c:v>
                </c:pt>
                <c:pt idx="13" formatCode="General">
                  <c:v>0</c:v>
                </c:pt>
                <c:pt idx="14" formatCode="General">
                  <c:v>260</c:v>
                </c:pt>
                <c:pt idx="15" formatCode="General">
                  <c:v>470.3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6-4378-8449-92B1CFA0765D}"/>
            </c:ext>
          </c:extLst>
        </c:ser>
        <c:ser>
          <c:idx val="1"/>
          <c:order val="1"/>
          <c:tx>
            <c:strRef>
              <c:f>Load!$V$87</c:f>
              <c:strCache>
                <c:ptCount val="1"/>
                <c:pt idx="0">
                  <c:v>Above Project</c:v>
                </c:pt>
              </c:strCache>
            </c:strRef>
          </c:tx>
          <c:invertIfNegative val="0"/>
          <c:cat>
            <c:multiLvlStrRef>
              <c:f>Load!$Q$89:$S$104</c:f>
              <c:multiLvlStrCache>
                <c:ptCount val="16"/>
                <c:lvl>
                  <c:pt idx="0">
                    <c:v>2006-2007</c:v>
                  </c:pt>
                  <c:pt idx="1">
                    <c:v>2007-2008</c:v>
                  </c:pt>
                  <c:pt idx="2">
                    <c:v>2009*</c:v>
                  </c:pt>
                  <c:pt idx="3">
                    <c:v>2010*</c:v>
                  </c:pt>
                  <c:pt idx="4">
                    <c:v>2011*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</c:v>
                  </c:pt>
                  <c:pt idx="11">
                    <c:v>2018</c:v>
                  </c:pt>
                  <c:pt idx="12">
                    <c:v>2019</c:v>
                  </c:pt>
                  <c:pt idx="14">
                    <c:v>2015</c:v>
                  </c:pt>
                  <c:pt idx="15">
                    <c:v>2016</c:v>
                  </c:pt>
                </c:lvl>
                <c:lvl>
                  <c:pt idx="0">
                    <c:v>Pre-construction</c:v>
                  </c:pt>
                  <c:pt idx="1">
                    <c:v>Post-Construction</c:v>
                  </c:pt>
                </c:lvl>
              </c:multiLvlStrCache>
            </c:multiLvlStrRef>
          </c:cat>
          <c:val>
            <c:numRef>
              <c:f>Load!$V$89:$V$104</c:f>
              <c:numCache>
                <c:formatCode>#,##0.0</c:formatCode>
                <c:ptCount val="16"/>
                <c:pt idx="1">
                  <c:v>160.87054052631575</c:v>
                </c:pt>
                <c:pt idx="2">
                  <c:v>185.85762236363641</c:v>
                </c:pt>
                <c:pt idx="3">
                  <c:v>222.33246929148183</c:v>
                </c:pt>
                <c:pt idx="4">
                  <c:v>163.90259687276367</c:v>
                </c:pt>
                <c:pt idx="5">
                  <c:v>104.43719986904166</c:v>
                </c:pt>
                <c:pt idx="6">
                  <c:v>78.8</c:v>
                </c:pt>
                <c:pt idx="7" formatCode="General">
                  <c:v>131.4</c:v>
                </c:pt>
                <c:pt idx="13" formatCode="General">
                  <c:v>0</c:v>
                </c:pt>
                <c:pt idx="14" formatCode="General">
                  <c:v>500</c:v>
                </c:pt>
                <c:pt idx="15" formatCode="General">
                  <c:v>604.1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6-4378-8449-92B1CFA07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28768"/>
        <c:axId val="50130304"/>
      </c:barChart>
      <c:catAx>
        <c:axId val="50128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0130304"/>
        <c:crosses val="autoZero"/>
        <c:auto val="1"/>
        <c:lblAlgn val="ctr"/>
        <c:lblOffset val="100"/>
        <c:noMultiLvlLbl val="0"/>
      </c:catAx>
      <c:valAx>
        <c:axId val="50130304"/>
        <c:scaling>
          <c:orientation val="minMax"/>
        </c:scaling>
        <c:delete val="0"/>
        <c:axPos val="l"/>
        <c:majorGridlines/>
        <c:minorGridlines/>
        <c:numFmt formatCode="#,##0.0" sourceLinked="1"/>
        <c:majorTickMark val="none"/>
        <c:minorTickMark val="none"/>
        <c:tickLblPos val="nextTo"/>
        <c:crossAx val="5012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19</xdr:row>
      <xdr:rowOff>123824</xdr:rowOff>
    </xdr:from>
    <xdr:to>
      <xdr:col>20</xdr:col>
      <xdr:colOff>466725</xdr:colOff>
      <xdr:row>42</xdr:row>
      <xdr:rowOff>106680</xdr:rowOff>
    </xdr:to>
    <xdr:graphicFrame macro="">
      <xdr:nvGraphicFramePr>
        <xdr:cNvPr id="1137" name="Chart 1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1</xdr:row>
      <xdr:rowOff>38101</xdr:rowOff>
    </xdr:from>
    <xdr:to>
      <xdr:col>20</xdr:col>
      <xdr:colOff>514351</xdr:colOff>
      <xdr:row>17</xdr:row>
      <xdr:rowOff>7621</xdr:rowOff>
    </xdr:to>
    <xdr:graphicFrame macro="">
      <xdr:nvGraphicFramePr>
        <xdr:cNvPr id="1138" name="Chart 2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131</xdr:row>
      <xdr:rowOff>47625</xdr:rowOff>
    </xdr:from>
    <xdr:to>
      <xdr:col>11</xdr:col>
      <xdr:colOff>438150</xdr:colOff>
      <xdr:row>154</xdr:row>
      <xdr:rowOff>38100</xdr:rowOff>
    </xdr:to>
    <xdr:graphicFrame macro="">
      <xdr:nvGraphicFramePr>
        <xdr:cNvPr id="2489" name="Chart 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114300</xdr:colOff>
      <xdr:row>16</xdr:row>
      <xdr:rowOff>114301</xdr:rowOff>
    </xdr:from>
    <xdr:to>
      <xdr:col>47</xdr:col>
      <xdr:colOff>352425</xdr:colOff>
      <xdr:row>45</xdr:row>
      <xdr:rowOff>76200</xdr:rowOff>
    </xdr:to>
    <xdr:graphicFrame macro="">
      <xdr:nvGraphicFramePr>
        <xdr:cNvPr id="2490" name="Chart 3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131</xdr:row>
      <xdr:rowOff>38100</xdr:rowOff>
    </xdr:from>
    <xdr:to>
      <xdr:col>22</xdr:col>
      <xdr:colOff>400050</xdr:colOff>
      <xdr:row>154</xdr:row>
      <xdr:rowOff>95250</xdr:rowOff>
    </xdr:to>
    <xdr:graphicFrame macro="">
      <xdr:nvGraphicFramePr>
        <xdr:cNvPr id="2492" name="Chart 5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762000</xdr:colOff>
      <xdr:row>16</xdr:row>
      <xdr:rowOff>85725</xdr:rowOff>
    </xdr:from>
    <xdr:to>
      <xdr:col>32</xdr:col>
      <xdr:colOff>342901</xdr:colOff>
      <xdr:row>45</xdr:row>
      <xdr:rowOff>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400050</xdr:colOff>
      <xdr:row>68</xdr:row>
      <xdr:rowOff>104775</xdr:rowOff>
    </xdr:from>
    <xdr:to>
      <xdr:col>48</xdr:col>
      <xdr:colOff>238125</xdr:colOff>
      <xdr:row>85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139699</xdr:colOff>
      <xdr:row>69</xdr:row>
      <xdr:rowOff>69850</xdr:rowOff>
    </xdr:from>
    <xdr:to>
      <xdr:col>36</xdr:col>
      <xdr:colOff>82550</xdr:colOff>
      <xdr:row>84</xdr:row>
      <xdr:rowOff>120650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323850</xdr:colOff>
      <xdr:row>47</xdr:row>
      <xdr:rowOff>9525</xdr:rowOff>
    </xdr:from>
    <xdr:to>
      <xdr:col>36</xdr:col>
      <xdr:colOff>327660</xdr:colOff>
      <xdr:row>66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443864</xdr:colOff>
      <xdr:row>47</xdr:row>
      <xdr:rowOff>38100</xdr:rowOff>
    </xdr:from>
    <xdr:to>
      <xdr:col>48</xdr:col>
      <xdr:colOff>320039</xdr:colOff>
      <xdr:row>65</xdr:row>
      <xdr:rowOff>88900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6"/>
  <sheetViews>
    <sheetView topLeftCell="A100" workbookViewId="0">
      <selection activeCell="B119" sqref="B119"/>
    </sheetView>
  </sheetViews>
  <sheetFormatPr defaultRowHeight="12.5" x14ac:dyDescent="0.25"/>
  <cols>
    <col min="1" max="1" width="18" bestFit="1" customWidth="1"/>
    <col min="2" max="2" width="8.453125" bestFit="1" customWidth="1"/>
    <col min="3" max="3" width="8.90625" bestFit="1" customWidth="1"/>
    <col min="4" max="4" width="8.90625" customWidth="1"/>
    <col min="5" max="5" width="8.453125" hidden="1" customWidth="1"/>
    <col min="7" max="7" width="7" customWidth="1"/>
    <col min="8" max="8" width="7.36328125" customWidth="1"/>
    <col min="9" max="9" width="8.6328125" hidden="1" customWidth="1"/>
  </cols>
  <sheetData>
    <row r="2" spans="1:9" x14ac:dyDescent="0.25">
      <c r="A2" s="283" t="s">
        <v>0</v>
      </c>
      <c r="B2" s="283"/>
      <c r="C2" s="283"/>
      <c r="D2" s="283"/>
      <c r="E2" s="283"/>
      <c r="F2" s="283"/>
      <c r="G2" s="283"/>
      <c r="H2" s="283"/>
      <c r="I2" s="283"/>
    </row>
    <row r="3" spans="1:9" x14ac:dyDescent="0.25">
      <c r="A3" s="1"/>
      <c r="B3" s="284" t="s">
        <v>1</v>
      </c>
      <c r="C3" s="284"/>
      <c r="D3" s="284"/>
      <c r="E3" s="284"/>
      <c r="F3" s="284" t="s">
        <v>2</v>
      </c>
      <c r="G3" s="284"/>
      <c r="H3" s="284"/>
      <c r="I3" s="284"/>
    </row>
    <row r="4" spans="1:9" ht="21" x14ac:dyDescent="0.25">
      <c r="A4" s="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4</v>
      </c>
      <c r="G4" s="12" t="s">
        <v>5</v>
      </c>
      <c r="H4" s="12" t="s">
        <v>6</v>
      </c>
      <c r="I4" s="12" t="s">
        <v>7</v>
      </c>
    </row>
    <row r="5" spans="1:9" x14ac:dyDescent="0.25">
      <c r="A5" s="13">
        <v>38250</v>
      </c>
      <c r="B5" s="3">
        <v>1.1000000000000001</v>
      </c>
      <c r="C5" s="3"/>
      <c r="D5" s="4"/>
      <c r="E5" s="3"/>
      <c r="F5" s="3"/>
      <c r="G5" s="3"/>
      <c r="H5" s="4"/>
      <c r="I5" s="3"/>
    </row>
    <row r="6" spans="1:9" x14ac:dyDescent="0.25">
      <c r="A6" s="13">
        <v>38264</v>
      </c>
      <c r="B6" s="3">
        <v>1.5</v>
      </c>
      <c r="C6" s="3"/>
      <c r="D6" s="4"/>
      <c r="E6" s="3"/>
      <c r="F6" s="3"/>
      <c r="G6" s="3"/>
      <c r="H6" s="4"/>
      <c r="I6" s="3"/>
    </row>
    <row r="7" spans="1:9" x14ac:dyDescent="0.25">
      <c r="A7" s="13">
        <v>38309</v>
      </c>
      <c r="B7" s="3"/>
      <c r="C7" s="3">
        <v>2.2000000000000002</v>
      </c>
      <c r="D7" s="4"/>
      <c r="E7" s="3"/>
      <c r="F7" s="3"/>
      <c r="G7" s="3"/>
      <c r="H7" s="4"/>
      <c r="I7" s="3"/>
    </row>
    <row r="8" spans="1:9" x14ac:dyDescent="0.25">
      <c r="A8" s="13">
        <v>38363</v>
      </c>
      <c r="B8" s="3">
        <v>5.4</v>
      </c>
      <c r="C8" s="3">
        <v>3.3</v>
      </c>
      <c r="D8" s="5">
        <f>1-C8/B8</f>
        <v>0.38888888888888895</v>
      </c>
      <c r="E8" s="3"/>
      <c r="F8" s="3"/>
      <c r="G8" s="3"/>
      <c r="H8" s="4"/>
      <c r="I8" s="3"/>
    </row>
    <row r="9" spans="1:9" x14ac:dyDescent="0.25">
      <c r="A9" s="13">
        <v>38390</v>
      </c>
      <c r="B9" s="3">
        <v>7.25</v>
      </c>
      <c r="C9" s="3">
        <v>3.38</v>
      </c>
      <c r="D9" s="5">
        <f t="shared" ref="D9:D40" si="0">1-C9/B9</f>
        <v>0.53379310344827591</v>
      </c>
      <c r="E9" s="3"/>
      <c r="F9" s="3">
        <v>30</v>
      </c>
      <c r="G9" s="3">
        <v>50</v>
      </c>
      <c r="H9" s="5">
        <f>1-G9/F9</f>
        <v>-0.66666666666666674</v>
      </c>
      <c r="I9" s="3"/>
    </row>
    <row r="10" spans="1:9" x14ac:dyDescent="0.25">
      <c r="A10" s="13">
        <v>38413</v>
      </c>
      <c r="B10" s="3">
        <v>3</v>
      </c>
      <c r="C10" s="3">
        <v>5.49</v>
      </c>
      <c r="D10" s="5">
        <f t="shared" si="0"/>
        <v>-0.83000000000000007</v>
      </c>
      <c r="E10" s="3"/>
      <c r="F10" s="3">
        <v>40</v>
      </c>
      <c r="G10" s="3">
        <v>30</v>
      </c>
      <c r="H10" s="5">
        <f t="shared" ref="H10:H47" si="1">1-G10/F10</f>
        <v>0.25</v>
      </c>
      <c r="I10" s="3"/>
    </row>
    <row r="11" spans="1:9" x14ac:dyDescent="0.25">
      <c r="A11" s="13">
        <v>38447</v>
      </c>
      <c r="B11" s="3">
        <v>3.34</v>
      </c>
      <c r="C11" s="3">
        <v>1.78</v>
      </c>
      <c r="D11" s="5">
        <f t="shared" si="0"/>
        <v>0.46706586826347307</v>
      </c>
      <c r="E11" s="3"/>
      <c r="F11" s="3">
        <v>170</v>
      </c>
      <c r="G11" s="3">
        <v>160</v>
      </c>
      <c r="H11" s="5">
        <f t="shared" si="1"/>
        <v>5.8823529411764719E-2</v>
      </c>
      <c r="I11" s="3"/>
    </row>
    <row r="12" spans="1:9" x14ac:dyDescent="0.25">
      <c r="A12" s="13">
        <v>38455</v>
      </c>
      <c r="B12" s="3"/>
      <c r="C12" s="3">
        <v>1.21</v>
      </c>
      <c r="D12" s="5"/>
      <c r="E12" s="3"/>
      <c r="F12" s="3"/>
      <c r="G12" s="3">
        <v>120</v>
      </c>
      <c r="H12" s="5"/>
      <c r="I12" s="3"/>
    </row>
    <row r="13" spans="1:9" x14ac:dyDescent="0.25">
      <c r="A13" s="13">
        <v>38482</v>
      </c>
      <c r="B13" s="3">
        <v>5.49</v>
      </c>
      <c r="C13" s="3">
        <v>1.33</v>
      </c>
      <c r="D13" s="5">
        <f t="shared" si="0"/>
        <v>0.75774134790528236</v>
      </c>
      <c r="E13" s="3"/>
      <c r="F13" s="3">
        <v>320</v>
      </c>
      <c r="G13" s="3">
        <v>10</v>
      </c>
      <c r="H13" s="5">
        <f t="shared" si="1"/>
        <v>0.96875</v>
      </c>
      <c r="I13" s="3"/>
    </row>
    <row r="14" spans="1:9" x14ac:dyDescent="0.25">
      <c r="A14" s="13">
        <v>38519</v>
      </c>
      <c r="B14" s="3">
        <v>4.13</v>
      </c>
      <c r="C14" s="3">
        <v>0.47</v>
      </c>
      <c r="D14" s="5">
        <f t="shared" si="0"/>
        <v>0.8861985472154964</v>
      </c>
      <c r="E14" s="3"/>
      <c r="F14" s="3">
        <v>120</v>
      </c>
      <c r="G14" s="3">
        <v>90</v>
      </c>
      <c r="H14" s="5">
        <f t="shared" si="1"/>
        <v>0.25</v>
      </c>
      <c r="I14" s="3"/>
    </row>
    <row r="15" spans="1:9" x14ac:dyDescent="0.25">
      <c r="A15" s="13">
        <v>38539</v>
      </c>
      <c r="B15" s="3">
        <v>3.99</v>
      </c>
      <c r="C15" s="3">
        <v>0.42</v>
      </c>
      <c r="D15" s="5">
        <f t="shared" si="0"/>
        <v>0.89473684210526316</v>
      </c>
      <c r="E15" s="3"/>
      <c r="F15" s="3">
        <v>140</v>
      </c>
      <c r="G15" s="3">
        <v>60</v>
      </c>
      <c r="H15" s="5">
        <f t="shared" si="1"/>
        <v>0.5714285714285714</v>
      </c>
      <c r="I15" s="3"/>
    </row>
    <row r="16" spans="1:9" x14ac:dyDescent="0.25">
      <c r="A16" s="13">
        <v>38568</v>
      </c>
      <c r="B16" s="3">
        <v>0.71</v>
      </c>
      <c r="C16" s="3">
        <v>0.53</v>
      </c>
      <c r="D16" s="5">
        <f t="shared" si="0"/>
        <v>0.25352112676056326</v>
      </c>
      <c r="E16" s="3">
        <v>0.3</v>
      </c>
      <c r="F16" s="3">
        <v>280</v>
      </c>
      <c r="G16" s="3">
        <v>810</v>
      </c>
      <c r="H16" s="5">
        <f t="shared" si="1"/>
        <v>-1.8928571428571428</v>
      </c>
      <c r="I16" s="3">
        <v>330</v>
      </c>
    </row>
    <row r="17" spans="1:9" x14ac:dyDescent="0.25">
      <c r="A17" s="13">
        <v>38604</v>
      </c>
      <c r="B17" s="6">
        <v>4.25</v>
      </c>
      <c r="C17" s="6">
        <v>0.8</v>
      </c>
      <c r="D17" s="5">
        <f t="shared" si="0"/>
        <v>0.81176470588235294</v>
      </c>
      <c r="E17" s="6"/>
      <c r="F17" s="6">
        <v>70</v>
      </c>
      <c r="G17" s="6">
        <v>50</v>
      </c>
      <c r="H17" s="5">
        <f t="shared" si="1"/>
        <v>0.2857142857142857</v>
      </c>
      <c r="I17" s="6"/>
    </row>
    <row r="18" spans="1:9" x14ac:dyDescent="0.25">
      <c r="A18" s="13">
        <v>38636</v>
      </c>
      <c r="B18" s="6">
        <v>0.47</v>
      </c>
      <c r="C18" s="6">
        <v>0.52</v>
      </c>
      <c r="D18" s="5">
        <f t="shared" si="0"/>
        <v>-0.1063829787234043</v>
      </c>
      <c r="E18" s="6"/>
      <c r="F18" s="6">
        <v>260</v>
      </c>
      <c r="G18" s="6">
        <v>230</v>
      </c>
      <c r="H18" s="5">
        <f t="shared" si="1"/>
        <v>0.11538461538461542</v>
      </c>
      <c r="I18" s="6"/>
    </row>
    <row r="19" spans="1:9" x14ac:dyDescent="0.25">
      <c r="A19" s="13">
        <v>38674</v>
      </c>
      <c r="B19" s="6">
        <v>4.87</v>
      </c>
      <c r="C19" s="6">
        <v>2.0699999999999998</v>
      </c>
      <c r="D19" s="5">
        <f t="shared" si="0"/>
        <v>0.57494866529774136</v>
      </c>
      <c r="E19" s="6"/>
      <c r="F19" s="6">
        <v>180</v>
      </c>
      <c r="G19" s="6">
        <v>140</v>
      </c>
      <c r="H19" s="5">
        <f t="shared" si="1"/>
        <v>0.22222222222222221</v>
      </c>
      <c r="I19" s="6"/>
    </row>
    <row r="20" spans="1:9" x14ac:dyDescent="0.25">
      <c r="A20" s="13">
        <v>38694</v>
      </c>
      <c r="B20" s="6">
        <v>6.28</v>
      </c>
      <c r="C20" s="6">
        <v>4.18</v>
      </c>
      <c r="D20" s="5">
        <f t="shared" si="0"/>
        <v>0.33439490445859876</v>
      </c>
      <c r="E20" s="6"/>
      <c r="F20" s="6">
        <v>10</v>
      </c>
      <c r="G20" s="6">
        <v>10</v>
      </c>
      <c r="H20" s="5">
        <f t="shared" si="1"/>
        <v>0</v>
      </c>
      <c r="I20" s="6"/>
    </row>
    <row r="21" spans="1:9" x14ac:dyDescent="0.25">
      <c r="A21" s="13">
        <v>38722</v>
      </c>
      <c r="B21" s="6">
        <v>3.05</v>
      </c>
      <c r="C21" s="6">
        <v>4.8499999999999996</v>
      </c>
      <c r="D21" s="5">
        <f t="shared" si="0"/>
        <v>-0.5901639344262295</v>
      </c>
      <c r="E21" s="6"/>
      <c r="F21" s="6">
        <v>10</v>
      </c>
      <c r="G21" s="6">
        <v>30</v>
      </c>
      <c r="H21" s="5">
        <f t="shared" si="1"/>
        <v>-2</v>
      </c>
      <c r="I21" s="6"/>
    </row>
    <row r="22" spans="1:9" x14ac:dyDescent="0.25">
      <c r="A22" s="13">
        <v>38755</v>
      </c>
      <c r="B22" s="6">
        <v>5.04</v>
      </c>
      <c r="C22" s="6">
        <v>2.9</v>
      </c>
      <c r="D22" s="5">
        <f t="shared" si="0"/>
        <v>0.42460317460317465</v>
      </c>
      <c r="E22" s="6"/>
      <c r="F22" s="6">
        <v>30</v>
      </c>
      <c r="G22" s="6">
        <v>100</v>
      </c>
      <c r="H22" s="5">
        <f t="shared" si="1"/>
        <v>-2.3333333333333335</v>
      </c>
      <c r="I22" s="6"/>
    </row>
    <row r="23" spans="1:9" x14ac:dyDescent="0.25">
      <c r="A23" s="13">
        <v>38797</v>
      </c>
      <c r="B23" s="7">
        <v>2.11</v>
      </c>
      <c r="C23" s="7">
        <v>1.08</v>
      </c>
      <c r="D23" s="5">
        <f t="shared" si="0"/>
        <v>0.48815165876777245</v>
      </c>
      <c r="E23" s="8"/>
      <c r="F23" s="7">
        <v>70</v>
      </c>
      <c r="G23" s="7">
        <v>170</v>
      </c>
      <c r="H23" s="9">
        <f t="shared" si="1"/>
        <v>-1.4285714285714284</v>
      </c>
      <c r="I23" s="6"/>
    </row>
    <row r="24" spans="1:9" x14ac:dyDescent="0.25">
      <c r="A24" s="13">
        <v>38817</v>
      </c>
      <c r="B24" s="6">
        <v>0.11</v>
      </c>
      <c r="C24" s="6">
        <v>0.1</v>
      </c>
      <c r="D24" s="5">
        <f t="shared" si="0"/>
        <v>9.0909090909090828E-2</v>
      </c>
      <c r="E24" s="6"/>
      <c r="F24" s="10">
        <v>3910</v>
      </c>
      <c r="G24" s="6">
        <v>420</v>
      </c>
      <c r="H24" s="9">
        <f t="shared" si="1"/>
        <v>0.89258312020460362</v>
      </c>
      <c r="I24" s="6"/>
    </row>
    <row r="25" spans="1:9" x14ac:dyDescent="0.25">
      <c r="A25" s="14">
        <v>38840</v>
      </c>
      <c r="B25" s="11">
        <v>4.0599999999999996</v>
      </c>
      <c r="C25" s="11">
        <v>7.0000000000000007E-2</v>
      </c>
      <c r="D25" s="5">
        <f t="shared" si="0"/>
        <v>0.98275862068965514</v>
      </c>
      <c r="E25" s="11"/>
      <c r="F25" s="11">
        <v>70</v>
      </c>
      <c r="G25" s="11">
        <v>30</v>
      </c>
      <c r="H25" s="9">
        <f t="shared" si="1"/>
        <v>0.5714285714285714</v>
      </c>
      <c r="I25" s="6"/>
    </row>
    <row r="26" spans="1:9" x14ac:dyDescent="0.25">
      <c r="A26" s="13">
        <v>38881</v>
      </c>
      <c r="B26" s="6">
        <v>3.2</v>
      </c>
      <c r="C26" s="6">
        <v>7.0000000000000007E-2</v>
      </c>
      <c r="D26" s="5">
        <f t="shared" si="0"/>
        <v>0.97812500000000002</v>
      </c>
      <c r="E26" s="6"/>
      <c r="F26" s="6">
        <v>160</v>
      </c>
      <c r="G26" s="6">
        <v>180</v>
      </c>
      <c r="H26" s="9">
        <f t="shared" si="1"/>
        <v>-0.125</v>
      </c>
      <c r="I26" s="6"/>
    </row>
    <row r="27" spans="1:9" x14ac:dyDescent="0.25">
      <c r="A27" s="13">
        <v>38903</v>
      </c>
      <c r="B27" s="6">
        <v>1.54</v>
      </c>
      <c r="C27" s="6">
        <v>0.82</v>
      </c>
      <c r="D27" s="5">
        <f t="shared" si="0"/>
        <v>0.46753246753246758</v>
      </c>
      <c r="E27" s="6"/>
      <c r="F27" s="6">
        <v>280</v>
      </c>
      <c r="G27" s="6">
        <v>160</v>
      </c>
      <c r="H27" s="9">
        <f t="shared" si="1"/>
        <v>0.4285714285714286</v>
      </c>
      <c r="I27" s="6"/>
    </row>
    <row r="28" spans="1:9" x14ac:dyDescent="0.25">
      <c r="A28" s="13">
        <v>38908</v>
      </c>
      <c r="B28" s="7">
        <v>1.01</v>
      </c>
      <c r="C28" s="7">
        <v>0.42</v>
      </c>
      <c r="D28" s="5">
        <f t="shared" si="0"/>
        <v>0.58415841584158423</v>
      </c>
      <c r="E28" s="8"/>
      <c r="F28" s="7">
        <v>160</v>
      </c>
      <c r="G28" s="7">
        <v>80</v>
      </c>
      <c r="H28" s="9">
        <f t="shared" si="1"/>
        <v>0.5</v>
      </c>
      <c r="I28" s="6"/>
    </row>
    <row r="29" spans="1:9" x14ac:dyDescent="0.25">
      <c r="A29" s="13">
        <v>38939</v>
      </c>
      <c r="B29" s="7">
        <v>5.93</v>
      </c>
      <c r="C29" s="7"/>
      <c r="D29" s="5"/>
      <c r="E29" s="8"/>
      <c r="F29" s="7">
        <v>70</v>
      </c>
      <c r="G29" s="7"/>
      <c r="H29" s="9">
        <f t="shared" si="1"/>
        <v>1</v>
      </c>
      <c r="I29" s="6"/>
    </row>
    <row r="30" spans="1:9" x14ac:dyDescent="0.25">
      <c r="A30" s="13">
        <v>38947</v>
      </c>
      <c r="B30" s="7">
        <v>0.32</v>
      </c>
      <c r="C30" s="7">
        <v>1.64</v>
      </c>
      <c r="D30" s="5">
        <f t="shared" si="0"/>
        <v>-4.125</v>
      </c>
      <c r="E30" s="8"/>
      <c r="F30" s="7">
        <v>160</v>
      </c>
      <c r="G30" s="7">
        <v>110</v>
      </c>
      <c r="H30" s="9">
        <f t="shared" si="1"/>
        <v>0.3125</v>
      </c>
      <c r="I30" s="6"/>
    </row>
    <row r="31" spans="1:9" x14ac:dyDescent="0.25">
      <c r="A31" s="13">
        <v>38967</v>
      </c>
      <c r="B31" s="7">
        <v>3.98</v>
      </c>
      <c r="C31" s="7">
        <v>7.0000000000000007E-2</v>
      </c>
      <c r="D31" s="5">
        <f t="shared" si="0"/>
        <v>0.98241206030150752</v>
      </c>
      <c r="E31" s="8"/>
      <c r="F31" s="7">
        <v>80</v>
      </c>
      <c r="G31" s="7">
        <v>80</v>
      </c>
      <c r="H31" s="9">
        <f t="shared" si="1"/>
        <v>0</v>
      </c>
      <c r="I31" s="6"/>
    </row>
    <row r="32" spans="1:9" x14ac:dyDescent="0.25">
      <c r="A32" s="13">
        <v>38995</v>
      </c>
      <c r="B32" s="7">
        <v>3.57</v>
      </c>
      <c r="C32" s="7">
        <v>0.04</v>
      </c>
      <c r="D32" s="5">
        <f t="shared" si="0"/>
        <v>0.98879551820728295</v>
      </c>
      <c r="E32" s="8"/>
      <c r="F32" s="7">
        <v>160</v>
      </c>
      <c r="G32" s="7">
        <v>10</v>
      </c>
      <c r="H32" s="9">
        <f t="shared" si="1"/>
        <v>0.9375</v>
      </c>
      <c r="I32" s="6"/>
    </row>
    <row r="33" spans="1:12" x14ac:dyDescent="0.25">
      <c r="A33" s="13">
        <v>39010</v>
      </c>
      <c r="B33" s="7">
        <v>3.84</v>
      </c>
      <c r="C33" s="7">
        <v>0.89</v>
      </c>
      <c r="D33" s="5">
        <f t="shared" si="0"/>
        <v>0.76822916666666663</v>
      </c>
      <c r="E33" s="8"/>
      <c r="F33" s="7">
        <v>30</v>
      </c>
      <c r="G33" s="7">
        <v>10</v>
      </c>
      <c r="H33" s="9">
        <f t="shared" si="1"/>
        <v>0.66666666666666674</v>
      </c>
      <c r="I33" s="6"/>
    </row>
    <row r="34" spans="1:12" x14ac:dyDescent="0.25">
      <c r="A34" s="13">
        <v>39036</v>
      </c>
      <c r="B34" s="7">
        <v>5.9</v>
      </c>
      <c r="C34" s="7">
        <v>3.41</v>
      </c>
      <c r="D34" s="5">
        <f t="shared" si="0"/>
        <v>0.42203389830508475</v>
      </c>
      <c r="E34" s="6"/>
      <c r="F34" s="7">
        <v>10</v>
      </c>
      <c r="G34" s="7">
        <v>10</v>
      </c>
      <c r="H34" s="9">
        <f t="shared" si="1"/>
        <v>0</v>
      </c>
      <c r="I34" s="6"/>
    </row>
    <row r="35" spans="1:12" x14ac:dyDescent="0.25">
      <c r="A35" s="13">
        <v>39041</v>
      </c>
      <c r="B35" s="7">
        <v>3.69</v>
      </c>
      <c r="C35" s="7">
        <v>1.92</v>
      </c>
      <c r="D35" s="5">
        <f t="shared" si="0"/>
        <v>0.47967479674796754</v>
      </c>
      <c r="E35" s="6"/>
      <c r="F35" s="7">
        <v>10</v>
      </c>
      <c r="G35" s="7">
        <v>10</v>
      </c>
      <c r="H35" s="9">
        <f t="shared" si="1"/>
        <v>0</v>
      </c>
      <c r="I35" s="6"/>
    </row>
    <row r="36" spans="1:12" x14ac:dyDescent="0.25">
      <c r="A36" s="13">
        <v>39056</v>
      </c>
      <c r="B36" s="7">
        <v>1</v>
      </c>
      <c r="C36" s="7">
        <v>1.66</v>
      </c>
      <c r="D36" s="5">
        <f t="shared" si="0"/>
        <v>-0.65999999999999992</v>
      </c>
      <c r="E36" s="6"/>
      <c r="F36" s="7">
        <v>60</v>
      </c>
      <c r="G36" s="7">
        <v>30</v>
      </c>
      <c r="H36" s="9">
        <f t="shared" si="1"/>
        <v>0.5</v>
      </c>
      <c r="I36" s="6"/>
    </row>
    <row r="37" spans="1:12" x14ac:dyDescent="0.25">
      <c r="A37" s="38">
        <v>39100</v>
      </c>
      <c r="B37" s="20"/>
      <c r="C37" s="21">
        <v>1.98</v>
      </c>
      <c r="D37" s="5"/>
      <c r="E37" s="20"/>
      <c r="F37" s="8"/>
      <c r="G37" s="21">
        <v>10</v>
      </c>
      <c r="H37" s="9"/>
      <c r="I37" s="6"/>
    </row>
    <row r="38" spans="1:12" x14ac:dyDescent="0.25">
      <c r="A38" s="31">
        <v>39121</v>
      </c>
      <c r="C38" s="6">
        <v>0.77</v>
      </c>
      <c r="D38" s="5"/>
      <c r="E38" s="6"/>
      <c r="F38" s="8"/>
      <c r="G38" s="6">
        <v>50</v>
      </c>
      <c r="H38" s="9"/>
      <c r="I38" s="6"/>
    </row>
    <row r="39" spans="1:12" x14ac:dyDescent="0.25">
      <c r="A39" s="31">
        <v>39164</v>
      </c>
      <c r="B39" s="6"/>
      <c r="C39" s="6">
        <v>0.11</v>
      </c>
      <c r="D39" s="5"/>
      <c r="E39" s="6"/>
      <c r="F39" s="6"/>
      <c r="G39" s="6">
        <v>190</v>
      </c>
      <c r="H39" s="9"/>
      <c r="I39" s="6"/>
    </row>
    <row r="40" spans="1:12" x14ac:dyDescent="0.25">
      <c r="A40" s="31">
        <v>39197</v>
      </c>
      <c r="B40" s="21">
        <v>1.44</v>
      </c>
      <c r="C40" s="21">
        <v>2.13</v>
      </c>
      <c r="D40" s="5">
        <f t="shared" si="0"/>
        <v>-0.47916666666666674</v>
      </c>
      <c r="E40" s="20"/>
      <c r="F40" s="21">
        <v>380</v>
      </c>
      <c r="G40" s="21">
        <v>270</v>
      </c>
      <c r="H40" s="9">
        <f t="shared" si="1"/>
        <v>0.28947368421052633</v>
      </c>
      <c r="I40" s="6"/>
    </row>
    <row r="41" spans="1:12" x14ac:dyDescent="0.25">
      <c r="A41" s="31">
        <v>39212</v>
      </c>
      <c r="B41" s="21">
        <v>1.52</v>
      </c>
      <c r="C41" s="21">
        <v>1.69</v>
      </c>
      <c r="D41" s="5">
        <f t="shared" ref="D41:D47" si="2">1-C41/B41</f>
        <v>-0.11184210526315774</v>
      </c>
      <c r="E41" s="20"/>
      <c r="F41" s="21">
        <v>70</v>
      </c>
      <c r="G41" s="21">
        <v>60</v>
      </c>
      <c r="H41" s="5">
        <f t="shared" si="1"/>
        <v>0.1428571428571429</v>
      </c>
      <c r="I41" s="6"/>
    </row>
    <row r="42" spans="1:12" x14ac:dyDescent="0.25">
      <c r="A42" s="31">
        <v>39253</v>
      </c>
      <c r="B42" s="3">
        <v>0.75</v>
      </c>
      <c r="C42" s="3">
        <v>1.37</v>
      </c>
      <c r="D42" s="5">
        <f t="shared" si="2"/>
        <v>-0.82666666666666688</v>
      </c>
      <c r="E42" s="8"/>
      <c r="F42" s="3">
        <v>70</v>
      </c>
      <c r="G42" s="3">
        <v>120</v>
      </c>
      <c r="H42" s="5">
        <f t="shared" si="1"/>
        <v>-0.71428571428571419</v>
      </c>
      <c r="I42" s="6"/>
    </row>
    <row r="43" spans="1:12" x14ac:dyDescent="0.25">
      <c r="A43" s="31">
        <v>39274</v>
      </c>
      <c r="B43" s="21">
        <v>0.64</v>
      </c>
      <c r="C43" s="21">
        <v>0.04</v>
      </c>
      <c r="D43" s="5">
        <f t="shared" si="2"/>
        <v>0.9375</v>
      </c>
      <c r="E43" s="20"/>
      <c r="F43" s="21">
        <v>140</v>
      </c>
      <c r="G43" s="21">
        <v>50</v>
      </c>
      <c r="H43" s="5">
        <f t="shared" si="1"/>
        <v>0.64285714285714279</v>
      </c>
      <c r="I43" s="6"/>
    </row>
    <row r="44" spans="1:12" x14ac:dyDescent="0.25">
      <c r="A44" s="31">
        <v>39302</v>
      </c>
      <c r="B44" s="21">
        <v>1.1399999999999999</v>
      </c>
      <c r="C44" s="21">
        <v>0.82</v>
      </c>
      <c r="D44" s="5">
        <f t="shared" si="2"/>
        <v>0.2807017543859649</v>
      </c>
      <c r="E44" s="20"/>
      <c r="F44" s="21">
        <v>120</v>
      </c>
      <c r="G44" s="21">
        <v>100</v>
      </c>
      <c r="H44" s="5">
        <f t="shared" si="1"/>
        <v>0.16666666666666663</v>
      </c>
      <c r="I44" s="6"/>
    </row>
    <row r="45" spans="1:12" x14ac:dyDescent="0.25">
      <c r="A45" s="31">
        <v>39337</v>
      </c>
      <c r="B45" s="6">
        <v>1.82</v>
      </c>
      <c r="C45" s="6">
        <v>1.56</v>
      </c>
      <c r="D45" s="5">
        <f t="shared" si="2"/>
        <v>0.1428571428571429</v>
      </c>
      <c r="E45" s="6"/>
      <c r="F45" s="6">
        <v>50</v>
      </c>
      <c r="G45" s="6">
        <v>20</v>
      </c>
      <c r="H45" s="5">
        <f t="shared" si="1"/>
        <v>0.6</v>
      </c>
      <c r="I45" s="6"/>
      <c r="K45" s="58"/>
      <c r="L45" s="58"/>
    </row>
    <row r="46" spans="1:12" x14ac:dyDescent="0.25">
      <c r="A46" s="38">
        <v>39367</v>
      </c>
      <c r="B46" s="21">
        <v>2.2999999999999998</v>
      </c>
      <c r="C46" s="21">
        <v>1.96</v>
      </c>
      <c r="D46" s="5">
        <f t="shared" si="2"/>
        <v>0.14782608695652166</v>
      </c>
      <c r="E46" s="20"/>
      <c r="F46" s="21">
        <v>20</v>
      </c>
      <c r="G46" s="21">
        <v>10</v>
      </c>
      <c r="H46" s="9">
        <f t="shared" si="1"/>
        <v>0.5</v>
      </c>
      <c r="I46" s="6"/>
      <c r="K46" s="58"/>
      <c r="L46" s="58"/>
    </row>
    <row r="47" spans="1:12" x14ac:dyDescent="0.25">
      <c r="A47" s="31" t="s">
        <v>25</v>
      </c>
      <c r="B47" s="6">
        <v>2.77</v>
      </c>
      <c r="C47" s="6">
        <v>2.71</v>
      </c>
      <c r="D47" s="5">
        <f t="shared" si="2"/>
        <v>2.166064981949456E-2</v>
      </c>
      <c r="E47" s="6"/>
      <c r="F47" s="6">
        <v>80</v>
      </c>
      <c r="G47" s="6">
        <v>80</v>
      </c>
      <c r="H47" s="9">
        <f t="shared" si="1"/>
        <v>0</v>
      </c>
      <c r="I47" s="6"/>
      <c r="K47" s="58"/>
      <c r="L47" s="58"/>
    </row>
    <row r="48" spans="1:12" x14ac:dyDescent="0.25">
      <c r="A48" s="31" t="s">
        <v>26</v>
      </c>
      <c r="B48" s="6">
        <v>2.58</v>
      </c>
      <c r="C48" s="6">
        <v>2.65</v>
      </c>
      <c r="D48" s="5">
        <f t="shared" ref="D48:D65" si="3">1-C48/B48</f>
        <v>-2.7131782945736482E-2</v>
      </c>
      <c r="E48" s="6"/>
      <c r="F48" s="6">
        <v>40</v>
      </c>
      <c r="G48" s="6">
        <v>50</v>
      </c>
      <c r="H48" s="9">
        <f t="shared" ref="H48:H65" si="4">1-G48/F48</f>
        <v>-0.25</v>
      </c>
      <c r="I48" s="6"/>
    </row>
    <row r="49" spans="1:9" x14ac:dyDescent="0.25">
      <c r="A49" s="86">
        <v>39455</v>
      </c>
      <c r="B49" s="23">
        <v>3.34</v>
      </c>
      <c r="C49" s="23">
        <v>3.27</v>
      </c>
      <c r="D49" s="5">
        <f t="shared" si="3"/>
        <v>2.0958083832335328E-2</v>
      </c>
      <c r="E49" s="8"/>
      <c r="F49" s="23">
        <v>50</v>
      </c>
      <c r="G49" s="23">
        <v>60</v>
      </c>
      <c r="H49" s="9">
        <f t="shared" si="4"/>
        <v>-0.19999999999999996</v>
      </c>
      <c r="I49" s="6"/>
    </row>
    <row r="50" spans="1:9" x14ac:dyDescent="0.25">
      <c r="A50" s="86">
        <v>39490</v>
      </c>
      <c r="B50" s="23">
        <v>2.66</v>
      </c>
      <c r="C50" s="23">
        <v>2.65</v>
      </c>
      <c r="D50" s="5">
        <f t="shared" si="3"/>
        <v>3.7593984962407401E-3</v>
      </c>
      <c r="E50" s="8"/>
      <c r="F50" s="23">
        <v>70</v>
      </c>
      <c r="G50" s="23">
        <v>50</v>
      </c>
      <c r="H50" s="9">
        <f t="shared" si="4"/>
        <v>0.2857142857142857</v>
      </c>
      <c r="I50" s="6"/>
    </row>
    <row r="51" spans="1:9" x14ac:dyDescent="0.25">
      <c r="A51" s="86">
        <v>39531</v>
      </c>
      <c r="B51" s="23">
        <v>2.0099999999999998</v>
      </c>
      <c r="C51" s="23">
        <v>1.82</v>
      </c>
      <c r="D51" s="5">
        <f t="shared" si="3"/>
        <v>9.4527363184079505E-2</v>
      </c>
      <c r="E51" s="8"/>
      <c r="F51" s="23">
        <v>20</v>
      </c>
      <c r="G51" s="23">
        <v>30</v>
      </c>
      <c r="H51" s="9">
        <f t="shared" si="4"/>
        <v>-0.5</v>
      </c>
      <c r="I51" s="6"/>
    </row>
    <row r="52" spans="1:9" x14ac:dyDescent="0.25">
      <c r="A52" s="86">
        <v>39566</v>
      </c>
      <c r="B52" s="23">
        <v>1.22</v>
      </c>
      <c r="C52" s="23">
        <v>0.91</v>
      </c>
      <c r="D52" s="5">
        <f t="shared" si="3"/>
        <v>0.25409836065573765</v>
      </c>
      <c r="E52" s="8"/>
      <c r="F52" s="23">
        <v>30</v>
      </c>
      <c r="G52" s="23">
        <v>30</v>
      </c>
      <c r="H52" s="9">
        <f t="shared" si="4"/>
        <v>0</v>
      </c>
      <c r="I52" s="6"/>
    </row>
    <row r="53" spans="1:9" x14ac:dyDescent="0.25">
      <c r="A53" s="86">
        <v>39587</v>
      </c>
      <c r="B53" s="23">
        <v>0.35</v>
      </c>
      <c r="C53" s="23">
        <v>0.2</v>
      </c>
      <c r="D53" s="5">
        <f t="shared" si="3"/>
        <v>0.42857142857142849</v>
      </c>
      <c r="E53" s="8"/>
      <c r="F53" s="23">
        <v>40</v>
      </c>
      <c r="G53" s="23">
        <v>50</v>
      </c>
      <c r="H53" s="9">
        <f t="shared" si="4"/>
        <v>-0.25</v>
      </c>
      <c r="I53" s="6"/>
    </row>
    <row r="54" spans="1:9" x14ac:dyDescent="0.25">
      <c r="A54" s="86">
        <v>39623</v>
      </c>
      <c r="B54" s="23">
        <v>0.57999999999999996</v>
      </c>
      <c r="C54" s="23">
        <v>0.1</v>
      </c>
      <c r="D54" s="5">
        <f t="shared" si="3"/>
        <v>0.82758620689655171</v>
      </c>
      <c r="E54" s="8"/>
      <c r="F54" s="23">
        <v>50</v>
      </c>
      <c r="G54" s="23">
        <v>40</v>
      </c>
      <c r="H54" s="9">
        <f t="shared" si="4"/>
        <v>0.19999999999999996</v>
      </c>
      <c r="I54" s="6"/>
    </row>
    <row r="55" spans="1:9" x14ac:dyDescent="0.25">
      <c r="A55" s="86">
        <v>39657</v>
      </c>
      <c r="B55" s="23">
        <v>0.7</v>
      </c>
      <c r="C55" s="23">
        <v>0.6</v>
      </c>
      <c r="D55" s="5">
        <f t="shared" si="3"/>
        <v>0.14285714285714279</v>
      </c>
      <c r="E55" s="8"/>
      <c r="F55" s="23">
        <v>20</v>
      </c>
      <c r="G55" s="23">
        <v>15</v>
      </c>
      <c r="H55" s="9">
        <f t="shared" si="4"/>
        <v>0.25</v>
      </c>
      <c r="I55" s="6"/>
    </row>
    <row r="56" spans="1:9" x14ac:dyDescent="0.25">
      <c r="A56" s="86">
        <v>39686</v>
      </c>
      <c r="B56" s="23">
        <v>0.82</v>
      </c>
      <c r="C56" s="23">
        <v>0.5</v>
      </c>
      <c r="D56" s="5">
        <f t="shared" si="3"/>
        <v>0.3902439024390244</v>
      </c>
      <c r="E56" s="8"/>
      <c r="F56" s="23">
        <v>90</v>
      </c>
      <c r="G56" s="23">
        <v>80</v>
      </c>
      <c r="H56" s="9">
        <f t="shared" si="4"/>
        <v>0.11111111111111116</v>
      </c>
      <c r="I56" s="6"/>
    </row>
    <row r="57" spans="1:9" x14ac:dyDescent="0.25">
      <c r="A57" s="86">
        <v>39720</v>
      </c>
      <c r="B57" s="23">
        <v>1.05</v>
      </c>
      <c r="C57" s="23">
        <v>0.79</v>
      </c>
      <c r="D57" s="5">
        <f t="shared" si="3"/>
        <v>0.24761904761904763</v>
      </c>
      <c r="E57" s="8"/>
      <c r="F57" s="23">
        <v>50</v>
      </c>
      <c r="G57" s="23">
        <v>40</v>
      </c>
      <c r="H57" s="9">
        <f t="shared" si="4"/>
        <v>0.19999999999999996</v>
      </c>
      <c r="I57" s="6"/>
    </row>
    <row r="58" spans="1:9" x14ac:dyDescent="0.25">
      <c r="A58" s="86">
        <v>39748</v>
      </c>
      <c r="B58" s="23">
        <v>1.1499999999999999</v>
      </c>
      <c r="C58" s="23">
        <v>0.93</v>
      </c>
      <c r="D58" s="5">
        <f t="shared" si="3"/>
        <v>0.19130434782608685</v>
      </c>
      <c r="E58" s="8"/>
      <c r="F58" s="23">
        <v>30</v>
      </c>
      <c r="G58" s="23">
        <v>20</v>
      </c>
      <c r="H58" s="9">
        <f t="shared" si="4"/>
        <v>0.33333333333333337</v>
      </c>
      <c r="I58" s="6"/>
    </row>
    <row r="59" spans="1:9" x14ac:dyDescent="0.25">
      <c r="A59" s="86">
        <v>39772</v>
      </c>
      <c r="B59" s="23">
        <v>1.55</v>
      </c>
      <c r="C59" s="23">
        <v>1.21</v>
      </c>
      <c r="D59" s="5">
        <f t="shared" si="3"/>
        <v>0.21935483870967742</v>
      </c>
      <c r="E59" s="8"/>
      <c r="F59" s="23">
        <v>60</v>
      </c>
      <c r="G59" s="23">
        <v>60</v>
      </c>
      <c r="H59" s="9">
        <f t="shared" si="4"/>
        <v>0</v>
      </c>
      <c r="I59" s="6"/>
    </row>
    <row r="60" spans="1:9" ht="14.5" x14ac:dyDescent="0.35">
      <c r="A60" s="87">
        <v>39797</v>
      </c>
      <c r="B60" s="62">
        <v>2.1</v>
      </c>
      <c r="C60" s="62">
        <v>1.9</v>
      </c>
      <c r="D60" s="5">
        <f t="shared" si="3"/>
        <v>9.5238095238095344E-2</v>
      </c>
      <c r="E60" s="59"/>
      <c r="F60" s="23">
        <v>40</v>
      </c>
      <c r="G60" s="23">
        <v>30</v>
      </c>
      <c r="H60" s="9">
        <f t="shared" si="4"/>
        <v>0.25</v>
      </c>
      <c r="I60" s="6"/>
    </row>
    <row r="61" spans="1:9" x14ac:dyDescent="0.25">
      <c r="A61" s="88">
        <v>39839</v>
      </c>
      <c r="B61" s="69"/>
      <c r="C61" s="23">
        <v>2.08</v>
      </c>
      <c r="D61" s="5"/>
      <c r="E61" s="23"/>
      <c r="F61" s="23"/>
      <c r="G61" s="23">
        <v>30</v>
      </c>
      <c r="H61" s="9"/>
      <c r="I61" s="6"/>
    </row>
    <row r="62" spans="1:9" x14ac:dyDescent="0.25">
      <c r="A62" s="88">
        <v>39867</v>
      </c>
      <c r="B62" s="23">
        <v>2.84</v>
      </c>
      <c r="C62" s="23">
        <v>2.42</v>
      </c>
      <c r="D62" s="5">
        <f t="shared" si="3"/>
        <v>0.147887323943662</v>
      </c>
      <c r="E62" s="23"/>
      <c r="F62" s="23">
        <v>40</v>
      </c>
      <c r="G62" s="23">
        <v>30</v>
      </c>
      <c r="H62" s="9">
        <f t="shared" si="4"/>
        <v>0.25</v>
      </c>
      <c r="I62" s="6"/>
    </row>
    <row r="63" spans="1:9" x14ac:dyDescent="0.25">
      <c r="A63" s="88">
        <v>39888</v>
      </c>
      <c r="B63" s="23">
        <v>2.16</v>
      </c>
      <c r="C63" s="23">
        <v>1.76</v>
      </c>
      <c r="D63" s="5">
        <f t="shared" si="3"/>
        <v>0.18518518518518523</v>
      </c>
      <c r="E63" s="23"/>
      <c r="F63" s="23">
        <v>60</v>
      </c>
      <c r="G63" s="23">
        <v>50</v>
      </c>
      <c r="H63" s="9">
        <f t="shared" si="4"/>
        <v>0.16666666666666663</v>
      </c>
      <c r="I63" s="6"/>
    </row>
    <row r="64" spans="1:9" x14ac:dyDescent="0.25">
      <c r="A64" s="88">
        <v>39930</v>
      </c>
      <c r="B64" s="23">
        <v>0.42</v>
      </c>
      <c r="C64" s="23">
        <v>0.43</v>
      </c>
      <c r="D64" s="5">
        <f t="shared" si="3"/>
        <v>-2.3809523809523725E-2</v>
      </c>
      <c r="E64" s="23"/>
      <c r="F64" s="23">
        <v>90</v>
      </c>
      <c r="G64" s="23">
        <v>90</v>
      </c>
      <c r="H64" s="9">
        <f t="shared" si="4"/>
        <v>0</v>
      </c>
      <c r="I64" s="6"/>
    </row>
    <row r="65" spans="1:10" x14ac:dyDescent="0.25">
      <c r="A65" s="88">
        <v>39951</v>
      </c>
      <c r="B65" s="23">
        <v>0.52</v>
      </c>
      <c r="C65" s="23">
        <v>0.37</v>
      </c>
      <c r="D65" s="5">
        <f t="shared" si="3"/>
        <v>0.28846153846153855</v>
      </c>
      <c r="E65" s="23"/>
      <c r="F65" s="23">
        <v>50</v>
      </c>
      <c r="G65" s="23">
        <v>60</v>
      </c>
      <c r="H65" s="9">
        <f t="shared" si="4"/>
        <v>-0.19999999999999996</v>
      </c>
      <c r="I65" s="6"/>
    </row>
    <row r="66" spans="1:10" x14ac:dyDescent="0.25">
      <c r="A66" s="88">
        <v>39961</v>
      </c>
      <c r="B66" s="23">
        <v>0.82</v>
      </c>
      <c r="C66" s="23">
        <v>0.84</v>
      </c>
      <c r="D66" s="5">
        <f>1-C66/B66</f>
        <v>-2.4390243902439046E-2</v>
      </c>
      <c r="E66" s="23"/>
      <c r="F66" s="23">
        <v>230</v>
      </c>
      <c r="G66" s="23">
        <v>240</v>
      </c>
      <c r="H66" s="9">
        <f t="shared" ref="H66:H111" si="5">1-G66/F66</f>
        <v>-4.3478260869565188E-2</v>
      </c>
      <c r="I66" s="6"/>
      <c r="J66" t="s">
        <v>39</v>
      </c>
    </row>
    <row r="67" spans="1:10" x14ac:dyDescent="0.25">
      <c r="A67" s="88">
        <v>39986</v>
      </c>
      <c r="B67" s="23">
        <v>1.62</v>
      </c>
      <c r="C67" s="23">
        <v>1.38</v>
      </c>
      <c r="D67" s="5">
        <f>1-C67/B67</f>
        <v>0.14814814814814825</v>
      </c>
      <c r="E67" s="69"/>
      <c r="F67" s="23">
        <v>90</v>
      </c>
      <c r="G67" s="23">
        <v>80</v>
      </c>
      <c r="H67" s="9">
        <f t="shared" si="5"/>
        <v>0.11111111111111116</v>
      </c>
      <c r="I67" s="32"/>
    </row>
    <row r="68" spans="1:10" x14ac:dyDescent="0.25">
      <c r="A68" s="88">
        <v>40014</v>
      </c>
      <c r="B68" s="23">
        <v>0.85</v>
      </c>
      <c r="C68" s="23">
        <v>0.59</v>
      </c>
      <c r="D68" s="5">
        <f>1-C68/B68</f>
        <v>0.30588235294117649</v>
      </c>
      <c r="E68" s="69"/>
      <c r="F68" s="23">
        <v>140</v>
      </c>
      <c r="G68" s="23">
        <v>90</v>
      </c>
      <c r="H68" s="9">
        <f t="shared" si="5"/>
        <v>0.3571428571428571</v>
      </c>
      <c r="I68" s="32"/>
    </row>
    <row r="69" spans="1:10" x14ac:dyDescent="0.25">
      <c r="A69" s="88">
        <v>40042</v>
      </c>
      <c r="B69" s="23">
        <v>1.37</v>
      </c>
      <c r="C69" s="23">
        <v>1.2</v>
      </c>
      <c r="D69" s="5">
        <f>1-C69/B69</f>
        <v>0.12408759124087598</v>
      </c>
      <c r="E69" s="23"/>
      <c r="F69" s="21">
        <v>90</v>
      </c>
      <c r="G69" s="23">
        <v>80</v>
      </c>
      <c r="H69" s="5">
        <f t="shared" si="5"/>
        <v>0.11111111111111116</v>
      </c>
      <c r="I69" s="32"/>
    </row>
    <row r="70" spans="1:10" x14ac:dyDescent="0.25">
      <c r="A70" s="88">
        <v>40077</v>
      </c>
      <c r="B70" s="23">
        <v>1.02</v>
      </c>
      <c r="C70" s="23">
        <v>1.25</v>
      </c>
      <c r="D70" s="5">
        <f t="shared" ref="D70:D111" si="6">1-C70/B70</f>
        <v>-0.22549019607843146</v>
      </c>
      <c r="E70" s="23"/>
      <c r="F70" s="23">
        <v>180</v>
      </c>
      <c r="G70" s="23">
        <v>180</v>
      </c>
      <c r="H70" s="5">
        <f t="shared" si="5"/>
        <v>0</v>
      </c>
      <c r="I70" s="32"/>
      <c r="J70" s="29" t="s">
        <v>39</v>
      </c>
    </row>
    <row r="71" spans="1:10" x14ac:dyDescent="0.25">
      <c r="A71" s="88">
        <v>40084</v>
      </c>
      <c r="B71" s="23">
        <v>1.33</v>
      </c>
      <c r="C71" s="23">
        <v>1.0900000000000001</v>
      </c>
      <c r="D71" s="5">
        <f t="shared" si="6"/>
        <v>0.18045112781954886</v>
      </c>
      <c r="E71" s="23"/>
      <c r="F71" s="21">
        <v>70</v>
      </c>
      <c r="G71" s="23">
        <v>60</v>
      </c>
      <c r="H71" s="5">
        <f t="shared" si="5"/>
        <v>0.1428571428571429</v>
      </c>
      <c r="I71" s="32"/>
    </row>
    <row r="72" spans="1:10" x14ac:dyDescent="0.25">
      <c r="A72" s="88">
        <v>40105</v>
      </c>
      <c r="B72" s="23">
        <v>2.16</v>
      </c>
      <c r="C72" s="23">
        <v>1.86</v>
      </c>
      <c r="D72" s="5">
        <f t="shared" si="6"/>
        <v>0.13888888888888895</v>
      </c>
      <c r="E72" s="23"/>
      <c r="F72" s="21">
        <v>50</v>
      </c>
      <c r="G72" s="23">
        <v>30</v>
      </c>
      <c r="H72" s="5">
        <f t="shared" si="5"/>
        <v>0.4</v>
      </c>
      <c r="I72" s="32"/>
    </row>
    <row r="73" spans="1:10" x14ac:dyDescent="0.25">
      <c r="A73" s="88">
        <v>40133</v>
      </c>
      <c r="B73" s="23">
        <v>1.26</v>
      </c>
      <c r="C73" s="23">
        <v>1.22</v>
      </c>
      <c r="D73" s="5">
        <f t="shared" si="6"/>
        <v>3.1746031746031744E-2</v>
      </c>
      <c r="E73" s="23"/>
      <c r="F73" s="21">
        <v>50</v>
      </c>
      <c r="G73" s="23">
        <v>50</v>
      </c>
      <c r="H73" s="5">
        <f t="shared" si="5"/>
        <v>0</v>
      </c>
      <c r="I73" s="32"/>
    </row>
    <row r="74" spans="1:10" x14ac:dyDescent="0.25">
      <c r="A74" s="88">
        <v>40135</v>
      </c>
      <c r="B74" s="23">
        <v>1.38</v>
      </c>
      <c r="C74" s="23">
        <v>1.33</v>
      </c>
      <c r="D74" s="5">
        <f t="shared" si="6"/>
        <v>3.6231884057970842E-2</v>
      </c>
      <c r="E74" s="23"/>
      <c r="F74" s="21">
        <v>60</v>
      </c>
      <c r="G74" s="23">
        <v>70</v>
      </c>
      <c r="H74" s="5">
        <f t="shared" si="5"/>
        <v>-0.16666666666666674</v>
      </c>
      <c r="I74" s="32"/>
    </row>
    <row r="75" spans="1:10" x14ac:dyDescent="0.25">
      <c r="A75" s="88">
        <v>40161</v>
      </c>
      <c r="B75" s="23">
        <v>2.98</v>
      </c>
      <c r="C75" s="23">
        <v>2.96</v>
      </c>
      <c r="D75" s="5">
        <f t="shared" si="6"/>
        <v>6.7114093959731447E-3</v>
      </c>
      <c r="E75" s="23"/>
      <c r="F75" s="21">
        <v>90</v>
      </c>
      <c r="G75" s="21">
        <v>60</v>
      </c>
      <c r="H75" s="5">
        <f t="shared" si="5"/>
        <v>0.33333333333333337</v>
      </c>
    </row>
    <row r="76" spans="1:10" x14ac:dyDescent="0.25">
      <c r="A76" s="86">
        <v>40203</v>
      </c>
      <c r="B76" s="23">
        <v>3.8</v>
      </c>
      <c r="C76" s="23">
        <v>3.57</v>
      </c>
      <c r="D76" s="5">
        <f t="shared" si="6"/>
        <v>6.052631578947365E-2</v>
      </c>
      <c r="E76" s="23"/>
      <c r="F76" s="21">
        <v>40</v>
      </c>
      <c r="G76" s="21">
        <v>40</v>
      </c>
      <c r="H76" s="5">
        <f t="shared" si="5"/>
        <v>0</v>
      </c>
    </row>
    <row r="77" spans="1:10" x14ac:dyDescent="0.25">
      <c r="A77" s="86">
        <v>40231</v>
      </c>
      <c r="B77" s="23">
        <v>3.52</v>
      </c>
      <c r="C77" s="23">
        <v>3.01</v>
      </c>
      <c r="D77" s="5">
        <f t="shared" si="6"/>
        <v>0.14488636363636365</v>
      </c>
      <c r="E77" s="23"/>
      <c r="F77" s="21">
        <v>40</v>
      </c>
      <c r="G77" s="21">
        <v>40</v>
      </c>
      <c r="H77" s="5">
        <f t="shared" si="5"/>
        <v>0</v>
      </c>
    </row>
    <row r="78" spans="1:10" x14ac:dyDescent="0.25">
      <c r="A78" s="86">
        <v>40266</v>
      </c>
      <c r="B78" s="23">
        <v>1.3</v>
      </c>
      <c r="C78" s="23">
        <v>1.31</v>
      </c>
      <c r="D78" s="5">
        <f t="shared" si="6"/>
        <v>-7.692307692307665E-3</v>
      </c>
      <c r="E78" s="23"/>
      <c r="F78" s="21">
        <v>80</v>
      </c>
      <c r="G78" s="21">
        <v>80</v>
      </c>
      <c r="H78" s="5">
        <f t="shared" si="5"/>
        <v>0</v>
      </c>
    </row>
    <row r="79" spans="1:10" x14ac:dyDescent="0.25">
      <c r="A79" s="86">
        <v>40294</v>
      </c>
      <c r="B79" s="23">
        <v>1.02</v>
      </c>
      <c r="C79" s="23">
        <v>0.94</v>
      </c>
      <c r="D79" s="5">
        <f t="shared" si="6"/>
        <v>7.8431372549019662E-2</v>
      </c>
      <c r="E79" s="23"/>
      <c r="F79" s="21">
        <v>90</v>
      </c>
      <c r="G79" s="21">
        <v>90</v>
      </c>
      <c r="H79" s="5">
        <f t="shared" si="5"/>
        <v>0</v>
      </c>
    </row>
    <row r="80" spans="1:10" x14ac:dyDescent="0.25">
      <c r="A80" s="86">
        <v>40322</v>
      </c>
      <c r="B80" s="23">
        <v>1.7</v>
      </c>
      <c r="C80" s="23">
        <v>1.37</v>
      </c>
      <c r="D80" s="5">
        <f t="shared" si="6"/>
        <v>0.19411764705882339</v>
      </c>
      <c r="E80" s="23"/>
      <c r="F80" s="21">
        <v>60</v>
      </c>
      <c r="G80" s="21">
        <v>50</v>
      </c>
      <c r="H80" s="5">
        <f t="shared" si="5"/>
        <v>0.16666666666666663</v>
      </c>
    </row>
    <row r="81" spans="1:8" x14ac:dyDescent="0.25">
      <c r="A81" s="86">
        <v>40358</v>
      </c>
      <c r="B81" s="23">
        <v>0.88</v>
      </c>
      <c r="C81" s="23">
        <v>0.73</v>
      </c>
      <c r="D81" s="5">
        <f t="shared" si="6"/>
        <v>0.17045454545454553</v>
      </c>
      <c r="E81" s="23"/>
      <c r="F81" s="21">
        <v>110</v>
      </c>
      <c r="G81" s="21">
        <v>90</v>
      </c>
      <c r="H81" s="5">
        <f t="shared" si="5"/>
        <v>0.18181818181818177</v>
      </c>
    </row>
    <row r="82" spans="1:8" x14ac:dyDescent="0.25">
      <c r="A82" s="86">
        <v>40385</v>
      </c>
      <c r="B82" s="23">
        <v>0.89</v>
      </c>
      <c r="C82" s="23">
        <v>0.67</v>
      </c>
      <c r="D82" s="5">
        <f t="shared" si="6"/>
        <v>0.24719101123595499</v>
      </c>
      <c r="E82" s="23"/>
      <c r="F82" s="21">
        <v>90</v>
      </c>
      <c r="G82" s="21">
        <v>90</v>
      </c>
      <c r="H82" s="5">
        <f t="shared" si="5"/>
        <v>0</v>
      </c>
    </row>
    <row r="83" spans="1:8" x14ac:dyDescent="0.25">
      <c r="A83" s="86">
        <v>40413</v>
      </c>
      <c r="B83" s="23">
        <v>1.01</v>
      </c>
      <c r="C83" s="23">
        <v>0.75</v>
      </c>
      <c r="D83" s="5">
        <f t="shared" si="6"/>
        <v>0.25742574257425743</v>
      </c>
      <c r="E83" s="23"/>
      <c r="F83" s="23">
        <v>70</v>
      </c>
      <c r="G83" s="23">
        <v>60</v>
      </c>
      <c r="H83" s="5">
        <f t="shared" si="5"/>
        <v>0.1428571428571429</v>
      </c>
    </row>
    <row r="84" spans="1:8" x14ac:dyDescent="0.25">
      <c r="A84" s="86">
        <v>40448</v>
      </c>
      <c r="B84" s="23">
        <v>1.64</v>
      </c>
      <c r="C84" s="23">
        <v>1.4</v>
      </c>
      <c r="D84" s="5">
        <f t="shared" si="6"/>
        <v>0.14634146341463417</v>
      </c>
      <c r="E84" s="23"/>
      <c r="F84" s="23">
        <v>140</v>
      </c>
      <c r="G84" s="23">
        <v>130</v>
      </c>
      <c r="H84" s="5">
        <f t="shared" si="5"/>
        <v>7.1428571428571397E-2</v>
      </c>
    </row>
    <row r="85" spans="1:8" x14ac:dyDescent="0.25">
      <c r="A85" s="86">
        <v>40477</v>
      </c>
      <c r="B85" s="23">
        <v>1.6</v>
      </c>
      <c r="C85" s="23">
        <v>1.44</v>
      </c>
      <c r="D85" s="5">
        <f t="shared" si="6"/>
        <v>0.10000000000000009</v>
      </c>
      <c r="E85" s="23"/>
      <c r="F85" s="23">
        <v>40</v>
      </c>
      <c r="G85" s="23">
        <v>50</v>
      </c>
      <c r="H85" s="5">
        <f t="shared" si="5"/>
        <v>-0.25</v>
      </c>
    </row>
    <row r="86" spans="1:8" x14ac:dyDescent="0.25">
      <c r="A86" s="86">
        <v>40497</v>
      </c>
      <c r="B86" s="23">
        <v>2.62</v>
      </c>
      <c r="C86" s="23">
        <v>2.4900000000000002</v>
      </c>
      <c r="D86" s="5">
        <f t="shared" si="6"/>
        <v>4.9618320610686939E-2</v>
      </c>
      <c r="E86" s="23"/>
      <c r="F86" s="21">
        <v>5</v>
      </c>
      <c r="G86" s="21">
        <v>5</v>
      </c>
      <c r="H86" s="5">
        <f t="shared" si="5"/>
        <v>0</v>
      </c>
    </row>
    <row r="87" spans="1:8" x14ac:dyDescent="0.25">
      <c r="A87" s="86">
        <v>40514</v>
      </c>
      <c r="B87" s="23">
        <v>3.94</v>
      </c>
      <c r="C87" s="23">
        <v>3.59</v>
      </c>
      <c r="D87" s="5">
        <f t="shared" si="6"/>
        <v>8.8832487309644659E-2</v>
      </c>
      <c r="E87" s="23"/>
      <c r="F87" s="21">
        <v>20</v>
      </c>
      <c r="G87" s="21">
        <v>5</v>
      </c>
      <c r="H87" s="5">
        <f t="shared" si="5"/>
        <v>0.75</v>
      </c>
    </row>
    <row r="88" spans="1:8" x14ac:dyDescent="0.25">
      <c r="A88" s="110">
        <v>40567</v>
      </c>
      <c r="B88" s="23">
        <v>3.46</v>
      </c>
      <c r="C88" s="23">
        <v>2.98</v>
      </c>
      <c r="D88" s="5">
        <f t="shared" si="6"/>
        <v>0.13872832369942201</v>
      </c>
      <c r="E88" s="23"/>
      <c r="F88" s="23">
        <v>60</v>
      </c>
      <c r="G88" s="23">
        <v>40</v>
      </c>
      <c r="H88" s="5">
        <f t="shared" si="5"/>
        <v>0.33333333333333337</v>
      </c>
    </row>
    <row r="89" spans="1:8" x14ac:dyDescent="0.25">
      <c r="A89" s="110">
        <v>40595</v>
      </c>
      <c r="B89" s="23">
        <v>1.76</v>
      </c>
      <c r="C89" s="23">
        <v>1.6</v>
      </c>
      <c r="D89" s="5">
        <f t="shared" si="6"/>
        <v>9.0909090909090828E-2</v>
      </c>
      <c r="E89" s="23"/>
      <c r="F89" s="23">
        <v>50</v>
      </c>
      <c r="G89" s="23">
        <v>40</v>
      </c>
      <c r="H89" s="5">
        <f t="shared" si="5"/>
        <v>0.19999999999999996</v>
      </c>
    </row>
    <row r="90" spans="1:8" x14ac:dyDescent="0.25">
      <c r="A90" s="110">
        <v>40627</v>
      </c>
      <c r="B90" s="23">
        <v>2.34</v>
      </c>
      <c r="C90" s="23">
        <v>1.22</v>
      </c>
      <c r="D90" s="5">
        <f t="shared" si="6"/>
        <v>0.4786324786324786</v>
      </c>
      <c r="E90" s="23"/>
      <c r="F90" s="23">
        <v>40</v>
      </c>
      <c r="G90" s="23">
        <v>30</v>
      </c>
      <c r="H90" s="5">
        <f t="shared" si="5"/>
        <v>0.25</v>
      </c>
    </row>
    <row r="91" spans="1:8" x14ac:dyDescent="0.25">
      <c r="A91" s="110">
        <v>40658</v>
      </c>
      <c r="B91" s="23">
        <v>0.69</v>
      </c>
      <c r="C91" s="23">
        <v>0.71</v>
      </c>
      <c r="D91" s="5">
        <f t="shared" si="6"/>
        <v>-2.898550724637694E-2</v>
      </c>
      <c r="E91" s="23"/>
      <c r="F91" s="23">
        <v>110</v>
      </c>
      <c r="G91" s="23">
        <v>100</v>
      </c>
      <c r="H91" s="5">
        <f t="shared" si="5"/>
        <v>9.0909090909090939E-2</v>
      </c>
    </row>
    <row r="92" spans="1:8" x14ac:dyDescent="0.25">
      <c r="A92" s="110">
        <v>40686</v>
      </c>
      <c r="B92" s="23">
        <v>1.08</v>
      </c>
      <c r="C92" s="23">
        <v>0.62</v>
      </c>
      <c r="D92" s="5">
        <f t="shared" si="6"/>
        <v>0.42592592592592593</v>
      </c>
      <c r="E92" s="23"/>
      <c r="F92" s="23">
        <v>120</v>
      </c>
      <c r="G92" s="23">
        <v>140</v>
      </c>
      <c r="H92" s="5">
        <f t="shared" si="5"/>
        <v>-0.16666666666666674</v>
      </c>
    </row>
    <row r="93" spans="1:8" x14ac:dyDescent="0.25">
      <c r="A93" s="110">
        <v>40721</v>
      </c>
      <c r="B93" s="23">
        <v>0.85</v>
      </c>
      <c r="C93" s="23">
        <v>0.6</v>
      </c>
      <c r="D93" s="5">
        <f t="shared" si="6"/>
        <v>0.29411764705882348</v>
      </c>
      <c r="E93" s="23"/>
      <c r="F93" s="23">
        <v>240</v>
      </c>
      <c r="G93" s="23">
        <v>260</v>
      </c>
      <c r="H93" s="5">
        <f t="shared" si="5"/>
        <v>-8.3333333333333259E-2</v>
      </c>
    </row>
    <row r="94" spans="1:8" x14ac:dyDescent="0.25">
      <c r="A94" s="110">
        <v>40749</v>
      </c>
      <c r="B94" s="23">
        <v>0.99</v>
      </c>
      <c r="C94" s="23">
        <v>0.55000000000000004</v>
      </c>
      <c r="D94" s="5">
        <f t="shared" si="6"/>
        <v>0.44444444444444442</v>
      </c>
      <c r="E94" s="23"/>
      <c r="F94" s="23">
        <v>180</v>
      </c>
      <c r="G94" s="23">
        <v>170</v>
      </c>
      <c r="H94" s="5">
        <f t="shared" si="5"/>
        <v>5.555555555555558E-2</v>
      </c>
    </row>
    <row r="95" spans="1:8" x14ac:dyDescent="0.25">
      <c r="A95" s="110">
        <v>40777</v>
      </c>
      <c r="B95" s="23">
        <v>0.91</v>
      </c>
      <c r="C95" s="23">
        <v>0.61</v>
      </c>
      <c r="D95" s="5">
        <f t="shared" si="6"/>
        <v>0.32967032967032972</v>
      </c>
      <c r="E95" s="23"/>
      <c r="F95" s="23">
        <v>30</v>
      </c>
      <c r="G95" s="23">
        <v>30</v>
      </c>
      <c r="H95" s="5">
        <f t="shared" si="5"/>
        <v>0</v>
      </c>
    </row>
    <row r="96" spans="1:8" x14ac:dyDescent="0.25">
      <c r="A96" s="110">
        <v>40812</v>
      </c>
      <c r="B96" s="23">
        <v>1.36</v>
      </c>
      <c r="C96" s="23">
        <v>0.94</v>
      </c>
      <c r="D96" s="5">
        <f t="shared" si="6"/>
        <v>0.30882352941176483</v>
      </c>
      <c r="E96" s="23"/>
      <c r="F96" s="23">
        <v>170</v>
      </c>
      <c r="G96" s="23">
        <v>130</v>
      </c>
      <c r="H96" s="5">
        <f t="shared" si="5"/>
        <v>0.23529411764705888</v>
      </c>
    </row>
    <row r="97" spans="1:8" x14ac:dyDescent="0.25">
      <c r="A97" s="110">
        <v>40840</v>
      </c>
      <c r="B97" s="23">
        <v>1.76</v>
      </c>
      <c r="C97" s="23">
        <v>1.42</v>
      </c>
      <c r="D97" s="5">
        <f t="shared" si="6"/>
        <v>0.19318181818181823</v>
      </c>
      <c r="E97" s="23"/>
      <c r="F97" s="23">
        <v>120</v>
      </c>
      <c r="G97" s="23">
        <v>160</v>
      </c>
      <c r="H97" s="5">
        <f t="shared" si="5"/>
        <v>-0.33333333333333326</v>
      </c>
    </row>
    <row r="98" spans="1:8" x14ac:dyDescent="0.25">
      <c r="A98" s="110">
        <v>40875</v>
      </c>
      <c r="B98" s="23">
        <v>2.75</v>
      </c>
      <c r="C98" s="23">
        <v>2.63</v>
      </c>
      <c r="D98" s="5">
        <f t="shared" si="6"/>
        <v>4.3636363636363695E-2</v>
      </c>
      <c r="E98" s="23"/>
      <c r="F98" s="23">
        <v>10</v>
      </c>
      <c r="G98" s="23">
        <v>10</v>
      </c>
      <c r="H98" s="5">
        <f t="shared" si="5"/>
        <v>0</v>
      </c>
    </row>
    <row r="99" spans="1:8" x14ac:dyDescent="0.25">
      <c r="A99" s="111">
        <v>40892</v>
      </c>
      <c r="B99" s="23">
        <v>2.69</v>
      </c>
      <c r="C99" s="23">
        <v>2.62</v>
      </c>
      <c r="D99" s="5">
        <f t="shared" si="6"/>
        <v>2.6022304832713727E-2</v>
      </c>
      <c r="E99" s="23"/>
      <c r="F99" s="23">
        <v>10</v>
      </c>
      <c r="G99" s="23">
        <v>10</v>
      </c>
      <c r="H99" s="5">
        <f t="shared" si="5"/>
        <v>0</v>
      </c>
    </row>
    <row r="100" spans="1:8" x14ac:dyDescent="0.25">
      <c r="A100" s="88">
        <v>40556</v>
      </c>
      <c r="B100" s="23">
        <v>1.76</v>
      </c>
      <c r="C100" s="23">
        <v>1.83</v>
      </c>
      <c r="D100" s="5">
        <f t="shared" si="6"/>
        <v>-3.9772727272727293E-2</v>
      </c>
      <c r="E100" s="23"/>
      <c r="F100" s="23">
        <v>10</v>
      </c>
      <c r="G100" s="23">
        <v>10</v>
      </c>
      <c r="H100" s="5">
        <f t="shared" si="5"/>
        <v>0</v>
      </c>
    </row>
    <row r="101" spans="1:8" x14ac:dyDescent="0.25">
      <c r="A101" s="88">
        <v>40949</v>
      </c>
      <c r="B101" s="23">
        <v>1.76</v>
      </c>
      <c r="C101" s="23">
        <v>1.6</v>
      </c>
      <c r="D101" s="5">
        <f t="shared" si="6"/>
        <v>9.0909090909090828E-2</v>
      </c>
      <c r="E101" s="23"/>
      <c r="F101" s="23">
        <v>10</v>
      </c>
      <c r="G101" s="23">
        <v>10</v>
      </c>
      <c r="H101" s="5">
        <f t="shared" si="5"/>
        <v>0</v>
      </c>
    </row>
    <row r="102" spans="1:8" x14ac:dyDescent="0.25">
      <c r="A102" s="88">
        <v>40994</v>
      </c>
      <c r="B102" s="23">
        <v>1.1499999999999999</v>
      </c>
      <c r="C102" s="23">
        <v>1.32</v>
      </c>
      <c r="D102" s="5">
        <f t="shared" si="6"/>
        <v>-0.14782608695652177</v>
      </c>
      <c r="E102" s="23"/>
      <c r="F102" s="23">
        <v>10</v>
      </c>
      <c r="G102" s="23">
        <v>10</v>
      </c>
      <c r="H102" s="5">
        <f t="shared" si="5"/>
        <v>0</v>
      </c>
    </row>
    <row r="103" spans="1:8" x14ac:dyDescent="0.25">
      <c r="A103" s="88">
        <v>41022</v>
      </c>
      <c r="B103" s="23">
        <v>1.1499999999999999</v>
      </c>
      <c r="C103" s="23">
        <v>0.75</v>
      </c>
      <c r="D103" s="5">
        <f t="shared" si="6"/>
        <v>0.34782608695652173</v>
      </c>
      <c r="E103" s="23"/>
      <c r="F103" s="23">
        <v>10</v>
      </c>
      <c r="G103" s="23">
        <v>10</v>
      </c>
      <c r="H103" s="5">
        <f t="shared" si="5"/>
        <v>0</v>
      </c>
    </row>
    <row r="104" spans="1:8" x14ac:dyDescent="0.25">
      <c r="A104" s="88">
        <v>41050</v>
      </c>
      <c r="B104" s="23">
        <v>0.81</v>
      </c>
      <c r="C104" s="23">
        <v>0.7</v>
      </c>
      <c r="D104" s="5">
        <f t="shared" si="6"/>
        <v>0.13580246913580263</v>
      </c>
      <c r="E104" s="23"/>
      <c r="F104" s="23">
        <v>270</v>
      </c>
      <c r="G104" s="23">
        <v>80</v>
      </c>
      <c r="H104" s="5">
        <f t="shared" si="5"/>
        <v>0.70370370370370372</v>
      </c>
    </row>
    <row r="105" spans="1:8" x14ac:dyDescent="0.25">
      <c r="A105" s="88">
        <v>41085</v>
      </c>
      <c r="B105" s="23">
        <v>1.1100000000000001</v>
      </c>
      <c r="C105" s="23">
        <v>0.87</v>
      </c>
      <c r="D105" s="5">
        <f t="shared" si="6"/>
        <v>0.21621621621621634</v>
      </c>
      <c r="E105" s="23"/>
      <c r="F105" s="23">
        <v>110</v>
      </c>
      <c r="G105" s="23">
        <v>80</v>
      </c>
      <c r="H105" s="5">
        <f t="shared" si="5"/>
        <v>0.27272727272727271</v>
      </c>
    </row>
    <row r="106" spans="1:8" x14ac:dyDescent="0.25">
      <c r="A106" s="88">
        <v>41113</v>
      </c>
      <c r="B106" s="23">
        <v>0.55000000000000004</v>
      </c>
      <c r="C106" s="23">
        <v>0.74</v>
      </c>
      <c r="D106" s="5">
        <f t="shared" si="6"/>
        <v>-0.34545454545454524</v>
      </c>
      <c r="E106" s="23"/>
      <c r="F106" s="23">
        <v>120</v>
      </c>
      <c r="G106" s="23">
        <v>90</v>
      </c>
      <c r="H106" s="5">
        <f t="shared" si="5"/>
        <v>0.25</v>
      </c>
    </row>
    <row r="107" spans="1:8" x14ac:dyDescent="0.25">
      <c r="A107" s="111">
        <v>41148</v>
      </c>
      <c r="B107" s="23">
        <v>0.9</v>
      </c>
      <c r="C107" s="23">
        <v>0.69</v>
      </c>
      <c r="D107" s="5">
        <f t="shared" si="6"/>
        <v>0.23333333333333339</v>
      </c>
      <c r="E107" s="23"/>
      <c r="F107" s="23">
        <v>70</v>
      </c>
      <c r="G107" s="23">
        <v>50</v>
      </c>
      <c r="H107" s="5">
        <f t="shared" si="5"/>
        <v>0.2857142857142857</v>
      </c>
    </row>
    <row r="108" spans="1:8" x14ac:dyDescent="0.25">
      <c r="A108" s="88">
        <v>41177</v>
      </c>
      <c r="B108" s="23">
        <v>0.83</v>
      </c>
      <c r="C108" s="23">
        <v>0.47</v>
      </c>
      <c r="D108" s="5">
        <f t="shared" si="6"/>
        <v>0.4337349397590361</v>
      </c>
      <c r="E108" s="23"/>
      <c r="F108" s="23">
        <v>70</v>
      </c>
      <c r="G108" s="23">
        <v>20</v>
      </c>
      <c r="H108" s="5">
        <f t="shared" si="5"/>
        <v>0.7142857142857143</v>
      </c>
    </row>
    <row r="109" spans="1:8" x14ac:dyDescent="0.25">
      <c r="A109" s="88">
        <v>41204</v>
      </c>
      <c r="B109" s="21">
        <v>0.86</v>
      </c>
      <c r="C109" s="21">
        <v>0.71</v>
      </c>
      <c r="D109" s="5">
        <f t="shared" si="6"/>
        <v>0.17441860465116277</v>
      </c>
      <c r="E109" s="69" t="s">
        <v>86</v>
      </c>
      <c r="F109" s="21">
        <v>10</v>
      </c>
      <c r="G109" s="23">
        <v>10</v>
      </c>
      <c r="H109" s="5">
        <f t="shared" si="5"/>
        <v>0</v>
      </c>
    </row>
    <row r="110" spans="1:8" x14ac:dyDescent="0.25">
      <c r="A110" s="88">
        <v>41239</v>
      </c>
      <c r="B110" s="21">
        <v>2.12</v>
      </c>
      <c r="C110" s="21">
        <v>2.0099999999999998</v>
      </c>
      <c r="D110" s="5">
        <f t="shared" si="6"/>
        <v>5.1886792452830344E-2</v>
      </c>
      <c r="E110" s="69" t="s">
        <v>86</v>
      </c>
      <c r="F110" s="23">
        <v>10</v>
      </c>
      <c r="G110" s="23">
        <v>10</v>
      </c>
      <c r="H110" s="5">
        <f t="shared" si="5"/>
        <v>0</v>
      </c>
    </row>
    <row r="111" spans="1:8" x14ac:dyDescent="0.25">
      <c r="A111" s="111">
        <v>41255</v>
      </c>
      <c r="B111" s="21">
        <v>2.2000000000000002</v>
      </c>
      <c r="C111" s="21">
        <v>2.12</v>
      </c>
      <c r="D111" s="5">
        <f t="shared" si="6"/>
        <v>3.6363636363636376E-2</v>
      </c>
      <c r="E111" s="23"/>
      <c r="F111" s="23">
        <v>10</v>
      </c>
      <c r="G111" s="23">
        <v>10</v>
      </c>
      <c r="H111" s="5">
        <f t="shared" si="5"/>
        <v>0</v>
      </c>
    </row>
    <row r="114" spans="3:6" x14ac:dyDescent="0.25">
      <c r="C114" s="58"/>
      <c r="D114" s="58"/>
      <c r="E114" s="58"/>
      <c r="F114" s="58"/>
    </row>
    <row r="115" spans="3:6" x14ac:dyDescent="0.25">
      <c r="C115" s="58"/>
      <c r="D115" s="58"/>
      <c r="E115" s="58"/>
      <c r="F115" s="58"/>
    </row>
    <row r="116" spans="3:6" x14ac:dyDescent="0.25">
      <c r="C116" s="58"/>
      <c r="D116" s="58"/>
      <c r="E116" s="58"/>
      <c r="F116" s="58"/>
    </row>
  </sheetData>
  <mergeCells count="3">
    <mergeCell ref="A2:I2"/>
    <mergeCell ref="B3:E3"/>
    <mergeCell ref="F3:I3"/>
  </mergeCells>
  <phoneticPr fontId="8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1"/>
  <sheetViews>
    <sheetView topLeftCell="G1" workbookViewId="0">
      <selection activeCell="I13" sqref="I13"/>
    </sheetView>
  </sheetViews>
  <sheetFormatPr defaultRowHeight="12.5" x14ac:dyDescent="0.25"/>
  <cols>
    <col min="1" max="1" width="10.08984375" bestFit="1" customWidth="1"/>
    <col min="2" max="2" width="19.453125" customWidth="1"/>
    <col min="3" max="3" width="11" customWidth="1"/>
    <col min="4" max="4" width="9.36328125" bestFit="1" customWidth="1"/>
    <col min="5" max="5" width="9.6328125" bestFit="1" customWidth="1"/>
    <col min="6" max="6" width="9.6328125" customWidth="1"/>
    <col min="7" max="8" width="9" bestFit="1" customWidth="1"/>
    <col min="9" max="9" width="10" bestFit="1" customWidth="1"/>
    <col min="10" max="12" width="9.453125" bestFit="1" customWidth="1"/>
    <col min="16" max="16" width="9.54296875" bestFit="1" customWidth="1"/>
    <col min="17" max="17" width="9.453125" bestFit="1" customWidth="1"/>
    <col min="18" max="18" width="9" bestFit="1" customWidth="1"/>
    <col min="19" max="19" width="9.08984375" bestFit="1" customWidth="1"/>
    <col min="20" max="20" width="9" bestFit="1" customWidth="1"/>
    <col min="21" max="21" width="9.36328125" bestFit="1" customWidth="1"/>
    <col min="22" max="22" width="9.6328125" bestFit="1" customWidth="1"/>
    <col min="23" max="24" width="9.36328125" bestFit="1" customWidth="1"/>
    <col min="25" max="26" width="9.453125" bestFit="1" customWidth="1"/>
    <col min="27" max="27" width="6.6328125" bestFit="1" customWidth="1"/>
    <col min="28" max="28" width="6.54296875" bestFit="1" customWidth="1"/>
    <col min="29" max="29" width="6.90625" bestFit="1" customWidth="1"/>
    <col min="30" max="33" width="9.08984375" bestFit="1" customWidth="1"/>
    <col min="39" max="41" width="10.08984375" bestFit="1" customWidth="1"/>
  </cols>
  <sheetData>
    <row r="1" spans="1:52" x14ac:dyDescent="0.25">
      <c r="H1" s="29"/>
      <c r="AN1" s="19" t="e">
        <f>AVERAGE(#REF!)</f>
        <v>#REF!</v>
      </c>
      <c r="AZ1" s="29"/>
    </row>
    <row r="2" spans="1:52" x14ac:dyDescent="0.25">
      <c r="B2" s="285" t="s">
        <v>77</v>
      </c>
      <c r="C2" s="285"/>
      <c r="D2" s="91" t="s">
        <v>79</v>
      </c>
      <c r="E2" s="120"/>
      <c r="G2" s="29" t="s">
        <v>65</v>
      </c>
      <c r="AZ2" s="29"/>
    </row>
    <row r="3" spans="1:52" x14ac:dyDescent="0.25">
      <c r="B3" s="115" t="s">
        <v>76</v>
      </c>
      <c r="C3" s="91" t="s">
        <v>78</v>
      </c>
      <c r="D3" s="91" t="s">
        <v>76</v>
      </c>
      <c r="E3" s="91" t="s">
        <v>78</v>
      </c>
      <c r="G3">
        <v>2006</v>
      </c>
      <c r="H3" s="15">
        <f>SUM(C4:C17)</f>
        <v>136.61095</v>
      </c>
    </row>
    <row r="4" spans="1:52" x14ac:dyDescent="0.25">
      <c r="A4" s="119">
        <v>38791</v>
      </c>
      <c r="B4" s="20">
        <v>0.32</v>
      </c>
      <c r="C4" s="121">
        <v>19.67136</v>
      </c>
      <c r="D4" s="8"/>
      <c r="E4" s="8"/>
      <c r="G4">
        <v>2007</v>
      </c>
      <c r="H4" s="15">
        <f>SUM(C18:C29)</f>
        <v>793.82330750000006</v>
      </c>
    </row>
    <row r="5" spans="1:52" x14ac:dyDescent="0.25">
      <c r="A5" s="119">
        <v>38818</v>
      </c>
      <c r="B5" s="20">
        <v>0.55000000000000004</v>
      </c>
      <c r="C5" s="121">
        <v>32.719500000000004</v>
      </c>
      <c r="D5" s="8"/>
      <c r="E5" s="8"/>
      <c r="G5">
        <v>2008</v>
      </c>
      <c r="H5" s="15">
        <f>SUM(C30:C41)</f>
        <v>406</v>
      </c>
    </row>
    <row r="6" spans="1:52" x14ac:dyDescent="0.25">
      <c r="A6" s="119">
        <v>38859</v>
      </c>
      <c r="B6" s="8">
        <v>0.25</v>
      </c>
      <c r="C6" s="121">
        <v>15.368250000000002</v>
      </c>
      <c r="D6" s="8"/>
      <c r="E6" s="8"/>
      <c r="G6">
        <v>2009</v>
      </c>
      <c r="H6" s="15">
        <f>SUM(C42:C53)</f>
        <v>890</v>
      </c>
    </row>
    <row r="7" spans="1:52" x14ac:dyDescent="0.25">
      <c r="A7" s="119">
        <v>38875</v>
      </c>
      <c r="B7" s="8">
        <v>0.04</v>
      </c>
      <c r="C7" s="121">
        <v>0.95184000000000002</v>
      </c>
      <c r="D7" s="8"/>
      <c r="E7" s="8"/>
      <c r="G7">
        <v>2010</v>
      </c>
      <c r="H7" s="15">
        <f>SUM(C54:C65)</f>
        <v>920.06441999999993</v>
      </c>
    </row>
    <row r="8" spans="1:52" x14ac:dyDescent="0.25">
      <c r="A8" s="119">
        <v>38883</v>
      </c>
      <c r="B8" s="8">
        <v>0</v>
      </c>
      <c r="C8" s="121">
        <v>0.1</v>
      </c>
      <c r="D8" s="8"/>
      <c r="E8" s="8"/>
      <c r="G8">
        <v>2011</v>
      </c>
      <c r="H8" s="15">
        <f>SUM(C66:C77)</f>
        <v>443.38789999999995</v>
      </c>
    </row>
    <row r="9" spans="1:52" x14ac:dyDescent="0.25">
      <c r="A9" s="119">
        <v>38918</v>
      </c>
      <c r="B9" s="8">
        <v>0</v>
      </c>
      <c r="C9" s="8"/>
      <c r="D9" s="8"/>
      <c r="E9" s="8"/>
      <c r="G9">
        <v>2012</v>
      </c>
      <c r="H9" s="15">
        <f>SUM(C78:C89)</f>
        <v>389.99661000000003</v>
      </c>
    </row>
    <row r="10" spans="1:52" x14ac:dyDescent="0.25">
      <c r="A10" s="119">
        <v>38930</v>
      </c>
      <c r="B10" s="8">
        <v>0</v>
      </c>
      <c r="C10" s="8">
        <v>10.1</v>
      </c>
      <c r="D10" s="8"/>
      <c r="E10" s="8"/>
      <c r="G10">
        <v>2013</v>
      </c>
      <c r="H10" s="15">
        <f>SUM(C90:C95)</f>
        <v>163.0026</v>
      </c>
    </row>
    <row r="11" spans="1:52" x14ac:dyDescent="0.25">
      <c r="A11" s="119">
        <v>38947</v>
      </c>
      <c r="B11" s="8">
        <v>0.39</v>
      </c>
      <c r="C11" s="8"/>
      <c r="D11" s="8"/>
      <c r="E11" s="8"/>
      <c r="G11">
        <v>2014</v>
      </c>
      <c r="H11">
        <v>216</v>
      </c>
    </row>
    <row r="12" spans="1:52" x14ac:dyDescent="0.25">
      <c r="A12" s="119">
        <v>38965</v>
      </c>
      <c r="B12" s="8">
        <v>0.15</v>
      </c>
      <c r="C12" s="8">
        <v>6.8</v>
      </c>
      <c r="D12" s="8"/>
      <c r="E12" s="8"/>
      <c r="G12">
        <v>2015</v>
      </c>
      <c r="H12">
        <v>1278</v>
      </c>
    </row>
    <row r="13" spans="1:52" x14ac:dyDescent="0.25">
      <c r="A13" s="119">
        <v>38985</v>
      </c>
      <c r="B13" s="8">
        <v>0.08</v>
      </c>
      <c r="C13" s="8"/>
      <c r="D13" s="8"/>
      <c r="E13" s="8"/>
      <c r="G13">
        <v>2016</v>
      </c>
      <c r="H13">
        <v>514</v>
      </c>
    </row>
    <row r="14" spans="1:52" x14ac:dyDescent="0.25">
      <c r="A14" s="119">
        <v>39010</v>
      </c>
      <c r="B14" s="8">
        <v>0.14000000000000001</v>
      </c>
      <c r="C14" s="8">
        <v>8.6</v>
      </c>
      <c r="D14" s="8"/>
      <c r="E14" s="8"/>
      <c r="G14">
        <v>2017</v>
      </c>
      <c r="H14">
        <v>427</v>
      </c>
    </row>
    <row r="15" spans="1:52" x14ac:dyDescent="0.25">
      <c r="A15" s="119">
        <v>39023</v>
      </c>
      <c r="B15" s="8">
        <v>0.19</v>
      </c>
      <c r="C15" s="8"/>
      <c r="D15" s="8"/>
      <c r="E15" s="8"/>
      <c r="G15">
        <v>2018</v>
      </c>
      <c r="H15">
        <v>322</v>
      </c>
    </row>
    <row r="16" spans="1:52" x14ac:dyDescent="0.25">
      <c r="A16" s="119">
        <v>39041</v>
      </c>
      <c r="B16" s="8">
        <v>0.39</v>
      </c>
      <c r="C16" s="8">
        <v>17.3</v>
      </c>
      <c r="D16" s="8"/>
      <c r="E16" s="8"/>
      <c r="G16">
        <v>2019</v>
      </c>
      <c r="H16">
        <v>325</v>
      </c>
    </row>
    <row r="17" spans="1:5" x14ac:dyDescent="0.25">
      <c r="A17" s="119">
        <v>39058</v>
      </c>
      <c r="B17" s="8">
        <v>0.45</v>
      </c>
      <c r="C17" s="8">
        <v>25</v>
      </c>
      <c r="D17" s="8"/>
      <c r="E17" s="8"/>
    </row>
    <row r="18" spans="1:5" x14ac:dyDescent="0.25">
      <c r="A18" s="74">
        <v>39083</v>
      </c>
      <c r="B18" s="8">
        <v>3.9</v>
      </c>
      <c r="C18" s="8">
        <v>232</v>
      </c>
      <c r="D18" s="8"/>
      <c r="E18" s="8"/>
    </row>
    <row r="19" spans="1:5" x14ac:dyDescent="0.25">
      <c r="A19" s="74">
        <v>39114</v>
      </c>
      <c r="B19" s="8">
        <v>5.17</v>
      </c>
      <c r="C19" s="121">
        <v>131.45307</v>
      </c>
      <c r="D19" s="8"/>
      <c r="E19" s="8"/>
    </row>
    <row r="20" spans="1:5" x14ac:dyDescent="0.25">
      <c r="A20" s="74">
        <v>39142</v>
      </c>
      <c r="B20" s="8">
        <v>1.92</v>
      </c>
      <c r="C20" s="121">
        <v>38.668500000000002</v>
      </c>
      <c r="D20" s="8"/>
      <c r="E20" s="8"/>
    </row>
    <row r="21" spans="1:5" x14ac:dyDescent="0.25">
      <c r="A21" s="74">
        <v>39173</v>
      </c>
      <c r="B21" s="122">
        <v>1.26</v>
      </c>
      <c r="C21" s="121">
        <v>31.504912500000003</v>
      </c>
      <c r="D21" s="8">
        <v>1.1200000000000001</v>
      </c>
      <c r="E21" s="123">
        <v>34</v>
      </c>
    </row>
    <row r="22" spans="1:5" x14ac:dyDescent="0.25">
      <c r="A22" s="74">
        <v>39203</v>
      </c>
      <c r="B22" s="122">
        <v>1.79</v>
      </c>
      <c r="C22" s="121">
        <v>110</v>
      </c>
      <c r="D22" s="8">
        <v>1.69</v>
      </c>
      <c r="E22" s="123">
        <v>104</v>
      </c>
    </row>
    <row r="23" spans="1:5" x14ac:dyDescent="0.25">
      <c r="A23" s="74">
        <v>39234</v>
      </c>
      <c r="B23" s="122">
        <v>12.195450000000001</v>
      </c>
      <c r="C23" s="121">
        <v>41.196825000000004</v>
      </c>
      <c r="D23" s="8">
        <v>2.23</v>
      </c>
      <c r="E23" s="123">
        <v>40</v>
      </c>
    </row>
    <row r="24" spans="1:5" x14ac:dyDescent="0.25">
      <c r="A24" s="74">
        <v>39264</v>
      </c>
      <c r="B24" s="122">
        <v>0.35</v>
      </c>
      <c r="C24" s="121">
        <v>21</v>
      </c>
      <c r="D24" s="8">
        <v>0.34</v>
      </c>
      <c r="E24" s="123">
        <v>20</v>
      </c>
    </row>
    <row r="25" spans="1:5" x14ac:dyDescent="0.25">
      <c r="A25" s="74">
        <v>39295</v>
      </c>
      <c r="B25" s="122">
        <v>0.62</v>
      </c>
      <c r="C25" s="121">
        <v>37</v>
      </c>
      <c r="D25" s="8">
        <v>0.63</v>
      </c>
      <c r="E25" s="123">
        <v>37</v>
      </c>
    </row>
    <row r="26" spans="1:5" x14ac:dyDescent="0.25">
      <c r="A26" s="74">
        <v>39326</v>
      </c>
      <c r="B26" s="122">
        <v>0.78</v>
      </c>
      <c r="C26" s="121">
        <v>46</v>
      </c>
      <c r="D26" s="8">
        <v>1.25</v>
      </c>
      <c r="E26" s="123">
        <v>77</v>
      </c>
    </row>
    <row r="27" spans="1:5" x14ac:dyDescent="0.25">
      <c r="A27" s="74">
        <v>39356</v>
      </c>
      <c r="B27" s="122">
        <v>0.82</v>
      </c>
      <c r="C27" s="121">
        <v>49</v>
      </c>
      <c r="D27" s="8">
        <v>1.26</v>
      </c>
      <c r="E27" s="123">
        <v>77</v>
      </c>
    </row>
    <row r="28" spans="1:5" x14ac:dyDescent="0.25">
      <c r="A28" s="74">
        <v>39387</v>
      </c>
      <c r="B28" s="122">
        <v>0.5</v>
      </c>
      <c r="C28" s="121">
        <v>30</v>
      </c>
      <c r="D28" s="8">
        <v>0.61</v>
      </c>
      <c r="E28" s="123">
        <v>37</v>
      </c>
    </row>
    <row r="29" spans="1:5" x14ac:dyDescent="0.25">
      <c r="A29" s="74">
        <v>39417</v>
      </c>
      <c r="B29" s="122">
        <v>0.44</v>
      </c>
      <c r="C29" s="121">
        <v>26</v>
      </c>
      <c r="D29" s="8">
        <v>0.38</v>
      </c>
      <c r="E29" s="123">
        <v>23</v>
      </c>
    </row>
    <row r="30" spans="1:5" x14ac:dyDescent="0.25">
      <c r="A30" s="74">
        <v>39448</v>
      </c>
      <c r="B30" s="122">
        <v>0.13</v>
      </c>
      <c r="C30" s="121">
        <v>8</v>
      </c>
      <c r="D30" s="8">
        <v>0.08</v>
      </c>
      <c r="E30" s="123">
        <v>5</v>
      </c>
    </row>
    <row r="31" spans="1:5" x14ac:dyDescent="0.25">
      <c r="A31" s="74">
        <v>39479</v>
      </c>
      <c r="B31" s="122">
        <v>0.92</v>
      </c>
      <c r="C31" s="121">
        <v>55</v>
      </c>
      <c r="D31" s="8">
        <v>0.61</v>
      </c>
      <c r="E31" s="123">
        <v>37</v>
      </c>
    </row>
    <row r="32" spans="1:5" x14ac:dyDescent="0.25">
      <c r="A32" s="74">
        <v>39508</v>
      </c>
      <c r="B32" s="122">
        <v>1.1000000000000001</v>
      </c>
      <c r="C32" s="121">
        <v>65</v>
      </c>
      <c r="D32" s="8">
        <v>0.5</v>
      </c>
      <c r="E32" s="123">
        <v>31</v>
      </c>
    </row>
    <row r="33" spans="1:5" x14ac:dyDescent="0.25">
      <c r="A33" s="74">
        <v>39539</v>
      </c>
      <c r="B33" s="122">
        <v>0.48</v>
      </c>
      <c r="C33" s="121">
        <v>29</v>
      </c>
      <c r="D33" s="8">
        <v>0.5</v>
      </c>
      <c r="E33" s="123">
        <v>31</v>
      </c>
    </row>
    <row r="34" spans="1:5" x14ac:dyDescent="0.25">
      <c r="A34" s="74">
        <v>39569</v>
      </c>
      <c r="B34" s="122">
        <v>0.33</v>
      </c>
      <c r="C34" s="121">
        <v>20</v>
      </c>
      <c r="D34" s="8">
        <v>0.37</v>
      </c>
      <c r="E34" s="123">
        <v>23</v>
      </c>
    </row>
    <row r="35" spans="1:5" x14ac:dyDescent="0.25">
      <c r="A35" s="74">
        <v>39600</v>
      </c>
      <c r="B35" s="122">
        <v>0.14000000000000001</v>
      </c>
      <c r="C35" s="121">
        <v>8</v>
      </c>
      <c r="D35" s="8">
        <v>0.25</v>
      </c>
      <c r="E35" s="123">
        <v>15</v>
      </c>
    </row>
    <row r="36" spans="1:5" x14ac:dyDescent="0.25">
      <c r="A36" s="74">
        <v>39630</v>
      </c>
      <c r="B36" s="122">
        <v>1.3</v>
      </c>
      <c r="C36" s="121">
        <v>80</v>
      </c>
      <c r="D36" s="8">
        <v>1.86</v>
      </c>
      <c r="E36" s="123">
        <v>114</v>
      </c>
    </row>
    <row r="37" spans="1:5" x14ac:dyDescent="0.25">
      <c r="A37" s="74">
        <v>39661</v>
      </c>
      <c r="B37" s="122">
        <v>0.7</v>
      </c>
      <c r="C37" s="121">
        <v>43</v>
      </c>
      <c r="D37" s="8">
        <v>0.87</v>
      </c>
      <c r="E37" s="123">
        <v>53</v>
      </c>
    </row>
    <row r="38" spans="1:5" x14ac:dyDescent="0.25">
      <c r="A38" s="74">
        <v>39692</v>
      </c>
      <c r="B38" s="122">
        <v>0.47</v>
      </c>
      <c r="C38" s="121">
        <v>28</v>
      </c>
      <c r="D38" s="8">
        <v>0.62</v>
      </c>
      <c r="E38" s="123">
        <v>37</v>
      </c>
    </row>
    <row r="39" spans="1:5" x14ac:dyDescent="0.25">
      <c r="A39" s="74">
        <v>39722</v>
      </c>
      <c r="B39" s="122">
        <v>0.39</v>
      </c>
      <c r="C39" s="121">
        <v>24</v>
      </c>
      <c r="D39" s="8">
        <v>0.43</v>
      </c>
      <c r="E39" s="123">
        <v>26</v>
      </c>
    </row>
    <row r="40" spans="1:5" x14ac:dyDescent="0.25">
      <c r="A40" s="74">
        <v>39753</v>
      </c>
      <c r="B40" s="122">
        <v>0.63</v>
      </c>
      <c r="C40" s="121">
        <v>37</v>
      </c>
      <c r="D40" s="8">
        <v>0.7</v>
      </c>
      <c r="E40" s="123">
        <v>42</v>
      </c>
    </row>
    <row r="41" spans="1:5" x14ac:dyDescent="0.25">
      <c r="A41" s="74">
        <v>39783</v>
      </c>
      <c r="B41" s="122">
        <v>0.15</v>
      </c>
      <c r="C41" s="121">
        <v>9</v>
      </c>
      <c r="D41" s="8">
        <v>0.15</v>
      </c>
      <c r="E41" s="123">
        <v>9</v>
      </c>
    </row>
    <row r="42" spans="1:5" x14ac:dyDescent="0.25">
      <c r="A42" s="74">
        <v>39814</v>
      </c>
      <c r="B42" s="122">
        <v>0.14000000000000001</v>
      </c>
      <c r="C42" s="121">
        <v>9</v>
      </c>
      <c r="D42" s="8"/>
      <c r="E42" s="123"/>
    </row>
    <row r="43" spans="1:5" x14ac:dyDescent="0.25">
      <c r="A43" s="74">
        <v>39845</v>
      </c>
      <c r="B43" s="122">
        <v>0.15</v>
      </c>
      <c r="C43" s="121">
        <v>8</v>
      </c>
      <c r="D43" s="8">
        <v>0.46</v>
      </c>
      <c r="E43" s="123">
        <v>26</v>
      </c>
    </row>
    <row r="44" spans="1:5" x14ac:dyDescent="0.25">
      <c r="A44" s="74">
        <v>39873</v>
      </c>
      <c r="B44" s="122">
        <v>0.23</v>
      </c>
      <c r="C44" s="121">
        <v>14</v>
      </c>
      <c r="D44" s="8">
        <v>0.28000000000000003</v>
      </c>
      <c r="E44" s="123">
        <v>17</v>
      </c>
    </row>
    <row r="45" spans="1:5" x14ac:dyDescent="0.25">
      <c r="A45" s="74">
        <v>39904</v>
      </c>
      <c r="B45" s="122">
        <v>8.01</v>
      </c>
      <c r="C45" s="121">
        <v>477</v>
      </c>
      <c r="D45" s="8">
        <v>10.1</v>
      </c>
      <c r="E45" s="123">
        <v>601</v>
      </c>
    </row>
    <row r="46" spans="1:5" x14ac:dyDescent="0.25">
      <c r="A46" s="74">
        <v>39934</v>
      </c>
      <c r="B46" s="122">
        <v>0.56999999999999995</v>
      </c>
      <c r="C46" s="121">
        <v>35</v>
      </c>
      <c r="D46" s="8">
        <v>0.9</v>
      </c>
      <c r="E46" s="123">
        <v>55</v>
      </c>
    </row>
    <row r="47" spans="1:5" x14ac:dyDescent="0.25">
      <c r="A47" s="74">
        <v>39965</v>
      </c>
      <c r="B47" s="122">
        <v>0.55000000000000004</v>
      </c>
      <c r="C47" s="121">
        <v>33</v>
      </c>
      <c r="D47" s="8">
        <v>0.63</v>
      </c>
      <c r="E47" s="123">
        <v>37</v>
      </c>
    </row>
    <row r="48" spans="1:5" x14ac:dyDescent="0.25">
      <c r="A48" s="74">
        <v>39995</v>
      </c>
      <c r="B48" s="122">
        <v>0.6</v>
      </c>
      <c r="C48" s="121">
        <v>37</v>
      </c>
      <c r="D48" s="8">
        <v>0.8</v>
      </c>
      <c r="E48" s="123">
        <v>49</v>
      </c>
    </row>
    <row r="49" spans="1:12" x14ac:dyDescent="0.25">
      <c r="A49" s="74">
        <v>40026</v>
      </c>
      <c r="B49" s="122">
        <v>0.77</v>
      </c>
      <c r="C49" s="121">
        <v>47</v>
      </c>
      <c r="D49" s="8">
        <v>0.81</v>
      </c>
      <c r="E49" s="123">
        <v>50</v>
      </c>
      <c r="H49" t="s">
        <v>80</v>
      </c>
      <c r="I49" t="s">
        <v>81</v>
      </c>
      <c r="J49" t="s">
        <v>82</v>
      </c>
      <c r="K49" t="s">
        <v>83</v>
      </c>
      <c r="L49" t="s">
        <v>84</v>
      </c>
    </row>
    <row r="50" spans="1:12" ht="13" x14ac:dyDescent="0.3">
      <c r="A50" s="74">
        <v>40057</v>
      </c>
      <c r="B50" s="122">
        <v>0.47</v>
      </c>
      <c r="C50" s="121">
        <v>28</v>
      </c>
      <c r="D50" s="8">
        <v>0.55000000000000004</v>
      </c>
      <c r="E50" s="123">
        <v>33</v>
      </c>
      <c r="G50" s="29" t="s">
        <v>42</v>
      </c>
      <c r="H50" s="124">
        <v>2</v>
      </c>
      <c r="I50" s="125">
        <v>0.5</v>
      </c>
      <c r="J50" s="125">
        <v>0.2</v>
      </c>
      <c r="K50" s="125">
        <f>I50*1.5</f>
        <v>0.75</v>
      </c>
      <c r="L50" s="125">
        <f>J50*K50</f>
        <v>0.15000000000000002</v>
      </c>
    </row>
    <row r="51" spans="1:12" ht="13" x14ac:dyDescent="0.3">
      <c r="A51" s="74">
        <v>40087</v>
      </c>
      <c r="B51" s="122">
        <v>0.71</v>
      </c>
      <c r="C51" s="121">
        <v>44</v>
      </c>
      <c r="D51" s="8">
        <v>0.57999999999999996</v>
      </c>
      <c r="E51" s="123">
        <v>36</v>
      </c>
      <c r="H51" s="126"/>
      <c r="I51" s="89"/>
      <c r="J51" s="89"/>
      <c r="K51" s="125"/>
      <c r="L51" s="125"/>
    </row>
    <row r="52" spans="1:12" ht="13" x14ac:dyDescent="0.3">
      <c r="A52" s="74">
        <v>40118</v>
      </c>
      <c r="B52" s="122">
        <v>1.93</v>
      </c>
      <c r="C52" s="121">
        <v>133</v>
      </c>
      <c r="D52" s="8">
        <v>1.93</v>
      </c>
      <c r="E52" s="123">
        <v>117</v>
      </c>
      <c r="G52" s="29" t="s">
        <v>85</v>
      </c>
      <c r="H52" s="124">
        <v>6</v>
      </c>
      <c r="I52" s="89">
        <v>0.2</v>
      </c>
      <c r="J52" s="89">
        <v>0.6</v>
      </c>
      <c r="K52" s="125">
        <f>I52*2</f>
        <v>0.4</v>
      </c>
      <c r="L52" s="125">
        <f t="shared" ref="L52" si="0">J52*K52</f>
        <v>0.24</v>
      </c>
    </row>
    <row r="53" spans="1:12" x14ac:dyDescent="0.25">
      <c r="A53" s="74">
        <v>40148</v>
      </c>
      <c r="B53" s="122">
        <v>0.4</v>
      </c>
      <c r="C53" s="121">
        <v>25</v>
      </c>
      <c r="D53" s="8">
        <v>0.84</v>
      </c>
      <c r="E53" s="123">
        <v>52</v>
      </c>
    </row>
    <row r="54" spans="1:12" x14ac:dyDescent="0.25">
      <c r="A54" s="74">
        <v>40179</v>
      </c>
      <c r="B54" s="122">
        <v>0.44</v>
      </c>
      <c r="C54" s="121">
        <v>27.048120000000001</v>
      </c>
      <c r="D54" s="8">
        <v>0.17</v>
      </c>
      <c r="E54" s="123">
        <v>10.450410000000002</v>
      </c>
    </row>
    <row r="55" spans="1:12" x14ac:dyDescent="0.25">
      <c r="A55" s="74">
        <v>40210</v>
      </c>
      <c r="B55" s="122">
        <v>0.43</v>
      </c>
      <c r="C55" s="121">
        <v>23.875320000000002</v>
      </c>
      <c r="D55" s="8">
        <v>0.49</v>
      </c>
      <c r="E55" s="123">
        <v>27.206760000000003</v>
      </c>
    </row>
    <row r="56" spans="1:12" x14ac:dyDescent="0.25">
      <c r="A56" s="74">
        <v>40238</v>
      </c>
      <c r="B56" s="122">
        <v>2.35</v>
      </c>
      <c r="C56" s="121">
        <v>144.46154999999999</v>
      </c>
      <c r="D56" s="8">
        <v>2.4700000000000002</v>
      </c>
      <c r="E56" s="123">
        <v>151.83831000000001</v>
      </c>
    </row>
    <row r="57" spans="1:12" x14ac:dyDescent="0.25">
      <c r="A57" s="74">
        <v>40269</v>
      </c>
      <c r="B57" s="122">
        <v>6.8</v>
      </c>
      <c r="C57" s="121">
        <v>405</v>
      </c>
      <c r="D57" s="8">
        <v>5.2</v>
      </c>
      <c r="E57" s="123">
        <v>309.34800000000001</v>
      </c>
    </row>
    <row r="58" spans="1:12" x14ac:dyDescent="0.25">
      <c r="A58" s="74">
        <v>40299</v>
      </c>
      <c r="B58" s="122">
        <v>0.8</v>
      </c>
      <c r="C58" s="121">
        <v>47.592000000000006</v>
      </c>
      <c r="D58" s="8">
        <v>0.8</v>
      </c>
      <c r="E58" s="123">
        <v>47.592000000000006</v>
      </c>
    </row>
    <row r="59" spans="1:12" x14ac:dyDescent="0.25">
      <c r="A59" s="74">
        <v>40330</v>
      </c>
      <c r="B59" s="122">
        <v>0.74</v>
      </c>
      <c r="C59" s="121">
        <v>44.022599999999997</v>
      </c>
      <c r="D59" s="8">
        <v>0.74</v>
      </c>
      <c r="E59" s="123">
        <v>44.022599999999997</v>
      </c>
    </row>
    <row r="60" spans="1:12" x14ac:dyDescent="0.25">
      <c r="A60" s="74">
        <v>40360</v>
      </c>
      <c r="B60" s="122">
        <v>0.65</v>
      </c>
      <c r="C60" s="121">
        <v>39.957450000000001</v>
      </c>
      <c r="D60" s="8">
        <v>0.55000000000000004</v>
      </c>
      <c r="E60" s="123">
        <v>33.810150000000007</v>
      </c>
    </row>
    <row r="61" spans="1:12" x14ac:dyDescent="0.25">
      <c r="A61" s="74">
        <v>40391</v>
      </c>
      <c r="B61" s="122">
        <v>0.81</v>
      </c>
      <c r="C61" s="121">
        <v>49.793130000000005</v>
      </c>
      <c r="D61" s="8">
        <v>0.77</v>
      </c>
      <c r="E61" s="123">
        <v>47.334210000000006</v>
      </c>
    </row>
    <row r="62" spans="1:12" x14ac:dyDescent="0.25">
      <c r="A62" s="74">
        <v>40422</v>
      </c>
      <c r="B62" s="122">
        <v>0.47</v>
      </c>
      <c r="C62" s="121">
        <v>28.892310000000002</v>
      </c>
      <c r="D62" s="8">
        <v>0.55000000000000004</v>
      </c>
      <c r="E62" s="123">
        <v>33.810150000000007</v>
      </c>
    </row>
    <row r="63" spans="1:12" x14ac:dyDescent="0.25">
      <c r="A63" s="74">
        <v>40452</v>
      </c>
      <c r="B63" s="122">
        <v>0.72</v>
      </c>
      <c r="C63" s="121">
        <v>44.260559999999998</v>
      </c>
      <c r="D63" s="8">
        <v>0.43</v>
      </c>
      <c r="E63" s="123">
        <v>26.433390000000003</v>
      </c>
    </row>
    <row r="64" spans="1:12" x14ac:dyDescent="0.25">
      <c r="A64" s="74">
        <v>40483</v>
      </c>
      <c r="B64" s="122">
        <v>0.51</v>
      </c>
      <c r="C64" s="121">
        <v>31.351230000000001</v>
      </c>
      <c r="D64" s="8">
        <v>0.43</v>
      </c>
      <c r="E64" s="123">
        <v>26.433390000000003</v>
      </c>
    </row>
    <row r="65" spans="1:5" x14ac:dyDescent="0.25">
      <c r="A65" s="74">
        <v>40513</v>
      </c>
      <c r="B65" s="122">
        <v>0.55000000000000004</v>
      </c>
      <c r="C65" s="121">
        <v>33.810150000000007</v>
      </c>
      <c r="D65" s="8">
        <v>0.71</v>
      </c>
      <c r="E65" s="123">
        <v>43.645829999999997</v>
      </c>
    </row>
    <row r="66" spans="1:5" x14ac:dyDescent="0.25">
      <c r="A66" s="74">
        <v>40544</v>
      </c>
      <c r="B66" s="122">
        <v>0.32</v>
      </c>
      <c r="C66" s="121">
        <v>20</v>
      </c>
      <c r="D66" s="8">
        <v>0.28999999999999998</v>
      </c>
      <c r="E66" s="123">
        <v>18</v>
      </c>
    </row>
    <row r="67" spans="1:5" x14ac:dyDescent="0.25">
      <c r="A67" s="74">
        <v>40575</v>
      </c>
      <c r="B67" s="122">
        <v>0.3</v>
      </c>
      <c r="C67" s="121">
        <v>18</v>
      </c>
      <c r="D67" s="8">
        <v>0.24</v>
      </c>
      <c r="E67" s="123">
        <v>15</v>
      </c>
    </row>
    <row r="68" spans="1:5" x14ac:dyDescent="0.25">
      <c r="A68" s="74">
        <v>40603</v>
      </c>
      <c r="B68" s="122">
        <v>0.28999999999999998</v>
      </c>
      <c r="C68" s="121">
        <v>18</v>
      </c>
      <c r="D68" s="8">
        <v>0.24</v>
      </c>
      <c r="E68" s="123">
        <v>15</v>
      </c>
    </row>
    <row r="69" spans="1:5" x14ac:dyDescent="0.25">
      <c r="A69" s="74">
        <v>40634</v>
      </c>
      <c r="B69" s="122">
        <v>2.5299999999999998</v>
      </c>
      <c r="C69" s="121">
        <v>156</v>
      </c>
      <c r="D69" s="8">
        <v>2.48</v>
      </c>
      <c r="E69" s="123">
        <v>152</v>
      </c>
    </row>
    <row r="70" spans="1:5" x14ac:dyDescent="0.25">
      <c r="A70" s="74">
        <v>40664</v>
      </c>
      <c r="B70" s="122">
        <v>0.61</v>
      </c>
      <c r="C70" s="121">
        <v>37</v>
      </c>
      <c r="D70" s="8">
        <v>0.57999999999999996</v>
      </c>
      <c r="E70" s="123">
        <v>36</v>
      </c>
    </row>
    <row r="71" spans="1:5" x14ac:dyDescent="0.25">
      <c r="A71" s="74">
        <v>40695</v>
      </c>
      <c r="B71" s="122">
        <v>0.24</v>
      </c>
      <c r="C71" s="121">
        <v>15</v>
      </c>
      <c r="D71" s="8">
        <v>0.32</v>
      </c>
      <c r="E71" s="123">
        <v>20</v>
      </c>
    </row>
    <row r="72" spans="1:5" x14ac:dyDescent="0.25">
      <c r="A72" s="74">
        <v>40725</v>
      </c>
      <c r="B72" s="122">
        <v>0.45</v>
      </c>
      <c r="C72" s="121">
        <v>27.662850000000002</v>
      </c>
      <c r="D72" s="8">
        <v>0.51</v>
      </c>
      <c r="E72" s="123">
        <v>31.351230000000001</v>
      </c>
    </row>
    <row r="73" spans="1:5" x14ac:dyDescent="0.25">
      <c r="A73" s="74">
        <v>40756</v>
      </c>
      <c r="B73" s="122">
        <v>0.56999999999999995</v>
      </c>
      <c r="C73" s="121">
        <v>35.039609999999996</v>
      </c>
      <c r="D73" s="8">
        <v>0.67</v>
      </c>
      <c r="E73" s="123">
        <v>41.186910000000005</v>
      </c>
    </row>
    <row r="74" spans="1:5" x14ac:dyDescent="0.25">
      <c r="A74" s="74">
        <v>40787</v>
      </c>
      <c r="B74" s="122">
        <v>0.38</v>
      </c>
      <c r="C74" s="121">
        <v>23.359740000000002</v>
      </c>
      <c r="D74" s="8">
        <v>0.48</v>
      </c>
      <c r="E74" s="123">
        <v>29.50704</v>
      </c>
    </row>
    <row r="75" spans="1:5" x14ac:dyDescent="0.25">
      <c r="A75" s="74">
        <v>40817</v>
      </c>
      <c r="B75" s="122">
        <v>0.4</v>
      </c>
      <c r="C75" s="121">
        <v>24.589200000000005</v>
      </c>
      <c r="D75" s="8">
        <v>0.52</v>
      </c>
      <c r="E75" s="123">
        <v>31.965960000000003</v>
      </c>
    </row>
    <row r="76" spans="1:5" x14ac:dyDescent="0.25">
      <c r="A76" s="74">
        <v>40848</v>
      </c>
      <c r="B76" s="122">
        <v>0.5</v>
      </c>
      <c r="C76" s="121">
        <v>30.736500000000003</v>
      </c>
      <c r="D76" s="8">
        <v>0.86</v>
      </c>
      <c r="E76" s="123">
        <v>52.866780000000006</v>
      </c>
    </row>
    <row r="77" spans="1:5" x14ac:dyDescent="0.25">
      <c r="A77" s="74">
        <v>40878</v>
      </c>
      <c r="B77" s="122">
        <v>0.62</v>
      </c>
      <c r="C77" s="121">
        <v>38</v>
      </c>
      <c r="D77" s="8">
        <v>1.04</v>
      </c>
      <c r="E77" s="123">
        <v>64</v>
      </c>
    </row>
    <row r="78" spans="1:5" x14ac:dyDescent="0.25">
      <c r="A78" s="74">
        <v>40909</v>
      </c>
      <c r="B78" s="8">
        <v>1.06</v>
      </c>
      <c r="C78" s="123">
        <f>B78*1.983*31</f>
        <v>65.161380000000008</v>
      </c>
      <c r="D78" s="8">
        <v>0.54</v>
      </c>
      <c r="E78" s="123">
        <f>D78*1.983*31</f>
        <v>33.195420000000006</v>
      </c>
    </row>
    <row r="79" spans="1:5" x14ac:dyDescent="0.25">
      <c r="A79" s="74">
        <v>40940</v>
      </c>
      <c r="B79" s="8">
        <v>0.61</v>
      </c>
      <c r="C79" s="123">
        <f>B79*1.983*28</f>
        <v>33.869639999999997</v>
      </c>
      <c r="D79" s="8">
        <v>0.74</v>
      </c>
      <c r="E79" s="123">
        <f>D79*1.983*28</f>
        <v>41.087759999999996</v>
      </c>
    </row>
    <row r="80" spans="1:5" x14ac:dyDescent="0.25">
      <c r="A80" s="74">
        <v>40969</v>
      </c>
      <c r="B80" s="8">
        <v>0.79</v>
      </c>
      <c r="C80" s="123">
        <f>B80*1.983*30</f>
        <v>46.99710000000001</v>
      </c>
      <c r="D80" s="8">
        <v>1.0900000000000001</v>
      </c>
      <c r="E80" s="123">
        <f>D80*1.983*30</f>
        <v>64.844100000000012</v>
      </c>
    </row>
    <row r="81" spans="1:5" x14ac:dyDescent="0.25">
      <c r="A81" s="74">
        <v>41000</v>
      </c>
      <c r="B81" s="8">
        <v>0.76</v>
      </c>
      <c r="C81" s="123">
        <f>B81*1.983*30</f>
        <v>45.212400000000002</v>
      </c>
      <c r="D81" s="8">
        <v>1.2</v>
      </c>
      <c r="E81" s="123">
        <f>D81*1.983*30</f>
        <v>71.388000000000005</v>
      </c>
    </row>
    <row r="82" spans="1:5" x14ac:dyDescent="0.25">
      <c r="A82" s="74">
        <v>41030</v>
      </c>
      <c r="B82" s="8">
        <v>0.7</v>
      </c>
      <c r="C82" s="123">
        <f t="shared" ref="C82:E89" si="1">B82*1.983*31</f>
        <v>43.031099999999995</v>
      </c>
      <c r="D82" s="8">
        <v>0.79</v>
      </c>
      <c r="E82" s="123">
        <f t="shared" si="1"/>
        <v>48.563670000000009</v>
      </c>
    </row>
    <row r="83" spans="1:5" x14ac:dyDescent="0.25">
      <c r="A83" s="74">
        <v>41061</v>
      </c>
      <c r="B83" s="8">
        <v>0.64</v>
      </c>
      <c r="C83" s="123">
        <f>B83*1.983*30</f>
        <v>38.073599999999999</v>
      </c>
      <c r="D83" s="8">
        <v>0.24</v>
      </c>
      <c r="E83" s="123">
        <f>D83*1.983*30</f>
        <v>14.2776</v>
      </c>
    </row>
    <row r="84" spans="1:5" x14ac:dyDescent="0.25">
      <c r="A84" s="74">
        <v>41091</v>
      </c>
      <c r="B84" s="8">
        <v>0.24</v>
      </c>
      <c r="C84" s="123">
        <f t="shared" si="1"/>
        <v>14.75352</v>
      </c>
      <c r="D84" s="8">
        <v>0.16</v>
      </c>
      <c r="E84" s="123">
        <f t="shared" si="1"/>
        <v>9.83568</v>
      </c>
    </row>
    <row r="85" spans="1:5" x14ac:dyDescent="0.25">
      <c r="A85" s="74">
        <v>41122</v>
      </c>
      <c r="B85" s="8">
        <v>0.46</v>
      </c>
      <c r="C85" s="123">
        <f t="shared" si="1"/>
        <v>28.277580000000004</v>
      </c>
      <c r="D85" s="8">
        <v>0.3</v>
      </c>
      <c r="E85" s="123">
        <f t="shared" si="1"/>
        <v>18.4419</v>
      </c>
    </row>
    <row r="86" spans="1:5" x14ac:dyDescent="0.25">
      <c r="A86" s="74">
        <v>41153</v>
      </c>
      <c r="B86" s="8">
        <v>0.35</v>
      </c>
      <c r="C86" s="123">
        <f>B86*1.983*30</f>
        <v>20.821499999999997</v>
      </c>
      <c r="D86" s="8">
        <v>0.4</v>
      </c>
      <c r="E86" s="123">
        <f>D86*1.983*30</f>
        <v>23.796000000000003</v>
      </c>
    </row>
    <row r="87" spans="1:5" x14ac:dyDescent="0.25">
      <c r="A87" s="74">
        <v>41183</v>
      </c>
      <c r="B87" s="8">
        <v>0.2</v>
      </c>
      <c r="C87" s="123">
        <f t="shared" si="1"/>
        <v>12.294600000000003</v>
      </c>
      <c r="D87" s="8">
        <v>0.25</v>
      </c>
      <c r="E87" s="123">
        <f t="shared" si="1"/>
        <v>15.368250000000002</v>
      </c>
    </row>
    <row r="88" spans="1:5" x14ac:dyDescent="0.25">
      <c r="A88" s="74">
        <v>41214</v>
      </c>
      <c r="B88" s="8">
        <v>0.15</v>
      </c>
      <c r="C88" s="123">
        <f>B88*1.983*30</f>
        <v>8.9235000000000007</v>
      </c>
      <c r="D88" s="8">
        <v>0.24</v>
      </c>
      <c r="E88" s="123">
        <f>D88*1.983*30</f>
        <v>14.2776</v>
      </c>
    </row>
    <row r="89" spans="1:5" x14ac:dyDescent="0.25">
      <c r="A89" s="74">
        <v>41244</v>
      </c>
      <c r="B89" s="8">
        <v>0.53</v>
      </c>
      <c r="C89" s="123">
        <f t="shared" si="1"/>
        <v>32.580690000000004</v>
      </c>
      <c r="D89" s="8">
        <v>0.25</v>
      </c>
      <c r="E89" s="123">
        <f t="shared" si="1"/>
        <v>15.368250000000002</v>
      </c>
    </row>
    <row r="90" spans="1:5" x14ac:dyDescent="0.25">
      <c r="A90" s="145" t="s">
        <v>90</v>
      </c>
      <c r="C90" s="121">
        <v>25.104779999999998</v>
      </c>
      <c r="E90" s="121">
        <v>19.750680000000003</v>
      </c>
    </row>
    <row r="91" spans="1:5" x14ac:dyDescent="0.25">
      <c r="A91" s="145" t="s">
        <v>91</v>
      </c>
      <c r="C91" s="121">
        <v>27.841320000000003</v>
      </c>
      <c r="E91" s="121">
        <v>58.776120000000006</v>
      </c>
    </row>
    <row r="92" spans="1:5" x14ac:dyDescent="0.25">
      <c r="A92" s="146" t="s">
        <v>92</v>
      </c>
      <c r="C92" s="121">
        <v>32.124600000000001</v>
      </c>
      <c r="E92" s="121">
        <v>45.926280000000006</v>
      </c>
    </row>
    <row r="93" spans="1:5" x14ac:dyDescent="0.25">
      <c r="A93" s="145" t="s">
        <v>93</v>
      </c>
      <c r="C93" s="121">
        <v>22.963140000000003</v>
      </c>
      <c r="E93" s="121">
        <v>15.348420000000001</v>
      </c>
    </row>
    <row r="94" spans="1:5" x14ac:dyDescent="0.25">
      <c r="A94" s="145" t="s">
        <v>94</v>
      </c>
      <c r="C94" s="121">
        <v>0</v>
      </c>
      <c r="E94" s="121">
        <v>59.49</v>
      </c>
    </row>
    <row r="95" spans="1:5" x14ac:dyDescent="0.25">
      <c r="A95" s="145" t="s">
        <v>95</v>
      </c>
      <c r="C95" s="121">
        <v>54.96876000000001</v>
      </c>
      <c r="E95" s="121">
        <v>24.390900000000002</v>
      </c>
    </row>
    <row r="96" spans="1:5" x14ac:dyDescent="0.25">
      <c r="A96" s="145" t="s">
        <v>134</v>
      </c>
      <c r="C96" s="212">
        <v>35.694000000000003</v>
      </c>
      <c r="E96" s="212">
        <v>35.812980000000003</v>
      </c>
    </row>
    <row r="97" spans="1:5" x14ac:dyDescent="0.25">
      <c r="A97" s="145" t="s">
        <v>135</v>
      </c>
      <c r="C97" s="212">
        <v>16.934820000000002</v>
      </c>
      <c r="E97" s="212">
        <v>23.558040000000002</v>
      </c>
    </row>
    <row r="98" spans="1:5" x14ac:dyDescent="0.25">
      <c r="A98" s="146" t="s">
        <v>136</v>
      </c>
      <c r="C98" s="212">
        <v>42.337049999999998</v>
      </c>
      <c r="E98" s="212">
        <v>29.745000000000001</v>
      </c>
    </row>
    <row r="99" spans="1:5" x14ac:dyDescent="0.25">
      <c r="A99" s="145" t="s">
        <v>137</v>
      </c>
      <c r="C99" s="212">
        <v>35.654339999999998</v>
      </c>
      <c r="E99" s="212">
        <v>34.504199999999997</v>
      </c>
    </row>
    <row r="100" spans="1:5" x14ac:dyDescent="0.25">
      <c r="A100" s="145" t="s">
        <v>138</v>
      </c>
      <c r="C100" s="212">
        <v>42.337049999999998</v>
      </c>
      <c r="E100" s="212">
        <v>45.807300000000005</v>
      </c>
    </row>
    <row r="101" spans="1:5" x14ac:dyDescent="0.25">
      <c r="A101" s="145" t="s">
        <v>139</v>
      </c>
      <c r="C101" s="212">
        <v>20.56371</v>
      </c>
      <c r="E101" s="212">
        <v>47.116080000000004</v>
      </c>
    </row>
  </sheetData>
  <mergeCells count="1">
    <mergeCell ref="B2:C2"/>
  </mergeCells>
  <phoneticPr fontId="8" type="noConversion"/>
  <pageMargins left="0.75" right="0.75" top="1" bottom="1" header="0.5" footer="0.5"/>
  <pageSetup orientation="portrait" horizontalDpi="4294967294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E128"/>
  <sheetViews>
    <sheetView tabSelected="1" topLeftCell="S67" workbookViewId="0">
      <selection activeCell="AB68" sqref="AB68"/>
    </sheetView>
  </sheetViews>
  <sheetFormatPr defaultRowHeight="12.5" x14ac:dyDescent="0.25"/>
  <cols>
    <col min="1" max="1" width="18.453125" bestFit="1" customWidth="1"/>
    <col min="2" max="2" width="14.36328125" bestFit="1" customWidth="1"/>
    <col min="3" max="3" width="10.453125" customWidth="1"/>
    <col min="4" max="4" width="11" customWidth="1"/>
    <col min="5" max="6" width="9.54296875" customWidth="1"/>
    <col min="7" max="8" width="11.453125" customWidth="1"/>
    <col min="9" max="9" width="10.36328125" bestFit="1" customWidth="1"/>
    <col min="10" max="10" width="10.36328125" customWidth="1"/>
    <col min="11" max="11" width="10.36328125" bestFit="1" customWidth="1"/>
    <col min="12" max="12" width="9.54296875" bestFit="1" customWidth="1"/>
    <col min="13" max="13" width="10.1796875" bestFit="1" customWidth="1"/>
    <col min="14" max="14" width="10.6328125" customWidth="1"/>
    <col min="16" max="16" width="55.08984375" bestFit="1" customWidth="1"/>
    <col min="17" max="17" width="12" bestFit="1" customWidth="1"/>
    <col min="18" max="18" width="6.6328125" bestFit="1" customWidth="1"/>
    <col min="19" max="19" width="11.453125" bestFit="1" customWidth="1"/>
    <col min="20" max="20" width="10.08984375" bestFit="1" customWidth="1"/>
    <col min="23" max="23" width="11.6328125" customWidth="1"/>
    <col min="28" max="28" width="6.54296875" bestFit="1" customWidth="1"/>
    <col min="29" max="30" width="6.90625" bestFit="1" customWidth="1"/>
    <col min="31" max="32" width="6.54296875" bestFit="1" customWidth="1"/>
    <col min="33" max="33" width="6.90625" bestFit="1" customWidth="1"/>
    <col min="34" max="34" width="7.08984375" bestFit="1" customWidth="1"/>
    <col min="35" max="35" width="6.6328125" bestFit="1" customWidth="1"/>
    <col min="36" max="40" width="7.54296875" bestFit="1" customWidth="1"/>
    <col min="41" max="42" width="6.90625" bestFit="1" customWidth="1"/>
  </cols>
  <sheetData>
    <row r="2" spans="1:57" x14ac:dyDescent="0.25">
      <c r="A2" s="292" t="s">
        <v>0</v>
      </c>
      <c r="B2" s="292"/>
      <c r="C2" s="292"/>
      <c r="D2" s="292"/>
      <c r="E2" s="292"/>
      <c r="F2" s="127"/>
    </row>
    <row r="3" spans="1:57" x14ac:dyDescent="0.25">
      <c r="A3" s="1"/>
      <c r="B3" s="284" t="s">
        <v>1</v>
      </c>
      <c r="C3" s="284"/>
      <c r="D3" s="284" t="s">
        <v>2</v>
      </c>
      <c r="E3" s="284"/>
      <c r="F3" s="128"/>
      <c r="I3" s="17"/>
      <c r="J3" s="26">
        <v>38777</v>
      </c>
      <c r="K3" s="27">
        <v>38808</v>
      </c>
      <c r="L3" s="26">
        <v>38838</v>
      </c>
      <c r="M3" s="27">
        <v>38869</v>
      </c>
      <c r="N3" s="26">
        <v>38899</v>
      </c>
      <c r="O3" s="27">
        <v>38930</v>
      </c>
      <c r="P3" s="81"/>
      <c r="Q3" s="81"/>
      <c r="R3" s="26">
        <v>38961</v>
      </c>
      <c r="S3" s="27">
        <v>38991</v>
      </c>
      <c r="T3" s="26">
        <v>39022</v>
      </c>
      <c r="U3" s="27">
        <v>39052</v>
      </c>
      <c r="V3" s="26">
        <v>39083</v>
      </c>
      <c r="W3" s="27">
        <v>39114</v>
      </c>
      <c r="X3" s="26">
        <v>39142</v>
      </c>
      <c r="Y3" s="27">
        <v>39173</v>
      </c>
      <c r="Z3" s="26">
        <v>39203</v>
      </c>
      <c r="AA3" s="27">
        <v>39234</v>
      </c>
      <c r="AB3" s="26">
        <v>39264</v>
      </c>
      <c r="AC3" s="27">
        <v>39295</v>
      </c>
      <c r="AD3" s="26">
        <v>39326</v>
      </c>
      <c r="AE3" s="27">
        <v>39356</v>
      </c>
      <c r="AF3" s="26">
        <v>39387</v>
      </c>
      <c r="AG3" s="27">
        <v>39417</v>
      </c>
      <c r="AH3" s="26">
        <v>39448</v>
      </c>
      <c r="AI3" s="27">
        <v>39479</v>
      </c>
      <c r="AJ3" s="26">
        <v>39508</v>
      </c>
      <c r="AK3" s="27">
        <v>39539</v>
      </c>
      <c r="AL3" s="27">
        <v>39569</v>
      </c>
      <c r="AM3" s="27">
        <v>39600</v>
      </c>
      <c r="AN3" s="27">
        <v>39630</v>
      </c>
      <c r="AO3" s="27">
        <v>39661</v>
      </c>
      <c r="AP3" s="27">
        <v>39692</v>
      </c>
      <c r="AQ3" s="27">
        <v>39722</v>
      </c>
      <c r="AR3" s="27">
        <v>39753</v>
      </c>
      <c r="AS3" s="27">
        <v>39783</v>
      </c>
      <c r="AT3" s="27">
        <v>39814</v>
      </c>
      <c r="AU3" s="27">
        <v>39845</v>
      </c>
      <c r="AV3" s="27">
        <v>39873</v>
      </c>
      <c r="AW3" s="27">
        <v>39904</v>
      </c>
      <c r="AX3" s="27">
        <v>39934</v>
      </c>
      <c r="AY3" s="27">
        <v>39965</v>
      </c>
      <c r="AZ3" s="27">
        <v>39995</v>
      </c>
      <c r="BA3" s="27">
        <v>40026</v>
      </c>
      <c r="BB3" s="27">
        <v>40057</v>
      </c>
      <c r="BC3" s="27">
        <v>40087</v>
      </c>
      <c r="BD3" s="27">
        <v>40118</v>
      </c>
      <c r="BE3" s="27">
        <v>40148</v>
      </c>
    </row>
    <row r="4" spans="1:57" ht="42" x14ac:dyDescent="0.3">
      <c r="A4" s="2" t="s">
        <v>3</v>
      </c>
      <c r="B4" s="12" t="s">
        <v>49</v>
      </c>
      <c r="C4" s="12" t="s">
        <v>48</v>
      </c>
      <c r="D4" s="12" t="s">
        <v>49</v>
      </c>
      <c r="E4" s="12" t="s">
        <v>48</v>
      </c>
      <c r="F4" s="12" t="s">
        <v>49</v>
      </c>
      <c r="G4" s="12" t="s">
        <v>48</v>
      </c>
      <c r="H4" s="129"/>
      <c r="I4" s="39" t="s">
        <v>23</v>
      </c>
      <c r="J4" s="16">
        <v>19.7</v>
      </c>
      <c r="K4">
        <v>32.700000000000003</v>
      </c>
      <c r="L4" s="15">
        <v>15.368250000000002</v>
      </c>
      <c r="M4" s="15">
        <v>0.95184000000000002</v>
      </c>
      <c r="N4" s="15">
        <v>0.1</v>
      </c>
      <c r="O4" s="15">
        <v>10.053810000000002</v>
      </c>
      <c r="P4" s="15"/>
      <c r="Q4" s="15"/>
      <c r="R4" s="15">
        <v>6.8413500000000003</v>
      </c>
      <c r="S4" s="15">
        <v>8.6</v>
      </c>
      <c r="T4" s="15">
        <v>17.3</v>
      </c>
      <c r="U4" s="15">
        <v>25</v>
      </c>
      <c r="V4" s="15">
        <v>239</v>
      </c>
      <c r="W4" s="22">
        <v>131.45307</v>
      </c>
      <c r="X4" s="22">
        <v>38.668500000000002</v>
      </c>
      <c r="Y4" s="22">
        <v>31.504912500000003</v>
      </c>
      <c r="Z4" s="18">
        <v>110</v>
      </c>
      <c r="AA4" s="22">
        <v>41.196825000000004</v>
      </c>
      <c r="AB4">
        <v>21</v>
      </c>
      <c r="AC4">
        <v>37</v>
      </c>
      <c r="AD4">
        <v>46</v>
      </c>
      <c r="AE4">
        <v>49</v>
      </c>
      <c r="AF4">
        <v>30</v>
      </c>
      <c r="AG4">
        <v>26</v>
      </c>
      <c r="AH4">
        <v>8</v>
      </c>
      <c r="AI4">
        <v>55</v>
      </c>
      <c r="AJ4">
        <v>65</v>
      </c>
      <c r="AK4">
        <v>29</v>
      </c>
      <c r="AL4">
        <v>20</v>
      </c>
      <c r="AM4">
        <v>8</v>
      </c>
      <c r="AN4">
        <v>80</v>
      </c>
      <c r="AO4">
        <v>43</v>
      </c>
      <c r="AP4">
        <v>28</v>
      </c>
      <c r="AQ4">
        <v>24</v>
      </c>
      <c r="AR4">
        <v>37</v>
      </c>
      <c r="AS4">
        <v>9</v>
      </c>
      <c r="AT4" s="57">
        <v>9</v>
      </c>
      <c r="AU4" s="57">
        <v>8</v>
      </c>
      <c r="AV4" s="57">
        <v>14</v>
      </c>
      <c r="AW4" s="57">
        <v>477</v>
      </c>
      <c r="AX4" s="57">
        <v>76.599999999999994</v>
      </c>
      <c r="AY4" s="57">
        <v>33</v>
      </c>
      <c r="AZ4" s="57">
        <v>37</v>
      </c>
      <c r="BA4" s="57">
        <v>50</v>
      </c>
      <c r="BB4" s="57">
        <v>28</v>
      </c>
      <c r="BC4" s="57">
        <v>44</v>
      </c>
      <c r="BD4" s="57">
        <v>133</v>
      </c>
      <c r="BE4" s="57">
        <v>25</v>
      </c>
    </row>
    <row r="5" spans="1:57" x14ac:dyDescent="0.25">
      <c r="A5" s="48">
        <v>38250</v>
      </c>
      <c r="B5" s="3">
        <v>1.1000000000000001</v>
      </c>
      <c r="C5" s="3"/>
      <c r="D5" s="3"/>
      <c r="E5" s="3"/>
      <c r="F5" s="130"/>
      <c r="I5" s="40" t="s">
        <v>24</v>
      </c>
      <c r="Y5">
        <v>34</v>
      </c>
      <c r="Z5">
        <v>104</v>
      </c>
      <c r="AA5">
        <v>40</v>
      </c>
      <c r="AB5">
        <v>20</v>
      </c>
      <c r="AC5">
        <v>37</v>
      </c>
      <c r="AD5">
        <v>77</v>
      </c>
      <c r="AE5">
        <v>77</v>
      </c>
      <c r="AF5">
        <v>37</v>
      </c>
      <c r="AG5">
        <v>23</v>
      </c>
      <c r="AH5">
        <v>5</v>
      </c>
      <c r="AI5">
        <v>37</v>
      </c>
      <c r="AJ5">
        <v>31</v>
      </c>
      <c r="AK5">
        <v>31</v>
      </c>
      <c r="AL5">
        <v>23</v>
      </c>
      <c r="AM5">
        <v>15</v>
      </c>
      <c r="AN5">
        <v>114</v>
      </c>
      <c r="AO5">
        <v>53</v>
      </c>
      <c r="AP5">
        <v>37</v>
      </c>
      <c r="AQ5">
        <v>26</v>
      </c>
      <c r="AR5">
        <v>42</v>
      </c>
      <c r="AS5">
        <v>9</v>
      </c>
      <c r="AT5">
        <v>9</v>
      </c>
      <c r="AU5" s="57">
        <v>26</v>
      </c>
      <c r="AV5" s="57">
        <v>17</v>
      </c>
      <c r="AW5" s="57">
        <v>601</v>
      </c>
      <c r="AX5" s="57">
        <v>96.6</v>
      </c>
      <c r="AY5" s="57">
        <v>37</v>
      </c>
      <c r="AZ5" s="57">
        <v>49</v>
      </c>
      <c r="BA5" s="57">
        <v>47</v>
      </c>
      <c r="BB5" s="57">
        <v>33</v>
      </c>
      <c r="BC5" s="57">
        <v>36</v>
      </c>
      <c r="BD5" s="57">
        <v>117</v>
      </c>
      <c r="BE5" s="57">
        <v>52</v>
      </c>
    </row>
    <row r="6" spans="1:57" x14ac:dyDescent="0.25">
      <c r="A6" s="48">
        <v>38264</v>
      </c>
      <c r="B6" s="3">
        <v>1.5</v>
      </c>
      <c r="C6" s="3"/>
      <c r="D6" s="3"/>
      <c r="E6" s="3"/>
      <c r="F6" s="130"/>
      <c r="R6" s="100">
        <v>40179</v>
      </c>
      <c r="S6" s="100">
        <v>40210</v>
      </c>
      <c r="T6" s="100">
        <v>40238</v>
      </c>
      <c r="U6" s="100">
        <v>40269</v>
      </c>
      <c r="V6" s="100">
        <v>40299</v>
      </c>
      <c r="W6" s="100">
        <v>40330</v>
      </c>
      <c r="X6" s="100">
        <v>40360</v>
      </c>
      <c r="Y6" s="100">
        <v>40391</v>
      </c>
      <c r="Z6" s="100">
        <v>40422</v>
      </c>
      <c r="AA6" s="100">
        <v>40452</v>
      </c>
      <c r="AB6" s="100">
        <v>40483</v>
      </c>
      <c r="AC6" s="100">
        <v>40513</v>
      </c>
      <c r="AD6" s="101">
        <v>40544</v>
      </c>
      <c r="AE6" s="101">
        <v>40575</v>
      </c>
      <c r="AF6" s="101">
        <v>40603</v>
      </c>
      <c r="AG6" s="101">
        <v>40634</v>
      </c>
      <c r="AH6" s="101">
        <v>40664</v>
      </c>
      <c r="AI6" s="101">
        <v>40695</v>
      </c>
      <c r="AJ6" s="101">
        <v>40725</v>
      </c>
      <c r="AK6" s="101">
        <v>40756</v>
      </c>
      <c r="AL6" s="101">
        <v>40787</v>
      </c>
      <c r="AM6" s="101">
        <v>40817</v>
      </c>
      <c r="AN6" s="101">
        <v>40848</v>
      </c>
      <c r="AO6" s="101">
        <v>40878</v>
      </c>
      <c r="AP6" s="101">
        <v>40909</v>
      </c>
      <c r="AQ6" s="101">
        <v>40940</v>
      </c>
      <c r="AR6" s="101">
        <v>40969</v>
      </c>
      <c r="AS6" s="101">
        <v>41000</v>
      </c>
      <c r="AT6" s="101">
        <v>41030</v>
      </c>
      <c r="AU6" s="101">
        <v>41061</v>
      </c>
      <c r="AV6" s="101">
        <v>41091</v>
      </c>
      <c r="AW6" s="101">
        <v>41122</v>
      </c>
      <c r="AX6" s="101">
        <v>41153</v>
      </c>
      <c r="AY6" s="101">
        <v>41183</v>
      </c>
      <c r="AZ6" s="101">
        <v>41214</v>
      </c>
      <c r="BA6" s="101">
        <v>41244</v>
      </c>
    </row>
    <row r="7" spans="1:57" ht="13" x14ac:dyDescent="0.3">
      <c r="A7" s="48">
        <v>38309</v>
      </c>
      <c r="B7" s="3"/>
      <c r="C7" s="3">
        <v>2.2000000000000002</v>
      </c>
      <c r="D7" s="3"/>
      <c r="E7" s="3"/>
      <c r="F7" s="130"/>
      <c r="L7" s="288" t="s">
        <v>33</v>
      </c>
      <c r="M7" s="288"/>
      <c r="N7" s="288"/>
      <c r="O7" s="288"/>
      <c r="P7" s="52" t="s">
        <v>60</v>
      </c>
      <c r="Q7" s="82" t="s">
        <v>42</v>
      </c>
      <c r="R7" s="19">
        <v>10.450410000000002</v>
      </c>
      <c r="S7" s="19">
        <v>27.206760000000003</v>
      </c>
      <c r="T7" s="19">
        <v>151.83831000000001</v>
      </c>
      <c r="U7" s="19">
        <v>309.34800000000001</v>
      </c>
      <c r="V7" s="19">
        <v>47.592000000000006</v>
      </c>
      <c r="W7" s="19">
        <v>44.022599999999997</v>
      </c>
      <c r="X7" s="19">
        <v>33.810150000000007</v>
      </c>
      <c r="Y7" s="19">
        <v>47.334210000000006</v>
      </c>
      <c r="Z7" s="19">
        <v>34</v>
      </c>
      <c r="AA7" s="19">
        <v>26.433390000000003</v>
      </c>
      <c r="AB7" s="19">
        <v>26.433390000000003</v>
      </c>
      <c r="AC7" s="19">
        <v>43.645829999999997</v>
      </c>
      <c r="AD7" s="19">
        <v>18</v>
      </c>
      <c r="AE7" s="19">
        <v>15</v>
      </c>
      <c r="AF7" s="19">
        <v>15</v>
      </c>
      <c r="AG7" s="19">
        <v>152</v>
      </c>
      <c r="AH7" s="19">
        <v>36</v>
      </c>
      <c r="AI7" s="19">
        <v>20</v>
      </c>
      <c r="AJ7" s="19">
        <v>31.351230000000001</v>
      </c>
      <c r="AK7" s="19">
        <v>41.186910000000005</v>
      </c>
      <c r="AL7" s="19">
        <v>29.50704</v>
      </c>
      <c r="AM7" s="19">
        <v>31.965960000000003</v>
      </c>
      <c r="AN7" s="19">
        <v>52.866780000000006</v>
      </c>
      <c r="AO7" s="19">
        <v>64</v>
      </c>
      <c r="AP7" s="19">
        <v>33.195420000000006</v>
      </c>
      <c r="AQ7" s="19">
        <v>41.087759999999996</v>
      </c>
      <c r="AR7" s="19">
        <v>64.844100000000012</v>
      </c>
      <c r="AS7" s="19">
        <v>71.388000000000005</v>
      </c>
      <c r="AT7" s="19">
        <v>48.563670000000009</v>
      </c>
      <c r="AU7" s="19">
        <v>14.2776</v>
      </c>
      <c r="AV7" s="19">
        <v>9.83568</v>
      </c>
      <c r="AW7" s="19">
        <v>18.4419</v>
      </c>
      <c r="AX7" s="19">
        <v>23.796000000000003</v>
      </c>
      <c r="AY7" s="19">
        <v>15.368250000000002</v>
      </c>
    </row>
    <row r="8" spans="1:57" ht="13" x14ac:dyDescent="0.3">
      <c r="A8" s="13">
        <v>38363</v>
      </c>
      <c r="B8" s="3">
        <v>5.4</v>
      </c>
      <c r="C8" s="3">
        <v>3.3</v>
      </c>
      <c r="D8" s="3"/>
      <c r="E8" s="3"/>
      <c r="F8" s="130"/>
      <c r="I8" s="288" t="s">
        <v>11</v>
      </c>
      <c r="J8" s="288"/>
      <c r="L8" s="288" t="s">
        <v>34</v>
      </c>
      <c r="M8" s="288"/>
      <c r="N8" s="288" t="s">
        <v>96</v>
      </c>
      <c r="O8" s="288"/>
      <c r="P8" s="8"/>
      <c r="Q8" s="82" t="s">
        <v>29</v>
      </c>
      <c r="R8" s="19">
        <v>27.048120000000001</v>
      </c>
      <c r="S8" s="19">
        <v>23.875320000000002</v>
      </c>
      <c r="T8" s="19">
        <v>144.46154999999999</v>
      </c>
      <c r="U8" s="19">
        <v>405</v>
      </c>
      <c r="V8" s="19">
        <v>47.592000000000006</v>
      </c>
      <c r="W8" s="19">
        <v>44.022599999999997</v>
      </c>
      <c r="X8" s="19">
        <v>39.957450000000001</v>
      </c>
      <c r="Y8" s="19">
        <v>49.793130000000005</v>
      </c>
      <c r="Z8" s="19">
        <v>29</v>
      </c>
      <c r="AA8" s="19">
        <v>44.260559999999998</v>
      </c>
      <c r="AB8" s="19">
        <v>31.351230000000001</v>
      </c>
      <c r="AC8" s="19">
        <v>33.810150000000007</v>
      </c>
      <c r="AD8" s="19">
        <v>20</v>
      </c>
      <c r="AE8" s="19">
        <v>18</v>
      </c>
      <c r="AF8" s="19">
        <v>18</v>
      </c>
      <c r="AG8" s="19">
        <v>156</v>
      </c>
      <c r="AH8" s="19">
        <v>37</v>
      </c>
      <c r="AI8" s="19">
        <v>15</v>
      </c>
      <c r="AJ8" s="19">
        <v>27.662850000000002</v>
      </c>
      <c r="AK8" s="19">
        <v>35.039609999999996</v>
      </c>
      <c r="AL8" s="19">
        <v>23.359740000000002</v>
      </c>
      <c r="AM8" s="19">
        <v>24.589200000000005</v>
      </c>
      <c r="AN8" s="19">
        <v>30.736500000000003</v>
      </c>
      <c r="AO8" s="19">
        <v>38</v>
      </c>
      <c r="AP8" s="19">
        <v>65.161380000000008</v>
      </c>
      <c r="AQ8" s="19">
        <v>33.869639999999997</v>
      </c>
      <c r="AR8" s="19">
        <v>46.99710000000001</v>
      </c>
      <c r="AS8" s="19">
        <v>45.212400000000002</v>
      </c>
      <c r="AT8" s="19">
        <v>43.031099999999995</v>
      </c>
      <c r="AU8" s="19">
        <v>38.073599999999999</v>
      </c>
      <c r="AV8" s="19">
        <v>14.75352</v>
      </c>
      <c r="AW8" s="19">
        <v>28.277580000000004</v>
      </c>
      <c r="AX8" s="19">
        <v>20.821499999999997</v>
      </c>
      <c r="AY8" s="19">
        <v>12.294600000000003</v>
      </c>
    </row>
    <row r="9" spans="1:57" ht="13" x14ac:dyDescent="0.3">
      <c r="A9" s="13">
        <v>38390</v>
      </c>
      <c r="B9" s="3">
        <v>7.25</v>
      </c>
      <c r="C9" s="3">
        <v>3.38</v>
      </c>
      <c r="D9" s="3">
        <v>30</v>
      </c>
      <c r="E9" s="3">
        <v>50</v>
      </c>
      <c r="F9" s="130"/>
      <c r="I9" s="52" t="s">
        <v>9</v>
      </c>
      <c r="J9" s="52" t="s">
        <v>10</v>
      </c>
      <c r="K9" s="52"/>
      <c r="L9" s="52" t="s">
        <v>9</v>
      </c>
      <c r="M9" s="52" t="s">
        <v>10</v>
      </c>
      <c r="N9" s="52" t="s">
        <v>9</v>
      </c>
      <c r="O9" s="52" t="s">
        <v>12</v>
      </c>
      <c r="P9" s="8"/>
    </row>
    <row r="10" spans="1:57" ht="13" x14ac:dyDescent="0.3">
      <c r="A10" s="13">
        <v>38413</v>
      </c>
      <c r="B10" s="3">
        <v>3</v>
      </c>
      <c r="C10" s="3">
        <v>5.49</v>
      </c>
      <c r="D10" s="3">
        <v>40</v>
      </c>
      <c r="E10" s="3">
        <v>30</v>
      </c>
      <c r="F10" s="130"/>
      <c r="I10" s="23">
        <f t="shared" ref="I10:I15" si="0">AVERAGE(B21:C21)</f>
        <v>3.9499999999999997</v>
      </c>
      <c r="J10" s="24">
        <f t="shared" ref="J10:J15" si="1">AVERAGE(D21:E21)</f>
        <v>20</v>
      </c>
      <c r="K10" s="53">
        <v>38723</v>
      </c>
      <c r="L10" s="8"/>
      <c r="M10" s="8"/>
      <c r="N10" s="8"/>
      <c r="O10" s="8"/>
      <c r="P10" s="73" t="s">
        <v>63</v>
      </c>
      <c r="Q10" s="58"/>
      <c r="AH10" s="19"/>
      <c r="AI10" s="19"/>
    </row>
    <row r="11" spans="1:57" ht="13" x14ac:dyDescent="0.3">
      <c r="A11" s="13">
        <v>38447</v>
      </c>
      <c r="B11" s="3">
        <v>3.34</v>
      </c>
      <c r="C11" s="3">
        <v>1.78</v>
      </c>
      <c r="D11" s="3">
        <v>170</v>
      </c>
      <c r="E11" s="3">
        <v>160</v>
      </c>
      <c r="F11" s="130"/>
      <c r="I11" s="23">
        <f t="shared" si="0"/>
        <v>3.9699999999999998</v>
      </c>
      <c r="J11" s="24">
        <f t="shared" si="1"/>
        <v>65</v>
      </c>
      <c r="K11" s="53">
        <v>38754</v>
      </c>
      <c r="L11" s="8"/>
      <c r="M11" s="8"/>
      <c r="N11" s="8"/>
      <c r="O11" s="8"/>
      <c r="P11" s="73" t="s">
        <v>63</v>
      </c>
      <c r="Q11" s="58"/>
      <c r="AH11" s="19"/>
      <c r="AI11" s="19"/>
    </row>
    <row r="12" spans="1:57" ht="13" x14ac:dyDescent="0.3">
      <c r="A12" s="13">
        <v>38455</v>
      </c>
      <c r="B12" s="3"/>
      <c r="C12" s="3">
        <v>1.21</v>
      </c>
      <c r="D12" s="3"/>
      <c r="E12" s="3">
        <v>120</v>
      </c>
      <c r="F12" s="130"/>
      <c r="I12" s="23">
        <f t="shared" si="0"/>
        <v>1.595</v>
      </c>
      <c r="J12" s="24">
        <f t="shared" si="1"/>
        <v>120</v>
      </c>
      <c r="K12" s="53">
        <v>38782</v>
      </c>
      <c r="L12" s="54">
        <f>J4*(I12*0.002723)*1000</f>
        <v>85.560744500000013</v>
      </c>
      <c r="M12" s="54">
        <f>J4*(J12*0.002723)</f>
        <v>6.4371719999999994</v>
      </c>
      <c r="N12" s="23"/>
      <c r="O12" s="23"/>
      <c r="P12" s="99" t="s">
        <v>64</v>
      </c>
      <c r="Q12" s="96"/>
    </row>
    <row r="13" spans="1:57" ht="13" x14ac:dyDescent="0.3">
      <c r="A13" s="13">
        <v>38482</v>
      </c>
      <c r="B13" s="3">
        <v>5.49</v>
      </c>
      <c r="C13" s="3">
        <v>1.33</v>
      </c>
      <c r="D13" s="3">
        <v>320</v>
      </c>
      <c r="E13" s="3">
        <v>10</v>
      </c>
      <c r="F13" s="130"/>
      <c r="I13" s="23">
        <f t="shared" si="0"/>
        <v>0.10500000000000001</v>
      </c>
      <c r="J13" s="24">
        <f t="shared" si="1"/>
        <v>2165</v>
      </c>
      <c r="K13" s="53">
        <v>38813</v>
      </c>
      <c r="L13" s="54">
        <f>K4*(I13*0.002723)*1000</f>
        <v>9.3494205000000026</v>
      </c>
      <c r="M13" s="54">
        <f>K4*(J13*0.002723)</f>
        <v>192.77614650000001</v>
      </c>
      <c r="N13" s="23"/>
      <c r="P13" s="73" t="s">
        <v>59</v>
      </c>
      <c r="Q13" s="29"/>
    </row>
    <row r="14" spans="1:57" ht="13" x14ac:dyDescent="0.3">
      <c r="A14" s="13">
        <v>38519</v>
      </c>
      <c r="B14" s="3">
        <v>4.13</v>
      </c>
      <c r="C14" s="3">
        <v>0.47</v>
      </c>
      <c r="D14" s="3">
        <v>120</v>
      </c>
      <c r="E14" s="3">
        <v>90</v>
      </c>
      <c r="F14" s="130"/>
      <c r="I14" s="23">
        <f t="shared" si="0"/>
        <v>2.0649999999999999</v>
      </c>
      <c r="J14" s="24">
        <f t="shared" si="1"/>
        <v>50</v>
      </c>
      <c r="K14" s="53">
        <v>38843</v>
      </c>
      <c r="L14" s="54">
        <f>L4*(I14*0.002723)*1000</f>
        <v>86.415592908750014</v>
      </c>
      <c r="M14" s="54">
        <f>L4*(J15*0.002723)</f>
        <v>7.1141166075000015</v>
      </c>
      <c r="N14" s="23"/>
      <c r="O14" s="23"/>
      <c r="P14" s="73" t="s">
        <v>59</v>
      </c>
      <c r="Q14" s="29"/>
    </row>
    <row r="15" spans="1:57" ht="13" x14ac:dyDescent="0.3">
      <c r="A15" s="13">
        <v>38539</v>
      </c>
      <c r="B15" s="3">
        <v>3.99</v>
      </c>
      <c r="C15" s="3">
        <v>0.42</v>
      </c>
      <c r="D15" s="3">
        <v>140</v>
      </c>
      <c r="E15" s="3">
        <v>60</v>
      </c>
      <c r="F15" s="130"/>
      <c r="I15" s="23">
        <f t="shared" si="0"/>
        <v>1.635</v>
      </c>
      <c r="J15" s="24">
        <f t="shared" si="1"/>
        <v>170</v>
      </c>
      <c r="K15" s="53">
        <v>38874</v>
      </c>
      <c r="L15" s="54">
        <f>M4*(I15*0.002723)*1000</f>
        <v>4.2376916231999999</v>
      </c>
      <c r="M15" s="54">
        <f>M4*(J15*0.002723)</f>
        <v>0.44061625440000007</v>
      </c>
      <c r="N15" s="23"/>
      <c r="O15" s="23"/>
      <c r="P15" s="73" t="s">
        <v>59</v>
      </c>
      <c r="Q15" s="29"/>
    </row>
    <row r="16" spans="1:57" ht="13" x14ac:dyDescent="0.3">
      <c r="A16" s="13">
        <v>38568</v>
      </c>
      <c r="B16" s="3">
        <v>0.71</v>
      </c>
      <c r="C16" s="3">
        <v>0.53</v>
      </c>
      <c r="D16" s="3">
        <v>280</v>
      </c>
      <c r="E16" s="3">
        <v>810</v>
      </c>
      <c r="F16" s="130"/>
      <c r="I16" s="23">
        <f>AVERAGE(B27:C28)</f>
        <v>0.94750000000000001</v>
      </c>
      <c r="J16" s="24">
        <f>AVERAGE(D27:E28)</f>
        <v>170</v>
      </c>
      <c r="K16" s="53">
        <v>38904</v>
      </c>
      <c r="L16" s="54">
        <f>N4*(I16*0.002723)*1000</f>
        <v>0.25800425000000005</v>
      </c>
      <c r="M16" s="54">
        <f>N4*(J16*0.002723)</f>
        <v>4.6291000000000006E-2</v>
      </c>
      <c r="N16" s="23"/>
      <c r="O16" s="23"/>
      <c r="P16" s="73" t="s">
        <v>59</v>
      </c>
      <c r="Q16" s="29"/>
    </row>
    <row r="17" spans="1:20" ht="13" x14ac:dyDescent="0.3">
      <c r="A17" s="13">
        <v>38604</v>
      </c>
      <c r="B17" s="6">
        <v>4.25</v>
      </c>
      <c r="C17" s="6">
        <v>0.8</v>
      </c>
      <c r="D17" s="6">
        <v>70</v>
      </c>
      <c r="E17" s="6">
        <v>50</v>
      </c>
      <c r="F17" s="32"/>
      <c r="I17" s="23">
        <f>AVERAGE(B29:C30)</f>
        <v>2.63</v>
      </c>
      <c r="J17" s="24">
        <f>AVERAGE(D29:E30)</f>
        <v>113.33333333333333</v>
      </c>
      <c r="K17" s="53">
        <v>38935</v>
      </c>
      <c r="L17" s="54">
        <f>O4*(I17*0.002723)*1000</f>
        <v>72.000259776900009</v>
      </c>
      <c r="M17" s="54">
        <f>O4*(J17*0.002723)</f>
        <v>3.1026727914000007</v>
      </c>
      <c r="N17" s="23"/>
      <c r="O17" s="23"/>
      <c r="P17" s="73" t="s">
        <v>59</v>
      </c>
      <c r="Q17" s="29"/>
    </row>
    <row r="18" spans="1:20" ht="13" x14ac:dyDescent="0.3">
      <c r="A18" s="13">
        <v>38636</v>
      </c>
      <c r="B18" s="6">
        <v>0.47</v>
      </c>
      <c r="C18" s="6">
        <v>0.52</v>
      </c>
      <c r="D18" s="6">
        <v>260</v>
      </c>
      <c r="E18" s="6">
        <v>230</v>
      </c>
      <c r="F18" s="32"/>
      <c r="I18" s="23">
        <f>AVERAGE(B31:C31)</f>
        <v>2.0249999999999999</v>
      </c>
      <c r="J18" s="24">
        <f>AVERAGE(D31:E31)</f>
        <v>80</v>
      </c>
      <c r="K18" s="53">
        <v>38966</v>
      </c>
      <c r="L18" s="54">
        <f>R4*(I18*0.002723)*1000</f>
        <v>37.723717001250002</v>
      </c>
      <c r="M18" s="54">
        <f>R4*(J18*0.002723)</f>
        <v>1.4903196840000001</v>
      </c>
      <c r="N18" s="23"/>
      <c r="O18" s="23"/>
      <c r="P18" s="73" t="s">
        <v>59</v>
      </c>
      <c r="Q18" s="29"/>
    </row>
    <row r="19" spans="1:20" ht="13" x14ac:dyDescent="0.3">
      <c r="A19" s="13">
        <v>38674</v>
      </c>
      <c r="B19" s="6">
        <v>4.87</v>
      </c>
      <c r="C19" s="6">
        <v>2.0699999999999998</v>
      </c>
      <c r="D19" s="6">
        <v>180</v>
      </c>
      <c r="E19" s="6">
        <v>140</v>
      </c>
      <c r="F19" s="32"/>
      <c r="I19" s="23">
        <f>AVERAGE(B32:C33)</f>
        <v>2.085</v>
      </c>
      <c r="J19" s="24">
        <f>AVERAGE(D32:E33)</f>
        <v>52.5</v>
      </c>
      <c r="K19" s="53">
        <v>38996</v>
      </c>
      <c r="L19" s="54">
        <f>S4*(I19*0.002723)*1000</f>
        <v>48.826113000000007</v>
      </c>
      <c r="M19" s="54">
        <f>S4*(J19*0.002723)</f>
        <v>1.2294345</v>
      </c>
      <c r="N19" s="23"/>
      <c r="O19" s="23"/>
      <c r="P19" s="73" t="s">
        <v>59</v>
      </c>
      <c r="Q19" s="29"/>
    </row>
    <row r="20" spans="1:20" ht="13" x14ac:dyDescent="0.3">
      <c r="A20" s="13">
        <v>38694</v>
      </c>
      <c r="B20" s="6">
        <v>6.28</v>
      </c>
      <c r="C20" s="6">
        <v>4.18</v>
      </c>
      <c r="D20" s="6">
        <v>10</v>
      </c>
      <c r="E20" s="6">
        <v>10</v>
      </c>
      <c r="F20" s="32"/>
      <c r="I20" s="25">
        <v>2.67</v>
      </c>
      <c r="J20" s="25">
        <v>10</v>
      </c>
      <c r="K20" s="53">
        <v>39027</v>
      </c>
      <c r="L20" s="54">
        <f>T4*(I20*0.002723)*1000</f>
        <v>125.77809300000001</v>
      </c>
      <c r="M20" s="54">
        <f>T4*(J20*0.002723)</f>
        <v>0.47107900000000003</v>
      </c>
      <c r="N20" s="23"/>
      <c r="O20" s="23"/>
      <c r="P20" s="73" t="s">
        <v>59</v>
      </c>
      <c r="Q20" s="29"/>
    </row>
    <row r="21" spans="1:20" ht="13" x14ac:dyDescent="0.3">
      <c r="A21" s="49">
        <v>38722</v>
      </c>
      <c r="B21" s="6">
        <v>3.05</v>
      </c>
      <c r="C21" s="6">
        <v>4.8499999999999996</v>
      </c>
      <c r="D21" s="6">
        <v>10</v>
      </c>
      <c r="E21" s="6">
        <v>30</v>
      </c>
      <c r="F21" s="32"/>
      <c r="I21" s="25">
        <v>1.66</v>
      </c>
      <c r="J21" s="25">
        <v>30</v>
      </c>
      <c r="K21" s="53">
        <v>39057</v>
      </c>
      <c r="L21" s="54">
        <f>U4*(I21*0.002723)*1000</f>
        <v>113.00450000000001</v>
      </c>
      <c r="M21" s="54">
        <f>U4*(J21*0.002723)</f>
        <v>2.0422500000000001</v>
      </c>
      <c r="N21" s="23"/>
      <c r="O21" s="23"/>
      <c r="P21" s="73" t="s">
        <v>59</v>
      </c>
      <c r="Q21" s="29"/>
    </row>
    <row r="22" spans="1:20" ht="13" x14ac:dyDescent="0.3">
      <c r="A22" s="49">
        <v>38755</v>
      </c>
      <c r="B22" s="6">
        <v>5.04</v>
      </c>
      <c r="C22" s="6">
        <v>2.9</v>
      </c>
      <c r="D22" s="6">
        <v>30</v>
      </c>
      <c r="E22" s="6">
        <v>100</v>
      </c>
      <c r="F22" s="32"/>
      <c r="I22" s="7">
        <v>1.98</v>
      </c>
      <c r="J22" s="7">
        <v>10</v>
      </c>
      <c r="K22" s="53">
        <v>39088</v>
      </c>
      <c r="L22" s="55">
        <f>V4*(I22*0.002723)*1000</f>
        <v>1288.5780600000001</v>
      </c>
      <c r="M22" s="55">
        <f>V4*(J22*0.002723)</f>
        <v>6.5079700000000003</v>
      </c>
      <c r="N22" s="55"/>
      <c r="O22" s="23"/>
      <c r="P22" s="97" t="s">
        <v>17</v>
      </c>
      <c r="Q22" s="29"/>
    </row>
    <row r="23" spans="1:20" ht="13" x14ac:dyDescent="0.3">
      <c r="A23" s="49">
        <v>38797</v>
      </c>
      <c r="B23" s="7">
        <v>2.11</v>
      </c>
      <c r="C23" s="7">
        <v>1.08</v>
      </c>
      <c r="D23" s="7">
        <v>70</v>
      </c>
      <c r="E23" s="7">
        <v>170</v>
      </c>
      <c r="F23" s="131"/>
      <c r="I23" s="3">
        <v>0.77</v>
      </c>
      <c r="J23" s="3">
        <v>50</v>
      </c>
      <c r="K23" s="53">
        <v>39119</v>
      </c>
      <c r="L23" s="55">
        <f>W4*(I23*0.002723)*1000</f>
        <v>275.61896639970001</v>
      </c>
      <c r="M23" s="55">
        <f>W4*(J23*0.002723)</f>
        <v>17.897335480500001</v>
      </c>
      <c r="N23" s="55"/>
      <c r="O23" s="23"/>
      <c r="P23" s="8" t="s">
        <v>55</v>
      </c>
      <c r="S23" s="28"/>
    </row>
    <row r="24" spans="1:20" ht="13" x14ac:dyDescent="0.3">
      <c r="A24" s="49">
        <v>38817</v>
      </c>
      <c r="B24" s="6">
        <v>0.11</v>
      </c>
      <c r="C24" s="6">
        <v>0.1</v>
      </c>
      <c r="D24" s="10">
        <v>3910</v>
      </c>
      <c r="E24" s="6">
        <v>420</v>
      </c>
      <c r="F24" s="32"/>
      <c r="I24" s="3">
        <v>0.11</v>
      </c>
      <c r="J24" s="3">
        <v>190</v>
      </c>
      <c r="K24" s="53">
        <v>39147</v>
      </c>
      <c r="L24" s="55">
        <f>X4*(I24*0.002723)*1000</f>
        <v>11.582375805000002</v>
      </c>
      <c r="M24" s="55">
        <f>X4*(J24*0.002723)</f>
        <v>20.005921845</v>
      </c>
      <c r="N24" s="55"/>
      <c r="O24" s="23"/>
      <c r="P24" s="8" t="s">
        <v>55</v>
      </c>
    </row>
    <row r="25" spans="1:20" ht="13" x14ac:dyDescent="0.3">
      <c r="A25" s="50">
        <v>38840</v>
      </c>
      <c r="B25" s="11">
        <v>4.0599999999999996</v>
      </c>
      <c r="C25" s="11">
        <v>7.0000000000000007E-2</v>
      </c>
      <c r="D25" s="11">
        <v>70</v>
      </c>
      <c r="E25" s="11">
        <v>30</v>
      </c>
      <c r="F25" s="32"/>
      <c r="I25" s="6">
        <v>2.13</v>
      </c>
      <c r="J25" s="6">
        <v>270</v>
      </c>
      <c r="K25" s="53">
        <v>39178</v>
      </c>
      <c r="L25" s="55">
        <f>Y4*(I25*0.002723)*1000</f>
        <v>182.72817745087499</v>
      </c>
      <c r="M25" s="55">
        <f>Y4*(J25*0.002723)</f>
        <v>23.162726719125004</v>
      </c>
      <c r="N25" s="55">
        <f>Y5*(B40*0.002723)*1000</f>
        <v>133.31808000000001</v>
      </c>
      <c r="O25" s="55">
        <f>Y4*(D40*0.002723)</f>
        <v>32.599393160250003</v>
      </c>
      <c r="P25" s="73" t="s">
        <v>18</v>
      </c>
      <c r="Q25" s="29"/>
    </row>
    <row r="26" spans="1:20" ht="13" x14ac:dyDescent="0.3">
      <c r="A26" s="49">
        <v>38881</v>
      </c>
      <c r="B26" s="6">
        <v>3.2</v>
      </c>
      <c r="C26" s="6">
        <v>7.0000000000000007E-2</v>
      </c>
      <c r="D26" s="6">
        <v>160</v>
      </c>
      <c r="E26" s="6">
        <v>180</v>
      </c>
      <c r="F26" s="32"/>
      <c r="I26" s="6">
        <v>1.69</v>
      </c>
      <c r="J26" s="6">
        <v>60</v>
      </c>
      <c r="K26" s="53">
        <v>39208</v>
      </c>
      <c r="L26" s="55">
        <f>Z4*(I26*0.002723)*1000</f>
        <v>506.20569999999998</v>
      </c>
      <c r="M26" s="55">
        <f>Z4*(J26*0.002723)</f>
        <v>17.971799999999998</v>
      </c>
      <c r="N26" s="55">
        <f>Z5*(B41*0.002723)*1000</f>
        <v>430.45184</v>
      </c>
      <c r="O26" s="55">
        <f>Y4*(D41*0.002723)</f>
        <v>6.0051513716250007</v>
      </c>
      <c r="P26" s="97" t="s">
        <v>51</v>
      </c>
      <c r="S26" s="28"/>
    </row>
    <row r="27" spans="1:20" ht="13" x14ac:dyDescent="0.3">
      <c r="A27" s="49">
        <v>38903</v>
      </c>
      <c r="B27" s="6">
        <v>1.54</v>
      </c>
      <c r="C27" s="6">
        <v>0.82</v>
      </c>
      <c r="D27" s="6">
        <v>280</v>
      </c>
      <c r="E27" s="6">
        <v>160</v>
      </c>
      <c r="F27" s="32"/>
      <c r="I27" s="23">
        <v>1.37</v>
      </c>
      <c r="J27" s="23">
        <v>120</v>
      </c>
      <c r="K27" s="53">
        <v>39239</v>
      </c>
      <c r="L27" s="55">
        <f>AA4*(I27*0.002723)*1000</f>
        <v>153.68516763075004</v>
      </c>
      <c r="M27" s="55">
        <f>AA4*(J27*0.002723)</f>
        <v>13.461474537000001</v>
      </c>
      <c r="N27" s="55">
        <f>AA5*(B42*0.002723)*1000</f>
        <v>81.690000000000012</v>
      </c>
      <c r="O27" s="55">
        <f>AA4*(D42*0.002723)</f>
        <v>7.8525268132500008</v>
      </c>
      <c r="P27" s="73" t="s">
        <v>61</v>
      </c>
      <c r="Q27" s="29"/>
    </row>
    <row r="28" spans="1:20" ht="13" x14ac:dyDescent="0.3">
      <c r="A28" s="51">
        <v>38908</v>
      </c>
      <c r="B28" s="7">
        <v>1.01</v>
      </c>
      <c r="C28" s="7">
        <v>0.42</v>
      </c>
      <c r="D28" s="7">
        <v>160</v>
      </c>
      <c r="E28" s="7">
        <v>80</v>
      </c>
      <c r="F28" s="131"/>
      <c r="I28" s="23">
        <v>0.04</v>
      </c>
      <c r="J28" s="23">
        <v>50</v>
      </c>
      <c r="K28" s="53">
        <v>39269</v>
      </c>
      <c r="L28" s="55">
        <f>AB4*(I28*0.002723)*1000</f>
        <v>2.2873200000000002</v>
      </c>
      <c r="M28" s="55">
        <f>AB4*(J28*0.002723)</f>
        <v>2.8591500000000005</v>
      </c>
      <c r="N28" s="55">
        <f>AB5*(B45*0.002723)*1000</f>
        <v>34.854399999999998</v>
      </c>
      <c r="O28" s="55">
        <f>AB4*(D45*0.002723)</f>
        <v>8.0056200000000004</v>
      </c>
      <c r="P28" s="97" t="s">
        <v>62</v>
      </c>
      <c r="Q28" s="29"/>
    </row>
    <row r="29" spans="1:20" ht="13" x14ac:dyDescent="0.3">
      <c r="A29" s="51">
        <v>38939</v>
      </c>
      <c r="B29" s="7">
        <v>5.93</v>
      </c>
      <c r="C29" s="7"/>
      <c r="D29" s="7">
        <v>70</v>
      </c>
      <c r="E29" s="7"/>
      <c r="F29" s="131"/>
      <c r="I29" s="23">
        <v>0.82</v>
      </c>
      <c r="J29" s="23">
        <v>100</v>
      </c>
      <c r="K29" s="53">
        <v>39300</v>
      </c>
      <c r="L29" s="55">
        <f>AC4*(I29*0.002723)*1000</f>
        <v>82.615820000000014</v>
      </c>
      <c r="M29" s="55">
        <f>AC4*(J29*0.002723)</f>
        <v>10.075100000000001</v>
      </c>
      <c r="N29" s="55">
        <f>AC5*(B46*0.002723)*1000</f>
        <v>114.85614</v>
      </c>
      <c r="O29" s="55">
        <f>AC4*(D46*0.002723)</f>
        <v>12.090120000000001</v>
      </c>
      <c r="P29" s="73" t="s">
        <v>52</v>
      </c>
      <c r="Q29" s="29"/>
    </row>
    <row r="30" spans="1:20" ht="13" x14ac:dyDescent="0.3">
      <c r="A30" s="51">
        <v>38947</v>
      </c>
      <c r="B30" s="7">
        <v>0.32</v>
      </c>
      <c r="C30" s="7">
        <v>1.64</v>
      </c>
      <c r="D30" s="7">
        <v>160</v>
      </c>
      <c r="E30" s="7">
        <v>110</v>
      </c>
      <c r="F30" s="131"/>
      <c r="I30" s="23">
        <v>1.56</v>
      </c>
      <c r="J30" s="23">
        <v>20</v>
      </c>
      <c r="K30" s="53">
        <v>39331</v>
      </c>
      <c r="L30" s="55">
        <f>AD4*(I30*0.002723)*1000</f>
        <v>195.40248000000005</v>
      </c>
      <c r="M30" s="55">
        <f>AD4*(J30*0.002723)</f>
        <v>2.5051600000000001</v>
      </c>
      <c r="N30" s="55">
        <f>AD4*(B47*0.002723)*1000</f>
        <v>227.96956</v>
      </c>
      <c r="O30" s="55">
        <f>AD4*(D47*0.002723)</f>
        <v>6.262900000000001</v>
      </c>
      <c r="P30" s="73" t="s">
        <v>52</v>
      </c>
      <c r="Q30" s="29"/>
    </row>
    <row r="31" spans="1:20" ht="13" x14ac:dyDescent="0.3">
      <c r="A31" s="51">
        <v>38967</v>
      </c>
      <c r="B31" s="7">
        <v>3.98</v>
      </c>
      <c r="C31" s="7">
        <v>7.0000000000000007E-2</v>
      </c>
      <c r="D31" s="7">
        <v>80</v>
      </c>
      <c r="E31" s="7">
        <v>80</v>
      </c>
      <c r="F31" s="131"/>
      <c r="I31" s="23">
        <v>1.96</v>
      </c>
      <c r="J31" s="23">
        <v>10</v>
      </c>
      <c r="K31" s="53">
        <v>39361</v>
      </c>
      <c r="L31" s="55">
        <f>AE4*(I31*0.002723)*1000</f>
        <v>261.51691999999997</v>
      </c>
      <c r="M31" s="55">
        <f>AE4*(J31*0.002723)</f>
        <v>1.3342700000000001</v>
      </c>
      <c r="N31" s="55">
        <f>AE5*(B48*0.002723)*1000</f>
        <v>482.24329999999998</v>
      </c>
      <c r="O31" s="55">
        <f>AE4*(D48*0.002723)</f>
        <v>2.6685400000000001</v>
      </c>
      <c r="P31" s="73" t="s">
        <v>53</v>
      </c>
      <c r="Q31" s="29"/>
    </row>
    <row r="32" spans="1:20" ht="13" x14ac:dyDescent="0.3">
      <c r="A32" s="51">
        <v>38995</v>
      </c>
      <c r="B32" s="7">
        <v>3.57</v>
      </c>
      <c r="C32" s="7">
        <v>0.04</v>
      </c>
      <c r="D32" s="7">
        <v>160</v>
      </c>
      <c r="E32" s="7">
        <v>10</v>
      </c>
      <c r="F32" s="131"/>
      <c r="I32" s="23">
        <v>2.71</v>
      </c>
      <c r="J32" s="23">
        <v>80</v>
      </c>
      <c r="K32" s="53">
        <v>39392</v>
      </c>
      <c r="L32" s="55">
        <f>AF4*(I32*0.002723)*1000</f>
        <v>221.37989999999999</v>
      </c>
      <c r="M32" s="55">
        <f>AF4*(J32*0.002723)</f>
        <v>6.5352000000000006</v>
      </c>
      <c r="N32" s="55">
        <f>AF4*(B49*0.002723)*1000</f>
        <v>226.28130000000002</v>
      </c>
      <c r="O32" s="55">
        <f>AF5*(D49*0.002723)</f>
        <v>8.060080000000001</v>
      </c>
      <c r="P32" s="73" t="s">
        <v>28</v>
      </c>
      <c r="Q32" s="29"/>
      <c r="S32" s="29"/>
      <c r="T32" s="29"/>
    </row>
    <row r="33" spans="1:20" ht="13" x14ac:dyDescent="0.3">
      <c r="A33" s="51">
        <v>39010</v>
      </c>
      <c r="B33" s="7">
        <v>3.84</v>
      </c>
      <c r="C33" s="7">
        <v>0.89</v>
      </c>
      <c r="D33" s="7">
        <v>30</v>
      </c>
      <c r="E33" s="7">
        <v>10</v>
      </c>
      <c r="F33" s="131"/>
      <c r="I33" s="23">
        <v>2.65</v>
      </c>
      <c r="J33" s="23">
        <v>50</v>
      </c>
      <c r="K33" s="53">
        <v>39422</v>
      </c>
      <c r="L33" s="55">
        <f>AG4*(I33*0.002723)*1000</f>
        <v>187.61470000000003</v>
      </c>
      <c r="M33" s="55">
        <f>AG4*(J33*0.002723)</f>
        <v>3.5399000000000007</v>
      </c>
      <c r="N33" s="55">
        <f>AG5*(B50*0.002723)*1000</f>
        <v>161.58282000000003</v>
      </c>
      <c r="O33" s="55">
        <f>AG5*(D50*0.002723)</f>
        <v>2.5051600000000001</v>
      </c>
      <c r="P33" s="73" t="s">
        <v>27</v>
      </c>
      <c r="Q33" s="29"/>
    </row>
    <row r="34" spans="1:20" ht="13" x14ac:dyDescent="0.3">
      <c r="A34" s="51">
        <v>39036</v>
      </c>
      <c r="B34" s="7">
        <v>5.9</v>
      </c>
      <c r="C34" s="7">
        <v>3.41</v>
      </c>
      <c r="D34" s="7">
        <v>10</v>
      </c>
      <c r="E34" s="7">
        <v>10</v>
      </c>
      <c r="F34" s="131"/>
      <c r="I34" s="23">
        <v>3.27</v>
      </c>
      <c r="J34" s="23">
        <v>60</v>
      </c>
      <c r="K34" s="53">
        <v>39453</v>
      </c>
      <c r="L34" s="55">
        <f>AH4*(I34*0.002723)*1000</f>
        <v>71.233680000000007</v>
      </c>
      <c r="M34" s="55">
        <f>AH4*(J34*0.002723)</f>
        <v>1.30704</v>
      </c>
      <c r="N34" s="55">
        <f>AH4*(B51*0.002723)*1000</f>
        <v>72.758560000000003</v>
      </c>
      <c r="O34" s="55">
        <f>AH5*(D51*0.002723)</f>
        <v>0.68075000000000008</v>
      </c>
      <c r="P34" s="73" t="s">
        <v>27</v>
      </c>
      <c r="Q34" s="29"/>
    </row>
    <row r="35" spans="1:20" ht="13" x14ac:dyDescent="0.3">
      <c r="A35" s="51">
        <v>39041</v>
      </c>
      <c r="B35" s="7">
        <v>3.69</v>
      </c>
      <c r="C35" s="7">
        <v>1.92</v>
      </c>
      <c r="D35" s="7">
        <v>10</v>
      </c>
      <c r="E35" s="7">
        <v>10</v>
      </c>
      <c r="F35" s="131"/>
      <c r="I35" s="23">
        <v>2.65</v>
      </c>
      <c r="J35" s="23">
        <v>50</v>
      </c>
      <c r="K35" s="53">
        <v>39484</v>
      </c>
      <c r="L35" s="55">
        <f>AI4*(I35*0.002723)*1000</f>
        <v>396.87725</v>
      </c>
      <c r="M35" s="55">
        <f>AI4*(J35*0.002723)</f>
        <v>7.4882500000000007</v>
      </c>
      <c r="N35" s="55">
        <f>AI4*(B52*0.002723)*1000</f>
        <v>398.37490000000003</v>
      </c>
      <c r="O35" s="55">
        <f>AI5*(D52*0.002723)</f>
        <v>7.0525700000000002</v>
      </c>
      <c r="P35" s="73" t="s">
        <v>32</v>
      </c>
      <c r="Q35" s="29"/>
    </row>
    <row r="36" spans="1:20" ht="13" x14ac:dyDescent="0.3">
      <c r="A36" s="51">
        <v>39056</v>
      </c>
      <c r="B36" s="7">
        <v>1</v>
      </c>
      <c r="C36" s="7">
        <v>1.66</v>
      </c>
      <c r="D36" s="7">
        <v>60</v>
      </c>
      <c r="E36" s="7">
        <v>30</v>
      </c>
      <c r="F36" s="131"/>
      <c r="I36" s="23">
        <v>1.82</v>
      </c>
      <c r="J36" s="23">
        <v>30</v>
      </c>
      <c r="K36" s="53">
        <v>39513</v>
      </c>
      <c r="L36" s="55">
        <f>AJ4*(I36*0.002723)*1000</f>
        <v>322.1309</v>
      </c>
      <c r="M36" s="55">
        <f>AJ4*(J36*0.002723)</f>
        <v>5.30985</v>
      </c>
      <c r="N36" s="55">
        <f>AJ4*(B53*0.002723)*1000</f>
        <v>355.75995</v>
      </c>
      <c r="O36" s="55">
        <f>AJ5*(D53*0.002723)</f>
        <v>1.6882600000000001</v>
      </c>
      <c r="P36" s="73" t="s">
        <v>58</v>
      </c>
      <c r="Q36" s="29"/>
    </row>
    <row r="37" spans="1:20" ht="13" x14ac:dyDescent="0.3">
      <c r="A37" s="30">
        <v>39100</v>
      </c>
      <c r="B37" s="41"/>
      <c r="C37" s="41">
        <v>1.98</v>
      </c>
      <c r="D37" s="41"/>
      <c r="E37" s="41">
        <v>10</v>
      </c>
      <c r="F37" s="132"/>
      <c r="I37" s="23">
        <v>0.91</v>
      </c>
      <c r="J37" s="23">
        <v>30</v>
      </c>
      <c r="K37" s="53">
        <v>39544</v>
      </c>
      <c r="L37" s="55">
        <f>AK4*(I37*0.002723)*1000</f>
        <v>71.859970000000004</v>
      </c>
      <c r="M37" s="55">
        <f>AK4*(J37*0.002723)</f>
        <v>2.3690099999999998</v>
      </c>
      <c r="N37" s="55">
        <f>AK5*(B54*0.002723)*1000</f>
        <v>102.98385999999999</v>
      </c>
      <c r="O37" s="55">
        <f>AK5*(D54*0.002723)</f>
        <v>2.5323899999999999</v>
      </c>
      <c r="P37" s="73" t="s">
        <v>56</v>
      </c>
      <c r="Q37" s="29"/>
    </row>
    <row r="38" spans="1:20" ht="13" x14ac:dyDescent="0.3">
      <c r="A38" s="30">
        <v>39121</v>
      </c>
      <c r="B38" s="41"/>
      <c r="C38" s="41">
        <v>0.77</v>
      </c>
      <c r="D38" s="41"/>
      <c r="E38" s="41">
        <v>50</v>
      </c>
      <c r="F38" s="132"/>
      <c r="I38" s="23">
        <v>0.2</v>
      </c>
      <c r="J38" s="23">
        <v>50</v>
      </c>
      <c r="K38" s="53">
        <v>39574</v>
      </c>
      <c r="L38" s="55">
        <f>AL4*(I38*0.002723)*1000</f>
        <v>10.892000000000001</v>
      </c>
      <c r="M38" s="55">
        <f>AL4*(J38*0.002723)</f>
        <v>2.7230000000000003</v>
      </c>
      <c r="N38" s="55">
        <f>AL5*(B55*0.002723)*1000</f>
        <v>21.92015</v>
      </c>
      <c r="O38" s="55">
        <f>AL5*(D55*0.002723)</f>
        <v>2.5051600000000001</v>
      </c>
      <c r="P38" s="73" t="s">
        <v>56</v>
      </c>
      <c r="Q38" s="29"/>
    </row>
    <row r="39" spans="1:20" ht="13" x14ac:dyDescent="0.3">
      <c r="A39" s="30">
        <v>39164</v>
      </c>
      <c r="B39" s="41"/>
      <c r="C39" s="41">
        <v>0.11</v>
      </c>
      <c r="D39" s="41"/>
      <c r="E39" s="41">
        <v>190</v>
      </c>
      <c r="F39" s="132"/>
      <c r="I39" s="23">
        <v>0.1</v>
      </c>
      <c r="J39" s="23">
        <v>40</v>
      </c>
      <c r="K39" s="53">
        <v>39605</v>
      </c>
      <c r="L39" s="55">
        <f>AM4*(I39*0.002723)*1000</f>
        <v>2.1783999999999999</v>
      </c>
      <c r="M39" s="55">
        <f>AM4*(J39*0.002723)</f>
        <v>0.87136000000000002</v>
      </c>
      <c r="N39" s="55">
        <f>AM5*(B56*0.002723)*1000</f>
        <v>23.690100000000001</v>
      </c>
      <c r="O39" s="55">
        <f>AM5*(D56*0.002723)</f>
        <v>2.0422500000000001</v>
      </c>
      <c r="P39" s="73" t="s">
        <v>59</v>
      </c>
      <c r="Q39" s="29"/>
    </row>
    <row r="40" spans="1:20" ht="13" x14ac:dyDescent="0.3">
      <c r="A40" s="30">
        <v>39197</v>
      </c>
      <c r="B40" s="41">
        <v>1.44</v>
      </c>
      <c r="C40" s="41">
        <v>2.13</v>
      </c>
      <c r="D40" s="41">
        <v>380</v>
      </c>
      <c r="E40" s="41">
        <v>270</v>
      </c>
      <c r="F40" s="132"/>
      <c r="I40" s="23">
        <v>0.6</v>
      </c>
      <c r="J40" s="23">
        <v>15</v>
      </c>
      <c r="K40" s="53">
        <v>39635</v>
      </c>
      <c r="L40" s="55">
        <f>AN4*(I40*0.002723)*1000</f>
        <v>130.70400000000001</v>
      </c>
      <c r="M40" s="55">
        <f>AN4*(J40*0.002723)</f>
        <v>3.2675999999999998</v>
      </c>
      <c r="N40" s="55">
        <f>AN5*(B57*0.002723)*1000</f>
        <v>217.2954</v>
      </c>
      <c r="O40" s="55">
        <f>AN5*(D57*0.002723)</f>
        <v>6.2084400000000004</v>
      </c>
      <c r="P40" s="73" t="s">
        <v>59</v>
      </c>
      <c r="Q40" s="29"/>
    </row>
    <row r="41" spans="1:20" ht="13" x14ac:dyDescent="0.3">
      <c r="A41" s="30">
        <v>39212</v>
      </c>
      <c r="B41" s="41">
        <v>1.52</v>
      </c>
      <c r="C41" s="41">
        <v>1.69</v>
      </c>
      <c r="D41" s="41">
        <v>70</v>
      </c>
      <c r="E41" s="41">
        <v>60</v>
      </c>
      <c r="F41" s="132"/>
      <c r="I41" s="23">
        <v>0.5</v>
      </c>
      <c r="J41" s="23">
        <v>80</v>
      </c>
      <c r="K41" s="53">
        <v>39666</v>
      </c>
      <c r="L41" s="55">
        <f>AO4*(I41*0.002723)*1000</f>
        <v>58.544500000000006</v>
      </c>
      <c r="M41" s="55">
        <f>AO4*(J41*0.002723)</f>
        <v>9.3671199999999999</v>
      </c>
      <c r="N41" s="55">
        <f>AO5*(B58*0.002723)*1000</f>
        <v>118.34158000000001</v>
      </c>
      <c r="O41" s="55">
        <f>AO5*(D58*0.002723)</f>
        <v>12.988710000000001</v>
      </c>
      <c r="P41" s="73" t="s">
        <v>37</v>
      </c>
      <c r="Q41" s="29"/>
    </row>
    <row r="42" spans="1:20" ht="13" x14ac:dyDescent="0.3">
      <c r="A42" s="30">
        <v>39253</v>
      </c>
      <c r="B42" s="41">
        <v>0.75</v>
      </c>
      <c r="C42" s="41">
        <v>1.37</v>
      </c>
      <c r="D42" s="41">
        <v>70</v>
      </c>
      <c r="E42" s="41">
        <v>120</v>
      </c>
      <c r="F42" s="132"/>
      <c r="I42" s="23">
        <v>0.79</v>
      </c>
      <c r="J42" s="23">
        <v>40</v>
      </c>
      <c r="K42" s="53">
        <v>39697</v>
      </c>
      <c r="L42" s="55">
        <f>AP5*(I42*0.002723)*1000</f>
        <v>79.59329000000001</v>
      </c>
      <c r="M42" s="55">
        <f>AP4*(J42*0.002723)</f>
        <v>3.04976</v>
      </c>
      <c r="N42" s="55">
        <f>AP5*(B59*0.002723)*1000</f>
        <v>105.78855000000001</v>
      </c>
      <c r="O42" s="55">
        <f>AP5*(D59*0.002723)</f>
        <v>5.0375500000000004</v>
      </c>
      <c r="P42" s="73" t="s">
        <v>59</v>
      </c>
      <c r="Q42" s="29"/>
    </row>
    <row r="43" spans="1:20" ht="13" x14ac:dyDescent="0.3">
      <c r="A43" s="34" t="s">
        <v>13</v>
      </c>
      <c r="B43" s="35">
        <f>AVERAGE(B8:B42)</f>
        <v>3.2658064516129035</v>
      </c>
      <c r="C43" s="35">
        <f>AVERAGE(C7:C42)</f>
        <v>1.5905714285714285</v>
      </c>
      <c r="D43" s="36">
        <f>AVERAGE(D7:D42)</f>
        <v>247</v>
      </c>
      <c r="E43" s="36">
        <f>AVERAGE(E7:E42)</f>
        <v>117.87878787878788</v>
      </c>
      <c r="F43" s="133"/>
      <c r="I43" s="23">
        <v>0.93</v>
      </c>
      <c r="J43" s="23">
        <v>20</v>
      </c>
      <c r="K43" s="53">
        <v>39727</v>
      </c>
      <c r="L43" s="55">
        <f>AP4*(I43*0.002723)*1000</f>
        <v>70.906920000000014</v>
      </c>
      <c r="M43" s="55">
        <f>AQ4*(J43*0.002723)</f>
        <v>1.30704</v>
      </c>
      <c r="N43" s="55">
        <f>AQ5*(B60*0.002723)*1000</f>
        <v>81.417699999999996</v>
      </c>
      <c r="O43" s="55">
        <f>AQ5*(D60*0.002723)</f>
        <v>2.1239400000000002</v>
      </c>
      <c r="P43" s="73" t="s">
        <v>59</v>
      </c>
      <c r="Q43" s="29"/>
    </row>
    <row r="44" spans="1:20" ht="13" x14ac:dyDescent="0.3">
      <c r="A44" s="34" t="s">
        <v>14</v>
      </c>
      <c r="B44" s="35">
        <f>STDEV(B7:B42)</f>
        <v>1.987981847994841</v>
      </c>
      <c r="C44" s="35">
        <f>STDEV(C7:C42)</f>
        <v>1.41229671698504</v>
      </c>
      <c r="D44" s="36">
        <f>STDEV(D7:D42)</f>
        <v>699.03455590180056</v>
      </c>
      <c r="E44" s="36">
        <f>STDEV(E7:E42)</f>
        <v>153.98371617961701</v>
      </c>
      <c r="F44" s="133"/>
      <c r="I44" s="23">
        <v>1.21</v>
      </c>
      <c r="J44" s="23">
        <v>60</v>
      </c>
      <c r="K44" s="53">
        <v>39758</v>
      </c>
      <c r="L44" s="55">
        <f>AQ4*(I44*0.002723)*1000</f>
        <v>79.075919999999996</v>
      </c>
      <c r="M44" s="55">
        <f>AR4*(J44*0.002723)</f>
        <v>6.0450600000000003</v>
      </c>
      <c r="N44" s="55">
        <f>AR5*(B61*0.002723)*1000</f>
        <v>177.26730000000001</v>
      </c>
      <c r="O44" s="55">
        <f>AR5*(D61*0.002723)</f>
        <v>6.8619599999999998</v>
      </c>
      <c r="P44" s="73" t="s">
        <v>59</v>
      </c>
      <c r="Q44" s="29"/>
    </row>
    <row r="45" spans="1:20" ht="13" x14ac:dyDescent="0.3">
      <c r="A45" s="106">
        <v>39274</v>
      </c>
      <c r="B45" s="41">
        <v>0.64</v>
      </c>
      <c r="C45" s="41">
        <v>0.04</v>
      </c>
      <c r="D45" s="42">
        <v>140</v>
      </c>
      <c r="E45" s="42">
        <v>50</v>
      </c>
      <c r="F45" s="134"/>
      <c r="I45" s="23">
        <v>1.9</v>
      </c>
      <c r="J45" s="23">
        <v>30</v>
      </c>
      <c r="K45" s="53">
        <v>39788</v>
      </c>
      <c r="L45" s="55">
        <f>AS4*(I45*0.002723)*1000</f>
        <v>46.563300000000005</v>
      </c>
      <c r="M45" s="55">
        <f>AS4*(J45*0.002723)</f>
        <v>0.73521000000000003</v>
      </c>
      <c r="N45" s="55">
        <f>AS5*(B62*0.002723)*1000</f>
        <v>51.464700000000008</v>
      </c>
      <c r="O45" s="55">
        <f>AS5*(D62*0.002723)</f>
        <v>0.98028000000000004</v>
      </c>
      <c r="P45" s="73" t="s">
        <v>36</v>
      </c>
      <c r="Q45" s="29"/>
    </row>
    <row r="46" spans="1:20" x14ac:dyDescent="0.25">
      <c r="A46" s="106">
        <v>39302</v>
      </c>
      <c r="B46" s="41">
        <v>1.1399999999999999</v>
      </c>
      <c r="C46" s="41">
        <v>0.82</v>
      </c>
      <c r="D46" s="42">
        <v>120</v>
      </c>
      <c r="E46" s="42">
        <v>100</v>
      </c>
      <c r="F46" s="134"/>
      <c r="I46" s="23">
        <v>2.08</v>
      </c>
      <c r="J46" s="64">
        <v>30</v>
      </c>
      <c r="K46" s="67">
        <v>39839</v>
      </c>
      <c r="L46" s="66">
        <f>AT4*(I46*0.002723)*1000</f>
        <v>50.974560000000011</v>
      </c>
      <c r="M46" s="55">
        <f>AT4*(J46*0.002723)</f>
        <v>0.73521000000000003</v>
      </c>
      <c r="N46" s="55">
        <f>AT5*(B63*0.002723)*1000</f>
        <v>0</v>
      </c>
      <c r="O46" s="55">
        <f>AT5*(D63*0.002723)</f>
        <v>0</v>
      </c>
      <c r="P46" s="73" t="s">
        <v>36</v>
      </c>
      <c r="Q46" s="29"/>
    </row>
    <row r="47" spans="1:20" x14ac:dyDescent="0.25">
      <c r="A47" s="106">
        <v>39337</v>
      </c>
      <c r="B47" s="41">
        <v>1.82</v>
      </c>
      <c r="C47" s="41">
        <v>1.56</v>
      </c>
      <c r="D47" s="43">
        <v>50</v>
      </c>
      <c r="E47" s="41">
        <v>20</v>
      </c>
      <c r="F47" s="132"/>
      <c r="G47" s="32"/>
      <c r="H47" s="32"/>
      <c r="I47" s="23">
        <v>2.42</v>
      </c>
      <c r="J47" s="65">
        <v>30</v>
      </c>
      <c r="K47" s="68">
        <v>39867</v>
      </c>
      <c r="L47" s="66">
        <f>AU4*(I47*0.002723)*1000</f>
        <v>52.717279999999995</v>
      </c>
      <c r="M47" s="55">
        <f>AU4*(J47*0.002723)</f>
        <v>0.65351999999999999</v>
      </c>
      <c r="N47" s="55">
        <f>AU5*(B64*0.002723)*1000</f>
        <v>201.06631999999999</v>
      </c>
      <c r="O47" s="55">
        <f>AU5*(D64*0.002723)</f>
        <v>2.8319200000000002</v>
      </c>
      <c r="P47" s="73" t="s">
        <v>36</v>
      </c>
      <c r="Q47" s="29"/>
      <c r="T47" s="29" t="s">
        <v>19</v>
      </c>
    </row>
    <row r="48" spans="1:20" x14ac:dyDescent="0.25">
      <c r="A48" s="106">
        <v>39367</v>
      </c>
      <c r="B48" s="41">
        <v>2.2999999999999998</v>
      </c>
      <c r="C48" s="41">
        <v>1.96</v>
      </c>
      <c r="D48" s="43">
        <v>20</v>
      </c>
      <c r="E48" s="41">
        <v>10</v>
      </c>
      <c r="F48" s="132"/>
      <c r="G48" s="32"/>
      <c r="H48" s="32"/>
      <c r="I48" s="23">
        <v>1.76</v>
      </c>
      <c r="J48" s="23">
        <v>50</v>
      </c>
      <c r="K48" s="67">
        <v>39895</v>
      </c>
      <c r="L48" s="66">
        <f>AV4*(I48*0.002723)*1000</f>
        <v>67.094719999999995</v>
      </c>
      <c r="M48" s="55">
        <f>AV4*(J48*0.002723)</f>
        <v>1.9061000000000003</v>
      </c>
      <c r="N48" s="55">
        <f>AV5*(B65*0.002723)*1000</f>
        <v>99.988560000000021</v>
      </c>
      <c r="O48" s="55">
        <f>AV5*(D65*0.002723)</f>
        <v>2.77746</v>
      </c>
      <c r="P48" s="73" t="s">
        <v>59</v>
      </c>
      <c r="Q48" s="29"/>
      <c r="T48" s="29" t="s">
        <v>20</v>
      </c>
    </row>
    <row r="49" spans="1:24" x14ac:dyDescent="0.25">
      <c r="A49" s="106" t="s">
        <v>25</v>
      </c>
      <c r="B49" s="41">
        <v>2.77</v>
      </c>
      <c r="C49" s="41">
        <v>2.71</v>
      </c>
      <c r="D49" s="41">
        <v>80</v>
      </c>
      <c r="E49" s="41">
        <v>80</v>
      </c>
      <c r="F49" s="132"/>
      <c r="I49" s="23">
        <v>0.43</v>
      </c>
      <c r="J49" s="23">
        <v>90</v>
      </c>
      <c r="K49" s="68">
        <v>39923</v>
      </c>
      <c r="L49" s="66">
        <f>AW4*(I49*0.002723)*1000</f>
        <v>558.51452999999992</v>
      </c>
      <c r="M49" s="55">
        <f>AW4*(J49*0.002723)</f>
        <v>116.89839000000001</v>
      </c>
      <c r="N49" s="55">
        <f>AW5*(B66*0.002723)*1000</f>
        <v>687.33965999999998</v>
      </c>
      <c r="O49" s="55">
        <f>AW5*(D66*0.002723)</f>
        <v>147.28707</v>
      </c>
      <c r="P49" s="73" t="s">
        <v>58</v>
      </c>
      <c r="Q49" s="29"/>
    </row>
    <row r="50" spans="1:24" x14ac:dyDescent="0.25">
      <c r="A50" s="106" t="s">
        <v>26</v>
      </c>
      <c r="B50" s="41">
        <v>2.58</v>
      </c>
      <c r="C50" s="41">
        <v>2.65</v>
      </c>
      <c r="D50" s="41">
        <v>40</v>
      </c>
      <c r="E50" s="41">
        <v>50</v>
      </c>
      <c r="F50" s="132"/>
      <c r="I50" s="23">
        <v>0.37</v>
      </c>
      <c r="J50" s="23">
        <v>60</v>
      </c>
      <c r="K50" s="67">
        <v>39951</v>
      </c>
      <c r="L50" s="66">
        <f>AX4*(I50*0.002723)*1000</f>
        <v>77.175266000000008</v>
      </c>
      <c r="M50" s="55">
        <f>AX4*(J50*0.002723)</f>
        <v>12.514907999999998</v>
      </c>
      <c r="N50" s="55">
        <f>AX5*(B67*0.002723)*1000</f>
        <v>136.78173600000002</v>
      </c>
      <c r="O50" s="55">
        <f>AX5*(D67*0.002723)</f>
        <v>13.152090000000001</v>
      </c>
      <c r="P50" s="73" t="s">
        <v>59</v>
      </c>
      <c r="Q50" s="29"/>
      <c r="T50" s="29" t="s">
        <v>21</v>
      </c>
    </row>
    <row r="51" spans="1:24" x14ac:dyDescent="0.25">
      <c r="A51" s="56">
        <v>39455</v>
      </c>
      <c r="B51" s="23">
        <v>3.34</v>
      </c>
      <c r="C51" s="23">
        <v>3.27</v>
      </c>
      <c r="D51" s="23">
        <v>50</v>
      </c>
      <c r="E51" s="23">
        <v>60</v>
      </c>
      <c r="F51" s="135"/>
      <c r="I51" s="23">
        <v>1.38</v>
      </c>
      <c r="J51" s="23">
        <v>80</v>
      </c>
      <c r="K51" s="68">
        <v>39979</v>
      </c>
      <c r="L51" s="66">
        <f>AY4*(I51*0.002723)*1000</f>
        <v>124.00541999999999</v>
      </c>
      <c r="M51" s="55">
        <f>AY4*(J51*0.002723)</f>
        <v>7.18872</v>
      </c>
      <c r="N51" s="55">
        <f>AY5*(B68*0.002723)*1000</f>
        <v>163.21662000000001</v>
      </c>
      <c r="O51" s="55">
        <f>AY5*(D68*0.002723)</f>
        <v>9.0675900000000009</v>
      </c>
      <c r="P51" s="98" t="s">
        <v>47</v>
      </c>
      <c r="Q51" s="95"/>
      <c r="T51" s="29" t="s">
        <v>22</v>
      </c>
    </row>
    <row r="52" spans="1:24" x14ac:dyDescent="0.25">
      <c r="A52" s="56">
        <v>39490</v>
      </c>
      <c r="B52" s="23">
        <v>2.66</v>
      </c>
      <c r="C52" s="23">
        <v>2.65</v>
      </c>
      <c r="D52" s="23">
        <v>70</v>
      </c>
      <c r="E52" s="23">
        <v>50</v>
      </c>
      <c r="F52" s="135"/>
      <c r="I52" s="23">
        <v>0.59</v>
      </c>
      <c r="J52" s="23">
        <v>90</v>
      </c>
      <c r="K52" s="67">
        <v>40007</v>
      </c>
      <c r="L52" s="66">
        <f>AZ4*(I52*0.002723)*1000</f>
        <v>59.443090000000005</v>
      </c>
      <c r="M52" s="55">
        <f>AZ4*(J52*0.002723)</f>
        <v>9.0675900000000009</v>
      </c>
      <c r="N52" s="55">
        <f>AZ5*(B69*0.002723)*1000</f>
        <v>113.41295000000001</v>
      </c>
      <c r="O52" s="55">
        <f>AZ5*(D69*0.002723)</f>
        <v>18.679780000000001</v>
      </c>
      <c r="P52" s="73" t="s">
        <v>59</v>
      </c>
      <c r="Q52" s="29"/>
    </row>
    <row r="53" spans="1:24" x14ac:dyDescent="0.25">
      <c r="A53" s="56">
        <v>39531</v>
      </c>
      <c r="B53" s="23">
        <v>2.0099999999999998</v>
      </c>
      <c r="C53" s="23">
        <v>1.82</v>
      </c>
      <c r="D53" s="23">
        <v>20</v>
      </c>
      <c r="E53" s="23">
        <v>30</v>
      </c>
      <c r="F53" s="135"/>
      <c r="I53" s="23">
        <v>1.2</v>
      </c>
      <c r="J53" s="23">
        <v>80</v>
      </c>
      <c r="K53" s="68">
        <v>40035</v>
      </c>
      <c r="L53" s="66">
        <f>BA4*(I53*0.002723)*1000</f>
        <v>163.38000000000002</v>
      </c>
      <c r="M53" s="55">
        <f>BA4*(J53*0.002723)</f>
        <v>10.891999999999999</v>
      </c>
      <c r="N53" s="55">
        <f>BA5*(B70*0.002723)*1000</f>
        <v>175.33397000000002</v>
      </c>
      <c r="O53" s="55">
        <f>BA5*(D70*0.002723)</f>
        <v>11.51829</v>
      </c>
      <c r="P53" s="73" t="s">
        <v>59</v>
      </c>
      <c r="Q53" s="29"/>
    </row>
    <row r="54" spans="1:24" x14ac:dyDescent="0.25">
      <c r="A54" s="56">
        <v>39566</v>
      </c>
      <c r="B54" s="23">
        <v>1.22</v>
      </c>
      <c r="C54" s="23">
        <v>0.91</v>
      </c>
      <c r="D54" s="23">
        <v>30</v>
      </c>
      <c r="E54" s="23">
        <v>30</v>
      </c>
      <c r="F54" s="135"/>
      <c r="I54" s="23">
        <v>1.0900000000000001</v>
      </c>
      <c r="J54" s="23">
        <v>60</v>
      </c>
      <c r="K54" s="67">
        <v>40063</v>
      </c>
      <c r="L54" s="66">
        <f>BB4*(I54*0.002723)*1000</f>
        <v>83.105960000000024</v>
      </c>
      <c r="M54" s="55">
        <f>BB4*(J54*0.002723)</f>
        <v>4.5746399999999996</v>
      </c>
      <c r="N54" s="55">
        <f>BB5*(B71*0.002723)*1000</f>
        <v>119.51247000000001</v>
      </c>
      <c r="O54" s="55">
        <f>BB5*(D71*0.002723)</f>
        <v>6.2901300000000004</v>
      </c>
      <c r="P54" s="73" t="s">
        <v>59</v>
      </c>
      <c r="Q54" s="29"/>
    </row>
    <row r="55" spans="1:24" x14ac:dyDescent="0.25">
      <c r="A55" s="56">
        <v>39587</v>
      </c>
      <c r="B55" s="54">
        <v>0.35</v>
      </c>
      <c r="C55" s="54">
        <v>0.2</v>
      </c>
      <c r="D55" s="23">
        <v>40</v>
      </c>
      <c r="E55" s="23">
        <v>50</v>
      </c>
      <c r="F55" s="135"/>
      <c r="I55" s="23">
        <v>1.86</v>
      </c>
      <c r="J55" s="23">
        <v>30</v>
      </c>
      <c r="K55" s="68">
        <v>40091</v>
      </c>
      <c r="L55" s="66">
        <f>BC4*(I55*0.002723)*1000</f>
        <v>222.85032000000001</v>
      </c>
      <c r="M55" s="55">
        <f>BC4*(J55*0.002723)</f>
        <v>3.59436</v>
      </c>
      <c r="N55" s="55">
        <f>BC5*(B72*0.002723)*1000</f>
        <v>211.74048000000005</v>
      </c>
      <c r="O55" s="55">
        <f>BC5*(D72*0.002723)</f>
        <v>4.9014000000000006</v>
      </c>
      <c r="P55" s="73" t="s">
        <v>59</v>
      </c>
      <c r="Q55" s="29"/>
    </row>
    <row r="56" spans="1:24" x14ac:dyDescent="0.25">
      <c r="A56" s="56">
        <v>39623</v>
      </c>
      <c r="B56" s="23">
        <v>0.57999999999999996</v>
      </c>
      <c r="C56" s="23">
        <v>0.1</v>
      </c>
      <c r="D56" s="23">
        <v>50</v>
      </c>
      <c r="E56" s="23">
        <v>40</v>
      </c>
      <c r="F56" s="135"/>
      <c r="I56" s="23">
        <v>1.27</v>
      </c>
      <c r="J56" s="23">
        <v>50</v>
      </c>
      <c r="K56" s="67">
        <v>40119</v>
      </c>
      <c r="L56" s="66">
        <f>BD4*(I56*0.002723)*1000</f>
        <v>459.94193000000001</v>
      </c>
      <c r="M56" s="55">
        <f>BD4*(J56*0.002723)</f>
        <v>18.107950000000002</v>
      </c>
      <c r="N56" s="55">
        <f>BD5*(B73*0.002723)*1000</f>
        <v>401.42466000000002</v>
      </c>
      <c r="O56" s="55">
        <f>BD5*(D73*0.002723)</f>
        <v>15.929550000000003</v>
      </c>
      <c r="P56" s="73" t="s">
        <v>59</v>
      </c>
      <c r="Q56" s="29"/>
    </row>
    <row r="57" spans="1:24" x14ac:dyDescent="0.25">
      <c r="A57" s="56">
        <v>39657</v>
      </c>
      <c r="B57" s="23">
        <v>0.7</v>
      </c>
      <c r="C57" s="23">
        <v>0.6</v>
      </c>
      <c r="D57" s="23">
        <v>20</v>
      </c>
      <c r="E57" s="23">
        <v>15</v>
      </c>
      <c r="F57" s="135"/>
      <c r="I57" s="23">
        <v>2.96</v>
      </c>
      <c r="J57" s="23">
        <v>60</v>
      </c>
      <c r="K57" s="67">
        <v>40175</v>
      </c>
      <c r="L57" s="66">
        <f>BE4*(I57*0.002723)*1000</f>
        <v>201.50200000000001</v>
      </c>
      <c r="M57" s="55">
        <f>BE4*(J57*0.002723)</f>
        <v>4.0845000000000002</v>
      </c>
      <c r="N57" s="55">
        <f>BE5*(B75*0.002723)*1000</f>
        <v>421.95607999999999</v>
      </c>
      <c r="O57" s="55">
        <f>BE5*(D75*0.002723)</f>
        <v>12.743640000000001</v>
      </c>
      <c r="P57" s="73" t="s">
        <v>59</v>
      </c>
      <c r="Q57" s="29"/>
    </row>
    <row r="58" spans="1:24" x14ac:dyDescent="0.25">
      <c r="A58" s="56">
        <v>39686</v>
      </c>
      <c r="B58" s="23">
        <v>0.82</v>
      </c>
      <c r="C58" s="23">
        <v>0.5</v>
      </c>
      <c r="D58" s="23">
        <v>90</v>
      </c>
      <c r="E58" s="23">
        <v>80</v>
      </c>
      <c r="F58" s="135"/>
      <c r="I58" s="23">
        <v>3.57</v>
      </c>
      <c r="J58" s="21">
        <v>40</v>
      </c>
      <c r="K58" s="83">
        <v>40179</v>
      </c>
      <c r="L58" s="66">
        <f>R$8*(I58*0.002723)*1000</f>
        <v>262.93774981320001</v>
      </c>
      <c r="M58" s="66">
        <f>R$8*(J58*0.002723)</f>
        <v>2.9460812304000004</v>
      </c>
      <c r="N58" s="66">
        <f>R$7*($B76*0.002723)*1000</f>
        <v>108.13457243400002</v>
      </c>
      <c r="O58" s="66">
        <f>R$7*($D76*0.002723)</f>
        <v>1.1382586572000002</v>
      </c>
      <c r="P58" s="73" t="s">
        <v>36</v>
      </c>
      <c r="Q58" s="29"/>
    </row>
    <row r="59" spans="1:24" x14ac:dyDescent="0.25">
      <c r="A59" s="56">
        <v>39720</v>
      </c>
      <c r="B59" s="23">
        <v>1.05</v>
      </c>
      <c r="C59" s="23">
        <v>0.79</v>
      </c>
      <c r="D59" s="23">
        <v>50</v>
      </c>
      <c r="E59" s="23">
        <v>40</v>
      </c>
      <c r="F59" s="135"/>
      <c r="I59" s="23">
        <v>3.01</v>
      </c>
      <c r="J59" s="21">
        <v>40</v>
      </c>
      <c r="K59" s="83">
        <v>40219</v>
      </c>
      <c r="L59" s="66">
        <f>S$8*(I59*0.002723)*1000</f>
        <v>195.68761404360004</v>
      </c>
      <c r="M59" s="66">
        <f>S$8*(J59*0.002723)</f>
        <v>2.6004998544000002</v>
      </c>
      <c r="N59" s="66">
        <f>S$7*($B77*0.002723)*1000</f>
        <v>260.77570632959998</v>
      </c>
      <c r="O59" s="66">
        <f>S$7*($D77*0.002723)</f>
        <v>2.9633602992000005</v>
      </c>
      <c r="P59" s="73" t="s">
        <v>36</v>
      </c>
      <c r="Q59" s="29"/>
    </row>
    <row r="60" spans="1:24" x14ac:dyDescent="0.25">
      <c r="A60" s="56">
        <v>39748</v>
      </c>
      <c r="B60" s="23">
        <v>1.1499999999999999</v>
      </c>
      <c r="C60" s="23">
        <v>0.93</v>
      </c>
      <c r="D60" s="23">
        <v>30</v>
      </c>
      <c r="E60" s="23">
        <v>20</v>
      </c>
      <c r="F60" s="135"/>
      <c r="I60" s="23">
        <v>1.31</v>
      </c>
      <c r="J60" s="21">
        <v>80</v>
      </c>
      <c r="K60" s="83">
        <v>40259</v>
      </c>
      <c r="L60" s="66">
        <f>T$8*(I60*0.002723)*1000</f>
        <v>515.3131288515001</v>
      </c>
      <c r="M60" s="66">
        <f>T$8*(J60*0.002723)</f>
        <v>31.469504051999998</v>
      </c>
      <c r="N60" s="66">
        <f>T$7*($B78*0.002723)*1000</f>
        <v>537.49243356900013</v>
      </c>
      <c r="O60" s="66">
        <f>T$7*($D78*0.002723)</f>
        <v>33.0764574504</v>
      </c>
      <c r="P60" s="73" t="s">
        <v>36</v>
      </c>
      <c r="Q60" s="29"/>
      <c r="S60">
        <v>41.6</v>
      </c>
    </row>
    <row r="61" spans="1:24" x14ac:dyDescent="0.25">
      <c r="A61" s="56">
        <v>39772</v>
      </c>
      <c r="B61" s="23">
        <v>1.55</v>
      </c>
      <c r="C61" s="23">
        <v>1.21</v>
      </c>
      <c r="D61" s="23">
        <v>60</v>
      </c>
      <c r="E61" s="23">
        <v>60</v>
      </c>
      <c r="F61" s="135"/>
      <c r="I61" s="23">
        <v>0.94</v>
      </c>
      <c r="J61" s="21">
        <v>90</v>
      </c>
      <c r="K61" s="83">
        <v>40278</v>
      </c>
      <c r="L61" s="66">
        <f>U$8*(I61*0.002723)*1000</f>
        <v>1036.6460999999999</v>
      </c>
      <c r="M61" s="66">
        <f>U$8*(J61*0.002723)</f>
        <v>99.253349999999998</v>
      </c>
      <c r="N61" s="66">
        <f>U$7*($B79*0.002723)*1000</f>
        <v>859.20169608000003</v>
      </c>
      <c r="O61" s="66">
        <f>U$7*($D79*0.002723)</f>
        <v>75.811914360000003</v>
      </c>
      <c r="P61" s="73" t="s">
        <v>58</v>
      </c>
      <c r="Q61" s="29"/>
    </row>
    <row r="62" spans="1:24" ht="14.5" x14ac:dyDescent="0.35">
      <c r="A62" s="107">
        <v>39797</v>
      </c>
      <c r="B62" s="61">
        <v>2.1</v>
      </c>
      <c r="C62" s="61">
        <v>1.9</v>
      </c>
      <c r="D62" s="60">
        <v>40</v>
      </c>
      <c r="E62" s="60">
        <v>30</v>
      </c>
      <c r="F62" s="136"/>
      <c r="I62" s="23">
        <v>1.37</v>
      </c>
      <c r="J62" s="21">
        <v>50</v>
      </c>
      <c r="K62" s="83">
        <v>40316</v>
      </c>
      <c r="L62" s="66">
        <f>V$8*(I62*0.002723)*1000</f>
        <v>177.54243192000004</v>
      </c>
      <c r="M62" s="66">
        <f>V$8*(J62*0.002723)</f>
        <v>6.4796508000000017</v>
      </c>
      <c r="N62" s="66">
        <f>V$7*($B80*0.002723)*1000</f>
        <v>220.30812720000006</v>
      </c>
      <c r="O62" s="66">
        <f>V$7*($D80*0.002723)</f>
        <v>7.775580960000001</v>
      </c>
      <c r="P62" s="73" t="s">
        <v>59</v>
      </c>
      <c r="Q62" s="29"/>
      <c r="T62" s="289" t="s">
        <v>9</v>
      </c>
      <c r="U62" s="290"/>
      <c r="V62" s="290"/>
      <c r="W62" s="290"/>
      <c r="X62" s="291"/>
    </row>
    <row r="63" spans="1:24" x14ac:dyDescent="0.25">
      <c r="A63" s="56">
        <v>39839</v>
      </c>
      <c r="B63" s="69"/>
      <c r="C63" s="23">
        <v>2.08</v>
      </c>
      <c r="D63" s="23"/>
      <c r="E63" s="23">
        <v>30</v>
      </c>
      <c r="F63" s="135"/>
      <c r="I63" s="23">
        <v>0.73</v>
      </c>
      <c r="J63" s="21">
        <v>90</v>
      </c>
      <c r="K63" s="83">
        <v>40335</v>
      </c>
      <c r="L63" s="66">
        <f>W$8*(I63*0.002723)*1000</f>
        <v>87.507684053999995</v>
      </c>
      <c r="M63" s="66">
        <f>W$8*(J63*0.002723)</f>
        <v>10.788618582</v>
      </c>
      <c r="N63" s="66">
        <f>W$7*($B81*0.002723)*1000</f>
        <v>105.48871502399999</v>
      </c>
      <c r="O63" s="66">
        <f>W$7*($D81*0.002723)</f>
        <v>13.186089378</v>
      </c>
      <c r="P63" s="73" t="s">
        <v>59</v>
      </c>
      <c r="Q63" s="29"/>
      <c r="T63" s="8"/>
      <c r="U63" s="29" t="s">
        <v>42</v>
      </c>
      <c r="V63" s="8"/>
      <c r="W63" s="73" t="s">
        <v>43</v>
      </c>
      <c r="X63" s="8"/>
    </row>
    <row r="64" spans="1:24" x14ac:dyDescent="0.25">
      <c r="A64" s="56">
        <v>39867</v>
      </c>
      <c r="B64" s="23">
        <v>2.84</v>
      </c>
      <c r="C64" s="23">
        <v>2.42</v>
      </c>
      <c r="D64" s="23">
        <v>40</v>
      </c>
      <c r="E64" s="23">
        <v>30</v>
      </c>
      <c r="F64" s="135"/>
      <c r="I64" s="23">
        <v>0.67</v>
      </c>
      <c r="J64" s="21">
        <v>90</v>
      </c>
      <c r="K64" s="83">
        <v>40373</v>
      </c>
      <c r="L64" s="66">
        <f>X$8*(I64*0.002723)*1000</f>
        <v>72.898771354500013</v>
      </c>
      <c r="M64" s="66">
        <f>X$8*(J64*0.002723)</f>
        <v>9.7923722715000014</v>
      </c>
      <c r="N64" s="66">
        <f>X$7*($B82*0.002723)*1000</f>
        <v>81.937884220500024</v>
      </c>
      <c r="O64" s="66">
        <f>X$7*($D82*0.002723)</f>
        <v>8.285853460500002</v>
      </c>
      <c r="P64" s="73" t="s">
        <v>59</v>
      </c>
      <c r="Q64" s="29"/>
      <c r="T64" s="8"/>
      <c r="U64" s="73" t="s">
        <v>44</v>
      </c>
      <c r="V64" s="73" t="s">
        <v>45</v>
      </c>
      <c r="W64" s="73" t="s">
        <v>44</v>
      </c>
      <c r="X64" s="73" t="s">
        <v>45</v>
      </c>
    </row>
    <row r="65" spans="1:24" x14ac:dyDescent="0.25">
      <c r="A65" s="56">
        <v>39888</v>
      </c>
      <c r="B65" s="23">
        <v>2.16</v>
      </c>
      <c r="C65" s="23">
        <v>1.76</v>
      </c>
      <c r="D65" s="23">
        <v>60</v>
      </c>
      <c r="E65" s="23">
        <v>50</v>
      </c>
      <c r="F65" s="135"/>
      <c r="I65" s="23">
        <v>0.75</v>
      </c>
      <c r="J65" s="23">
        <v>60</v>
      </c>
      <c r="K65" s="83">
        <v>40392</v>
      </c>
      <c r="L65" s="66">
        <f>Y$8*(I65*0.002723)*1000</f>
        <v>101.69001974250003</v>
      </c>
      <c r="M65" s="66">
        <f>Y$8*(J65*0.002723)</f>
        <v>8.1352015794000003</v>
      </c>
      <c r="N65" s="66">
        <f>Y$7*($B84*0.002723)*1000</f>
        <v>211.38132828120004</v>
      </c>
      <c r="O65" s="66">
        <f>Y$7*($D83*0.002723)</f>
        <v>9.0223737681000014</v>
      </c>
      <c r="P65" s="73" t="s">
        <v>59</v>
      </c>
      <c r="Q65" s="29"/>
      <c r="T65" s="72">
        <v>40084</v>
      </c>
      <c r="U65" s="8">
        <v>1.33</v>
      </c>
      <c r="V65" s="8">
        <v>2.6</v>
      </c>
      <c r="W65" s="8">
        <v>1.0900000000000001</v>
      </c>
      <c r="X65" s="8">
        <v>2.5</v>
      </c>
    </row>
    <row r="66" spans="1:24" x14ac:dyDescent="0.25">
      <c r="A66" s="56">
        <v>39930</v>
      </c>
      <c r="B66" s="23">
        <v>0.42</v>
      </c>
      <c r="C66" s="23">
        <v>0.43</v>
      </c>
      <c r="D66" s="23">
        <v>90</v>
      </c>
      <c r="E66" s="23">
        <v>90</v>
      </c>
      <c r="F66" s="135"/>
      <c r="I66" s="23">
        <v>1.4</v>
      </c>
      <c r="J66" s="23">
        <v>130</v>
      </c>
      <c r="K66" s="84">
        <v>40431</v>
      </c>
      <c r="L66" s="66">
        <f>Z$8*(I66*0.002723)*1000</f>
        <v>110.5538</v>
      </c>
      <c r="M66" s="66">
        <f>Z$8*(J66*0.002723)</f>
        <v>10.26571</v>
      </c>
      <c r="N66" s="66">
        <f>Z$7*($B85*0.002723)*1000</f>
        <v>148.13119999999998</v>
      </c>
      <c r="O66" s="66">
        <f>Z$7*($D84*0.002723)</f>
        <v>12.96148</v>
      </c>
      <c r="P66" s="73" t="s">
        <v>59</v>
      </c>
      <c r="Q66" s="29"/>
      <c r="T66" s="72">
        <v>40105</v>
      </c>
      <c r="U66" s="8">
        <v>2.16</v>
      </c>
      <c r="V66" s="8">
        <v>3.5</v>
      </c>
      <c r="W66" s="8">
        <v>1.86</v>
      </c>
      <c r="X66" s="8">
        <v>3.95</v>
      </c>
    </row>
    <row r="67" spans="1:24" x14ac:dyDescent="0.25">
      <c r="A67" s="56">
        <v>39951</v>
      </c>
      <c r="B67" s="23">
        <v>0.52</v>
      </c>
      <c r="C67" s="23">
        <v>0.37</v>
      </c>
      <c r="D67" s="23">
        <v>50</v>
      </c>
      <c r="E67" s="23">
        <v>60</v>
      </c>
      <c r="F67" s="135"/>
      <c r="I67" s="23">
        <v>1.44</v>
      </c>
      <c r="J67" s="23">
        <v>50</v>
      </c>
      <c r="K67" s="84">
        <v>40452</v>
      </c>
      <c r="L67" s="66">
        <f>AA$8*(I67*0.002723)*1000</f>
        <v>173.55096702719999</v>
      </c>
      <c r="M67" s="66">
        <f>AA$8*(J67*0.002723)</f>
        <v>6.0260752440000003</v>
      </c>
      <c r="N67" s="66">
        <f>AA$7*($B85*0.002723)*1000</f>
        <v>115.16499355200001</v>
      </c>
      <c r="O67" s="66">
        <f>AA$7*($D85*0.002723)</f>
        <v>2.8791248388000006</v>
      </c>
      <c r="P67" s="73" t="s">
        <v>59</v>
      </c>
      <c r="Q67" s="29"/>
      <c r="T67" s="72">
        <v>40133</v>
      </c>
      <c r="U67" s="8">
        <v>1.26</v>
      </c>
      <c r="V67" s="8">
        <v>2.14</v>
      </c>
      <c r="W67" s="8">
        <v>1.22</v>
      </c>
      <c r="X67" s="8">
        <v>2.87</v>
      </c>
    </row>
    <row r="68" spans="1:24" x14ac:dyDescent="0.25">
      <c r="A68" s="56">
        <v>39986</v>
      </c>
      <c r="B68" s="23">
        <v>1.62</v>
      </c>
      <c r="C68" s="23">
        <v>1.38</v>
      </c>
      <c r="D68" s="23">
        <v>90</v>
      </c>
      <c r="E68" s="23">
        <v>80</v>
      </c>
      <c r="F68" s="135"/>
      <c r="I68" s="23">
        <v>2.4900000000000002</v>
      </c>
      <c r="J68" s="23">
        <v>5</v>
      </c>
      <c r="K68" s="85">
        <v>40483</v>
      </c>
      <c r="L68" s="66">
        <f>AB$8*(I68*0.002723)*1000</f>
        <v>212.56980423210004</v>
      </c>
      <c r="M68" s="66">
        <f>AB$8*(J68*0.002723)</f>
        <v>0.42684699645000002</v>
      </c>
      <c r="N68" s="66">
        <f>AB$7*($B86*0.002723)*1000</f>
        <v>188.58267694140005</v>
      </c>
      <c r="O68" s="66">
        <f>AB$7*($D86*0.002723)</f>
        <v>0.35989060485000007</v>
      </c>
      <c r="P68" s="73" t="s">
        <v>59</v>
      </c>
    </row>
    <row r="69" spans="1:24" x14ac:dyDescent="0.25">
      <c r="A69" s="56">
        <v>40014</v>
      </c>
      <c r="B69" s="23">
        <v>0.85</v>
      </c>
      <c r="C69" s="23">
        <v>0.59</v>
      </c>
      <c r="D69" s="23">
        <v>140</v>
      </c>
      <c r="E69" s="23">
        <v>90</v>
      </c>
      <c r="F69" s="135"/>
      <c r="I69" s="23">
        <v>3.59</v>
      </c>
      <c r="J69" s="23">
        <v>5</v>
      </c>
      <c r="K69" s="85">
        <v>40513</v>
      </c>
      <c r="L69" s="66">
        <f>AC$8*(I69*0.002723)*1000</f>
        <v>330.51348803550013</v>
      </c>
      <c r="M69" s="66">
        <f>AC$8*(J69*0.002723)</f>
        <v>0.46032519225000013</v>
      </c>
      <c r="N69" s="66">
        <f>AC$7*($B87*0.002723)*1000</f>
        <v>468.2595246546</v>
      </c>
      <c r="O69" s="66">
        <f>AC$7*($D87*0.002723)</f>
        <v>2.3769519018</v>
      </c>
      <c r="P69" s="73" t="s">
        <v>59</v>
      </c>
    </row>
    <row r="70" spans="1:24" x14ac:dyDescent="0.25">
      <c r="A70" s="56">
        <v>40042</v>
      </c>
      <c r="B70" s="23">
        <v>1.37</v>
      </c>
      <c r="C70" s="23">
        <v>1.2</v>
      </c>
      <c r="D70" s="21">
        <v>90</v>
      </c>
      <c r="E70" s="21">
        <v>80</v>
      </c>
      <c r="F70" s="137"/>
      <c r="I70" s="23">
        <v>2.98</v>
      </c>
      <c r="J70" s="112">
        <v>40</v>
      </c>
      <c r="K70" s="85">
        <v>40544</v>
      </c>
      <c r="L70" s="66">
        <f>AD$8*(I70*0.002723)*1000</f>
        <v>162.29080000000002</v>
      </c>
      <c r="M70" s="66">
        <f>AD$8*(J70*0.002723)</f>
        <v>2.1783999999999999</v>
      </c>
      <c r="N70" s="66">
        <f>AD$7*($B88*0.002723)*1000</f>
        <v>169.58844000000002</v>
      </c>
      <c r="O70" s="66">
        <f>AD$7*($D88*0.002723)</f>
        <v>2.9408400000000001</v>
      </c>
      <c r="P70" s="73" t="s">
        <v>59</v>
      </c>
    </row>
    <row r="71" spans="1:24" x14ac:dyDescent="0.25">
      <c r="A71" s="108">
        <v>40084</v>
      </c>
      <c r="B71" s="23">
        <v>1.33</v>
      </c>
      <c r="C71" s="23">
        <v>1.0900000000000001</v>
      </c>
      <c r="D71" s="21">
        <v>70</v>
      </c>
      <c r="E71" s="23">
        <v>60</v>
      </c>
      <c r="F71" s="135"/>
      <c r="I71" s="23">
        <v>1.6</v>
      </c>
      <c r="J71" s="112">
        <v>40</v>
      </c>
      <c r="K71" s="85">
        <v>40575</v>
      </c>
      <c r="L71" s="66">
        <f>AE$8*(I71*0.002723)*1000</f>
        <v>78.42240000000001</v>
      </c>
      <c r="M71" s="66">
        <f>AE$8*(J71*0.002723)</f>
        <v>1.9605600000000001</v>
      </c>
      <c r="N71" s="66">
        <f>AE$7*($B89*0.002723)*1000</f>
        <v>71.887199999999993</v>
      </c>
      <c r="O71" s="66">
        <f>AE$7*($D89*0.002723)</f>
        <v>2.0422500000000001</v>
      </c>
      <c r="P71" s="73" t="s">
        <v>59</v>
      </c>
    </row>
    <row r="72" spans="1:24" x14ac:dyDescent="0.25">
      <c r="A72" s="56">
        <v>40105</v>
      </c>
      <c r="B72" s="23">
        <v>2.16</v>
      </c>
      <c r="C72" s="23">
        <v>1.86</v>
      </c>
      <c r="D72" s="21">
        <v>50</v>
      </c>
      <c r="E72" s="23">
        <v>30</v>
      </c>
      <c r="F72" s="135"/>
      <c r="I72" s="23">
        <v>1.22</v>
      </c>
      <c r="J72" s="112">
        <v>30</v>
      </c>
      <c r="K72" s="85">
        <v>40603</v>
      </c>
      <c r="L72" s="66">
        <f>AF$8*(I72*0.002723)*1000</f>
        <v>59.797080000000001</v>
      </c>
      <c r="M72" s="66">
        <f>AF$8*(J72*0.002723)</f>
        <v>1.4704200000000001</v>
      </c>
      <c r="N72" s="66">
        <f>AF$7*($B90*0.002723)*1000</f>
        <v>95.577300000000008</v>
      </c>
      <c r="O72" s="66">
        <f>AF$7*($D90*0.002723)</f>
        <v>1.6338000000000001</v>
      </c>
      <c r="P72" s="73" t="s">
        <v>59</v>
      </c>
    </row>
    <row r="73" spans="1:24" x14ac:dyDescent="0.25">
      <c r="A73" s="56">
        <v>40133</v>
      </c>
      <c r="B73" s="23">
        <v>1.26</v>
      </c>
      <c r="C73" s="23">
        <v>1.22</v>
      </c>
      <c r="D73" s="21">
        <v>50</v>
      </c>
      <c r="E73" s="23">
        <v>50</v>
      </c>
      <c r="F73" s="135"/>
      <c r="I73" s="105">
        <v>0.71</v>
      </c>
      <c r="J73" s="112">
        <v>100</v>
      </c>
      <c r="K73" s="85">
        <v>40634</v>
      </c>
      <c r="L73" s="66">
        <f>AG$8*(I73*0.002723)*1000</f>
        <v>301.59948000000003</v>
      </c>
      <c r="M73" s="66">
        <f>AG$8*(J73*0.002723)</f>
        <v>42.478800000000007</v>
      </c>
      <c r="N73" s="66">
        <f>AG$7*($B91*0.002723)*1000</f>
        <v>285.58823999999998</v>
      </c>
      <c r="O73" s="66">
        <f>AG$7*($D91*0.002723)</f>
        <v>45.528560000000006</v>
      </c>
      <c r="P73" s="73" t="s">
        <v>58</v>
      </c>
    </row>
    <row r="74" spans="1:24" x14ac:dyDescent="0.25">
      <c r="A74" s="56">
        <v>40135</v>
      </c>
      <c r="B74" s="23">
        <v>1.38</v>
      </c>
      <c r="C74" s="23">
        <v>1.33</v>
      </c>
      <c r="D74" s="21">
        <v>60</v>
      </c>
      <c r="E74" s="23">
        <v>70</v>
      </c>
      <c r="F74" s="135"/>
      <c r="I74" s="23">
        <v>0.62</v>
      </c>
      <c r="J74" s="112">
        <v>140</v>
      </c>
      <c r="K74" s="85">
        <v>40664</v>
      </c>
      <c r="L74" s="66">
        <f>AH$8*(I74*0.002723)*1000</f>
        <v>62.465620000000001</v>
      </c>
      <c r="M74" s="66">
        <f>AH$8*(J74*0.002723)</f>
        <v>14.10514</v>
      </c>
      <c r="N74" s="66">
        <f>AH$7*($B92*0.002723)*1000</f>
        <v>105.87024000000002</v>
      </c>
      <c r="O74" s="66">
        <f>AH$7*($D92*0.002723)</f>
        <v>11.76336</v>
      </c>
      <c r="P74" s="73" t="s">
        <v>59</v>
      </c>
    </row>
    <row r="75" spans="1:24" x14ac:dyDescent="0.25">
      <c r="A75" s="56">
        <v>40161</v>
      </c>
      <c r="B75" s="23">
        <v>2.98</v>
      </c>
      <c r="C75" s="23">
        <v>2.96</v>
      </c>
      <c r="D75" s="21">
        <v>90</v>
      </c>
      <c r="E75" s="21">
        <v>60</v>
      </c>
      <c r="F75" s="137"/>
      <c r="I75" s="23">
        <v>0.6</v>
      </c>
      <c r="J75" s="112">
        <v>260</v>
      </c>
      <c r="K75" s="85">
        <v>40695</v>
      </c>
      <c r="L75" s="66">
        <f>AI$8*(I75*0.002723)*1000</f>
        <v>24.507000000000001</v>
      </c>
      <c r="M75" s="66">
        <f>AI$8*(J75*0.002723)</f>
        <v>10.619700000000002</v>
      </c>
      <c r="N75" s="66">
        <f>AI$7*($B93*0.002723)*1000</f>
        <v>46.291000000000004</v>
      </c>
      <c r="O75" s="66">
        <f>AI$7*($D93*0.002723)</f>
        <v>13.070399999999999</v>
      </c>
      <c r="P75" s="73" t="s">
        <v>59</v>
      </c>
    </row>
    <row r="76" spans="1:24" x14ac:dyDescent="0.25">
      <c r="A76" s="109">
        <v>40203</v>
      </c>
      <c r="B76" s="102">
        <v>3.8</v>
      </c>
      <c r="C76" s="102">
        <v>3.57</v>
      </c>
      <c r="D76" s="102">
        <v>40</v>
      </c>
      <c r="E76" s="102">
        <v>40</v>
      </c>
      <c r="F76" s="138"/>
      <c r="I76" s="23">
        <v>0.55000000000000004</v>
      </c>
      <c r="J76" s="112">
        <v>170</v>
      </c>
      <c r="K76" s="85">
        <v>40725</v>
      </c>
      <c r="L76" s="66">
        <f>AJ$8*(I76*0.002723)*1000</f>
        <v>41.429267302500008</v>
      </c>
      <c r="M76" s="66">
        <f>AJ$8*(J76*0.002723)</f>
        <v>12.805409893500002</v>
      </c>
      <c r="N76" s="66">
        <f>AJ$7*($B94*0.002723)*1000</f>
        <v>84.515705297100013</v>
      </c>
      <c r="O76" s="66">
        <f>AJ$7*($D94*0.002723)</f>
        <v>15.366491872200001</v>
      </c>
      <c r="P76" s="73" t="s">
        <v>59</v>
      </c>
      <c r="Q76" s="29"/>
    </row>
    <row r="77" spans="1:24" x14ac:dyDescent="0.25">
      <c r="A77" s="109">
        <v>40231</v>
      </c>
      <c r="B77" s="102">
        <v>3.52</v>
      </c>
      <c r="C77" s="102">
        <v>3.01</v>
      </c>
      <c r="D77" s="102">
        <v>40</v>
      </c>
      <c r="E77" s="102">
        <v>40</v>
      </c>
      <c r="F77" s="138"/>
      <c r="I77" s="23">
        <v>0.61</v>
      </c>
      <c r="J77" s="112">
        <v>30</v>
      </c>
      <c r="K77" s="85">
        <v>40756</v>
      </c>
      <c r="L77" s="66">
        <f>AK$8*(I77*0.002723)*1000</f>
        <v>58.201843398299992</v>
      </c>
      <c r="M77" s="66">
        <f>AK$8*(J77*0.002723)</f>
        <v>2.8623857408999998</v>
      </c>
      <c r="N77" s="66">
        <f>AK$7*($B96*0.002723)*1000</f>
        <v>102.05827989630002</v>
      </c>
      <c r="O77" s="66">
        <f>AK$7*($D96*0.002723)</f>
        <v>3.3645586779000003</v>
      </c>
      <c r="P77" s="73" t="s">
        <v>59</v>
      </c>
    </row>
    <row r="78" spans="1:24" ht="13" x14ac:dyDescent="0.3">
      <c r="A78" s="109">
        <v>40266</v>
      </c>
      <c r="B78" s="102">
        <v>1.3</v>
      </c>
      <c r="C78" s="102">
        <v>1.31</v>
      </c>
      <c r="D78" s="102">
        <v>80</v>
      </c>
      <c r="E78" s="102">
        <v>80</v>
      </c>
      <c r="F78" s="138"/>
      <c r="I78" s="23">
        <v>0.94</v>
      </c>
      <c r="J78" s="112">
        <v>130</v>
      </c>
      <c r="K78" s="85">
        <v>40787</v>
      </c>
      <c r="L78" s="66">
        <f>AL$8*(I78*0.002723)*1000</f>
        <v>59.792057698800001</v>
      </c>
      <c r="M78" s="66">
        <f>AL$8*(J78*0.002723)</f>
        <v>8.2691143626000017</v>
      </c>
      <c r="N78" s="66">
        <f>AL$7*($B102*0.002723)*1000</f>
        <v>109.27283109120002</v>
      </c>
      <c r="O78" s="66">
        <f>AL$7*($D102*0.002723)</f>
        <v>13.659103886400001</v>
      </c>
      <c r="P78" s="73" t="s">
        <v>59</v>
      </c>
      <c r="Q78" s="75"/>
    </row>
    <row r="79" spans="1:24" ht="13" x14ac:dyDescent="0.3">
      <c r="A79" s="109">
        <v>40294</v>
      </c>
      <c r="B79" s="102">
        <v>1.02</v>
      </c>
      <c r="C79" s="102">
        <v>0.94</v>
      </c>
      <c r="D79" s="102">
        <v>90</v>
      </c>
      <c r="E79" s="102">
        <v>90</v>
      </c>
      <c r="F79" s="138"/>
      <c r="I79" s="23">
        <v>1.42</v>
      </c>
      <c r="J79" s="112">
        <v>160</v>
      </c>
      <c r="K79" s="85">
        <v>40817</v>
      </c>
      <c r="L79" s="66">
        <f>AM$8*(I79*0.002723)*1000</f>
        <v>95.07807607200003</v>
      </c>
      <c r="M79" s="66">
        <f>AM$8*(J79*0.002723)</f>
        <v>10.713022656000003</v>
      </c>
      <c r="N79" s="66">
        <f>AM$7*($B103*0.002723)*1000</f>
        <v>153.19622398080003</v>
      </c>
      <c r="O79" s="66">
        <f>AM$7*($D103*0.002723)</f>
        <v>10.445197089600001</v>
      </c>
      <c r="P79" s="73" t="s">
        <v>59</v>
      </c>
      <c r="Q79" s="78"/>
    </row>
    <row r="80" spans="1:24" ht="13" x14ac:dyDescent="0.3">
      <c r="A80" s="109">
        <v>40322</v>
      </c>
      <c r="B80" s="102">
        <v>1.7</v>
      </c>
      <c r="C80" s="102">
        <v>1.37</v>
      </c>
      <c r="D80" s="102">
        <v>60</v>
      </c>
      <c r="E80" s="102">
        <v>50</v>
      </c>
      <c r="F80" s="138"/>
      <c r="I80" s="23">
        <v>2.63</v>
      </c>
      <c r="J80" s="112">
        <v>10</v>
      </c>
      <c r="K80" s="85">
        <v>40848</v>
      </c>
      <c r="L80" s="66">
        <f>AN$8*(I80*0.002723)*1000</f>
        <v>220.11913738500002</v>
      </c>
      <c r="M80" s="66">
        <f>AN$8*(J80*0.002723)</f>
        <v>0.83695489500000009</v>
      </c>
      <c r="N80" s="66">
        <f>AN$7*($B104*0.002723)*1000</f>
        <v>395.87966533500008</v>
      </c>
      <c r="O80" s="66">
        <f>AN$7*($D104*0.002723)</f>
        <v>1.4395624194000003</v>
      </c>
      <c r="P80" s="73" t="s">
        <v>59</v>
      </c>
      <c r="Q80" s="76"/>
    </row>
    <row r="81" spans="1:24" x14ac:dyDescent="0.25">
      <c r="A81" s="109">
        <v>40358</v>
      </c>
      <c r="B81" s="102">
        <v>0.88</v>
      </c>
      <c r="C81" s="102">
        <v>0.73</v>
      </c>
      <c r="D81" s="102">
        <v>110</v>
      </c>
      <c r="E81" s="102">
        <v>90</v>
      </c>
      <c r="F81" s="138"/>
      <c r="I81" s="23">
        <v>2.62</v>
      </c>
      <c r="J81" s="112">
        <v>10</v>
      </c>
      <c r="K81" s="85">
        <v>40878</v>
      </c>
      <c r="L81" s="66">
        <f>AO$8*(I81*0.002723)*1000</f>
        <v>271.10187999999999</v>
      </c>
      <c r="M81" s="66">
        <f>AO$8*(J81*0.002723)</f>
        <v>1.03474</v>
      </c>
      <c r="N81" s="66">
        <f>AO$7*($B108*0.002723)*1000</f>
        <v>468.79168000000004</v>
      </c>
      <c r="O81" s="66">
        <f>AO$7*($D108*0.002723)</f>
        <v>1.74272</v>
      </c>
      <c r="P81" s="73" t="s">
        <v>59</v>
      </c>
      <c r="Q81" s="77"/>
    </row>
    <row r="82" spans="1:24" x14ac:dyDescent="0.25">
      <c r="A82" s="109">
        <v>40385</v>
      </c>
      <c r="B82" s="102">
        <v>0.89</v>
      </c>
      <c r="C82" s="102">
        <v>0.67</v>
      </c>
      <c r="D82" s="102">
        <v>90</v>
      </c>
      <c r="E82" s="102">
        <v>90</v>
      </c>
      <c r="F82" s="138"/>
      <c r="I82" s="23">
        <v>1.83</v>
      </c>
      <c r="J82" s="23">
        <v>10</v>
      </c>
      <c r="K82" s="85">
        <v>40909</v>
      </c>
      <c r="L82" s="66">
        <f t="shared" ref="L82:L93" si="2">G109*(I82*0.002723)*1000</f>
        <v>324.70502106420008</v>
      </c>
      <c r="M82" s="66">
        <f t="shared" ref="M82:M93" si="3">G109*(J82*0.002723)</f>
        <v>1.7743443774000003</v>
      </c>
      <c r="N82" s="66">
        <f>F109*($B109*0.002723)*1000</f>
        <v>159.08838644160002</v>
      </c>
      <c r="O82" s="66">
        <f>F109*($D109*0.002723)</f>
        <v>0.9039112866000002</v>
      </c>
      <c r="P82" s="73" t="s">
        <v>59</v>
      </c>
      <c r="Q82" s="77"/>
    </row>
    <row r="83" spans="1:24" x14ac:dyDescent="0.25">
      <c r="A83" s="109">
        <v>40413</v>
      </c>
      <c r="B83" s="102">
        <v>1.01</v>
      </c>
      <c r="C83" s="102">
        <v>0.75</v>
      </c>
      <c r="D83" s="102">
        <v>70</v>
      </c>
      <c r="E83" s="102">
        <v>60</v>
      </c>
      <c r="F83" s="138"/>
      <c r="I83" s="23">
        <v>1.6</v>
      </c>
      <c r="J83" s="23">
        <v>10</v>
      </c>
      <c r="K83" s="85">
        <v>40940</v>
      </c>
      <c r="L83" s="66">
        <f t="shared" si="2"/>
        <v>147.56324755199998</v>
      </c>
      <c r="M83" s="66">
        <f t="shared" si="3"/>
        <v>0.92227029719999998</v>
      </c>
      <c r="N83" s="66">
        <f t="shared" ref="N83:N93" si="4">F110*($B110*0.002723)*1000</f>
        <v>196.91226804479996</v>
      </c>
      <c r="O83" s="66">
        <f t="shared" ref="O83:O93" si="5">F110*($D110*0.002723)</f>
        <v>1.1188197047999999</v>
      </c>
      <c r="P83" s="73" t="s">
        <v>59</v>
      </c>
      <c r="Q83" s="118">
        <v>0.84</v>
      </c>
      <c r="R83" s="70">
        <v>240</v>
      </c>
      <c r="S83" s="71">
        <v>39961</v>
      </c>
      <c r="T83" s="66">
        <f>S60*(Q83*0.002723)*1000</f>
        <v>95.152512000000002</v>
      </c>
      <c r="U83" s="55">
        <f>S60*(R83*0.002723)</f>
        <v>27.186432</v>
      </c>
      <c r="V83" s="55">
        <f>S60*(B124*0.002723)*1000</f>
        <v>92.886976000000004</v>
      </c>
      <c r="W83" s="55">
        <f>S60*(D124*0.002723)</f>
        <v>26.053664000000001</v>
      </c>
      <c r="X83" s="29" t="s">
        <v>40</v>
      </c>
    </row>
    <row r="84" spans="1:24" x14ac:dyDescent="0.25">
      <c r="A84" s="109">
        <v>40448</v>
      </c>
      <c r="B84" s="102">
        <v>1.64</v>
      </c>
      <c r="C84" s="102">
        <v>1.4</v>
      </c>
      <c r="D84" s="102">
        <v>140</v>
      </c>
      <c r="E84" s="102">
        <v>130</v>
      </c>
      <c r="F84" s="138"/>
      <c r="I84" s="23">
        <v>1.32</v>
      </c>
      <c r="J84" s="23">
        <v>10</v>
      </c>
      <c r="K84" s="85">
        <v>40969</v>
      </c>
      <c r="L84" s="66">
        <f t="shared" si="2"/>
        <v>168.92449635600008</v>
      </c>
      <c r="M84" s="66">
        <f t="shared" si="3"/>
        <v>1.2797310330000002</v>
      </c>
      <c r="N84" s="66">
        <f t="shared" si="4"/>
        <v>203.05605694500002</v>
      </c>
      <c r="O84" s="66">
        <f t="shared" si="5"/>
        <v>1.7657048430000004</v>
      </c>
      <c r="P84" s="73" t="s">
        <v>59</v>
      </c>
      <c r="Q84" s="77"/>
    </row>
    <row r="85" spans="1:24" ht="13" x14ac:dyDescent="0.3">
      <c r="A85" s="109">
        <v>40477</v>
      </c>
      <c r="B85" s="102">
        <v>1.6</v>
      </c>
      <c r="C85" s="102">
        <v>1.44</v>
      </c>
      <c r="D85" s="102">
        <v>40</v>
      </c>
      <c r="E85" s="102">
        <v>50</v>
      </c>
      <c r="F85" s="138"/>
      <c r="I85" s="23">
        <v>0.75</v>
      </c>
      <c r="J85" s="23">
        <v>10</v>
      </c>
      <c r="K85" s="85">
        <v>41000</v>
      </c>
      <c r="L85" s="66">
        <f t="shared" si="2"/>
        <v>92.335023900000024</v>
      </c>
      <c r="M85" s="66">
        <f t="shared" si="3"/>
        <v>1.231133652</v>
      </c>
      <c r="N85" s="66">
        <f t="shared" si="4"/>
        <v>223.5479526</v>
      </c>
      <c r="O85" s="66">
        <f t="shared" si="5"/>
        <v>1.9438952400000002</v>
      </c>
      <c r="P85" s="73" t="s">
        <v>59</v>
      </c>
      <c r="Q85" s="78"/>
    </row>
    <row r="86" spans="1:24" ht="13" x14ac:dyDescent="0.3">
      <c r="A86" s="109">
        <v>40497</v>
      </c>
      <c r="B86" s="102">
        <v>2.62</v>
      </c>
      <c r="C86" s="102">
        <v>2.4900000000000002</v>
      </c>
      <c r="D86" s="102">
        <v>5</v>
      </c>
      <c r="E86" s="102">
        <v>5</v>
      </c>
      <c r="F86" s="138"/>
      <c r="I86" s="23">
        <v>0.7</v>
      </c>
      <c r="J86" s="23">
        <v>80</v>
      </c>
      <c r="K86" s="85">
        <v>41030</v>
      </c>
      <c r="L86" s="66">
        <f t="shared" si="2"/>
        <v>82.021579709999983</v>
      </c>
      <c r="M86" s="66">
        <f t="shared" si="3"/>
        <v>9.3738948239999988</v>
      </c>
      <c r="N86" s="66">
        <f t="shared" si="4"/>
        <v>107.11348746210003</v>
      </c>
      <c r="O86" s="66">
        <f t="shared" si="5"/>
        <v>35.704495820700011</v>
      </c>
      <c r="P86" s="73" t="s">
        <v>59</v>
      </c>
      <c r="T86" s="288" t="s">
        <v>67</v>
      </c>
      <c r="U86" s="288"/>
      <c r="V86" s="288"/>
      <c r="W86" s="288"/>
    </row>
    <row r="87" spans="1:24" ht="13" x14ac:dyDescent="0.3">
      <c r="A87" s="109">
        <v>40514</v>
      </c>
      <c r="B87" s="102">
        <v>3.94</v>
      </c>
      <c r="C87" s="102">
        <v>3.59</v>
      </c>
      <c r="D87" s="102">
        <v>20</v>
      </c>
      <c r="E87" s="102">
        <v>5</v>
      </c>
      <c r="F87" s="138"/>
      <c r="I87" s="23">
        <v>0.87</v>
      </c>
      <c r="J87" s="23">
        <v>80</v>
      </c>
      <c r="K87" s="85">
        <v>41061</v>
      </c>
      <c r="L87" s="66">
        <f t="shared" si="2"/>
        <v>90.196739136000005</v>
      </c>
      <c r="M87" s="66">
        <f t="shared" si="3"/>
        <v>8.2939530240000003</v>
      </c>
      <c r="N87" s="66">
        <f t="shared" si="4"/>
        <v>43.154474327999999</v>
      </c>
      <c r="O87" s="66">
        <f t="shared" si="5"/>
        <v>4.2765695280000005</v>
      </c>
      <c r="P87" s="73" t="s">
        <v>59</v>
      </c>
      <c r="S87" s="300"/>
      <c r="T87" s="294" t="s">
        <v>29</v>
      </c>
      <c r="U87" s="295"/>
      <c r="V87" s="294" t="s">
        <v>30</v>
      </c>
      <c r="W87" s="295"/>
    </row>
    <row r="88" spans="1:24" ht="13" x14ac:dyDescent="0.3">
      <c r="A88" s="56">
        <v>40567</v>
      </c>
      <c r="B88" s="23">
        <v>3.46</v>
      </c>
      <c r="C88" s="23">
        <v>2.98</v>
      </c>
      <c r="D88" s="112">
        <v>60</v>
      </c>
      <c r="E88" s="112">
        <v>40</v>
      </c>
      <c r="F88" s="139"/>
      <c r="I88" s="23">
        <v>0.74</v>
      </c>
      <c r="J88" s="23">
        <v>90</v>
      </c>
      <c r="K88" s="85">
        <v>41091</v>
      </c>
      <c r="L88" s="66">
        <f t="shared" si="2"/>
        <v>29.728637870400004</v>
      </c>
      <c r="M88" s="66">
        <f t="shared" si="3"/>
        <v>3.6156451464000003</v>
      </c>
      <c r="N88" s="66">
        <f t="shared" si="4"/>
        <v>14.730406152</v>
      </c>
      <c r="O88" s="66">
        <f t="shared" si="5"/>
        <v>3.2139067967999999</v>
      </c>
      <c r="P88" s="73" t="s">
        <v>59</v>
      </c>
      <c r="S88" s="301"/>
      <c r="T88" s="94" t="s">
        <v>9</v>
      </c>
      <c r="U88" s="94" t="s">
        <v>12</v>
      </c>
      <c r="V88" s="94" t="s">
        <v>9</v>
      </c>
      <c r="W88" s="94" t="s">
        <v>12</v>
      </c>
    </row>
    <row r="89" spans="1:24" ht="13" x14ac:dyDescent="0.3">
      <c r="A89" s="56">
        <v>40595</v>
      </c>
      <c r="B89" s="23">
        <v>1.76</v>
      </c>
      <c r="C89" s="23">
        <v>1.6</v>
      </c>
      <c r="D89" s="112">
        <v>50</v>
      </c>
      <c r="E89" s="112">
        <v>40</v>
      </c>
      <c r="F89" s="139"/>
      <c r="I89" s="23">
        <v>0.69</v>
      </c>
      <c r="J89" s="23">
        <v>50</v>
      </c>
      <c r="K89" s="85">
        <v>41122</v>
      </c>
      <c r="L89" s="66">
        <f t="shared" si="2"/>
        <v>53.12989673460001</v>
      </c>
      <c r="M89" s="66">
        <f t="shared" si="3"/>
        <v>3.8499925170000013</v>
      </c>
      <c r="N89" s="66">
        <f t="shared" si="4"/>
        <v>45.195564330000003</v>
      </c>
      <c r="O89" s="66">
        <f t="shared" si="5"/>
        <v>3.5152105590000002</v>
      </c>
      <c r="P89" s="73" t="s">
        <v>59</v>
      </c>
      <c r="Q89" s="286" t="s">
        <v>148</v>
      </c>
      <c r="R89" s="287"/>
      <c r="S89" s="92" t="s">
        <v>31</v>
      </c>
      <c r="T89" s="103">
        <f>AVERAGE(L22:L26, L12:L21,N25:N26)</f>
        <v>200.68454918915739</v>
      </c>
      <c r="U89" s="103">
        <f>AVERAGE(M22:M26, M12:M21,O25:O26)</f>
        <v>19.958846877282355</v>
      </c>
      <c r="V89" s="103"/>
      <c r="W89" s="103"/>
    </row>
    <row r="90" spans="1:24" ht="13" x14ac:dyDescent="0.3">
      <c r="A90" s="56">
        <v>40627</v>
      </c>
      <c r="B90" s="23">
        <v>2.34</v>
      </c>
      <c r="C90" s="23">
        <v>1.22</v>
      </c>
      <c r="D90" s="112">
        <v>40</v>
      </c>
      <c r="E90" s="112">
        <v>30</v>
      </c>
      <c r="F90" s="139"/>
      <c r="I90" s="23">
        <v>0.47</v>
      </c>
      <c r="J90" s="23">
        <v>20</v>
      </c>
      <c r="K90" s="85">
        <v>41153</v>
      </c>
      <c r="L90" s="66">
        <f t="shared" si="2"/>
        <v>26.647563914999996</v>
      </c>
      <c r="M90" s="66">
        <f t="shared" si="3"/>
        <v>1.1339388899999998</v>
      </c>
      <c r="N90" s="66">
        <f t="shared" si="4"/>
        <v>53.78110164000001</v>
      </c>
      <c r="O90" s="66">
        <f t="shared" si="5"/>
        <v>4.535755560000001</v>
      </c>
      <c r="P90" s="73" t="s">
        <v>59</v>
      </c>
      <c r="Q90" s="286" t="s">
        <v>149</v>
      </c>
      <c r="R90" s="287"/>
      <c r="S90" s="93" t="s">
        <v>35</v>
      </c>
      <c r="T90" s="103">
        <f>AVERAGE(L27:L45)</f>
        <v>128.68749671740787</v>
      </c>
      <c r="U90" s="103">
        <f>AVERAGE(M27:M45)</f>
        <v>4.4289765545789486</v>
      </c>
      <c r="V90" s="103">
        <f>AVERAGE(N27:N45)</f>
        <v>160.87054052631575</v>
      </c>
      <c r="W90" s="103">
        <f>AVERAGE(O27:O45)</f>
        <v>5.1656424638552627</v>
      </c>
    </row>
    <row r="91" spans="1:24" ht="13" x14ac:dyDescent="0.3">
      <c r="A91" s="56">
        <v>40658</v>
      </c>
      <c r="B91" s="23">
        <v>0.69</v>
      </c>
      <c r="C91" s="23">
        <v>0.71</v>
      </c>
      <c r="D91" s="112">
        <v>110</v>
      </c>
      <c r="E91" s="112">
        <v>100</v>
      </c>
      <c r="F91" s="139"/>
      <c r="I91" s="21">
        <v>0.71</v>
      </c>
      <c r="J91" s="23">
        <v>10</v>
      </c>
      <c r="K91" s="85">
        <v>41183</v>
      </c>
      <c r="L91" s="66">
        <f t="shared" si="2"/>
        <v>23.769519018000008</v>
      </c>
      <c r="M91" s="66">
        <f t="shared" si="3"/>
        <v>0.3347819580000001</v>
      </c>
      <c r="N91" s="66">
        <f t="shared" si="4"/>
        <v>35.989060485000003</v>
      </c>
      <c r="O91" s="66">
        <f t="shared" si="5"/>
        <v>0.41847744750000004</v>
      </c>
      <c r="P91" s="73" t="s">
        <v>59</v>
      </c>
      <c r="R91" s="33"/>
      <c r="S91" s="93" t="s">
        <v>57</v>
      </c>
      <c r="T91" s="103">
        <f>AVERAGE(L46:L48, L50:L57)</f>
        <v>142.01732236363637</v>
      </c>
      <c r="U91" s="103">
        <f>AVERAGE(M46:M48, M50:M57)</f>
        <v>6.6654089090909112</v>
      </c>
      <c r="V91" s="103">
        <f>AVERAGE(N46:N48, N50:N57)</f>
        <v>185.85762236363641</v>
      </c>
      <c r="W91" s="103">
        <f>AVERAGE(O46:O48, O50:O57)</f>
        <v>8.8992590909090907</v>
      </c>
    </row>
    <row r="92" spans="1:24" ht="13" x14ac:dyDescent="0.3">
      <c r="A92" s="56">
        <v>40686</v>
      </c>
      <c r="B92" s="23">
        <v>1.08</v>
      </c>
      <c r="C92" s="23">
        <v>0.62</v>
      </c>
      <c r="D92" s="112">
        <v>120</v>
      </c>
      <c r="E92" s="112">
        <v>140</v>
      </c>
      <c r="F92" s="139"/>
      <c r="I92" s="21">
        <v>2.0099999999999998</v>
      </c>
      <c r="J92" s="23">
        <v>10</v>
      </c>
      <c r="K92" s="85">
        <v>41214</v>
      </c>
      <c r="L92" s="66">
        <f t="shared" si="2"/>
        <v>49.259070000000001</v>
      </c>
      <c r="M92" s="66">
        <f t="shared" si="3"/>
        <v>0.24507000000000001</v>
      </c>
      <c r="N92" s="66">
        <f t="shared" si="4"/>
        <v>80.818640000000016</v>
      </c>
      <c r="O92" s="66">
        <f t="shared" si="5"/>
        <v>0.38122</v>
      </c>
      <c r="P92" s="73" t="s">
        <v>59</v>
      </c>
      <c r="R92" s="33"/>
      <c r="S92" s="93" t="s">
        <v>50</v>
      </c>
      <c r="T92" s="103">
        <f>AVERAGE(L58:L60,L62:L69)</f>
        <v>203.7059508249182</v>
      </c>
      <c r="U92" s="103">
        <f>AVERAGE(M58:M60,M62:M69)</f>
        <v>8.1264441638545453</v>
      </c>
      <c r="V92" s="103">
        <f>AVERAGE(N58:N60,N62:N69)</f>
        <v>222.33246929148183</v>
      </c>
      <c r="W92" s="103">
        <f>AVERAGE(O58:O60,O62:O69)</f>
        <v>8.5477655744409073</v>
      </c>
    </row>
    <row r="93" spans="1:24" ht="13" x14ac:dyDescent="0.3">
      <c r="A93" s="56">
        <v>40721</v>
      </c>
      <c r="B93" s="23">
        <v>0.85</v>
      </c>
      <c r="C93" s="23">
        <v>0.6</v>
      </c>
      <c r="D93" s="112">
        <v>240</v>
      </c>
      <c r="E93" s="112">
        <v>260</v>
      </c>
      <c r="F93" s="139"/>
      <c r="I93" s="23">
        <v>2.12</v>
      </c>
      <c r="J93" s="23">
        <v>10</v>
      </c>
      <c r="K93" s="85">
        <v>41244</v>
      </c>
      <c r="L93" s="66">
        <f t="shared" si="2"/>
        <v>190.50108000000003</v>
      </c>
      <c r="M93" s="66">
        <f t="shared" si="3"/>
        <v>0.89859</v>
      </c>
      <c r="N93" s="66">
        <f t="shared" si="4"/>
        <v>89.859000000000009</v>
      </c>
      <c r="O93" s="66">
        <f t="shared" si="5"/>
        <v>0.40845000000000004</v>
      </c>
      <c r="P93" s="73" t="s">
        <v>59</v>
      </c>
      <c r="R93" s="33"/>
      <c r="S93" s="93" t="s">
        <v>66</v>
      </c>
      <c r="T93" s="103">
        <f>AVERAGE(L70:L72,L74:L81)</f>
        <v>103.01865107787275</v>
      </c>
      <c r="U93" s="103">
        <f>AVERAGE(M70:M72,M74:M81)</f>
        <v>6.0778043225454557</v>
      </c>
      <c r="V93" s="103">
        <f>AVERAGE(N70:N72,N74:N81)</f>
        <v>163.90259687276367</v>
      </c>
      <c r="W93" s="103">
        <f>AVERAGE(O70:O72,O74:O81)</f>
        <v>7.0425712677727281</v>
      </c>
    </row>
    <row r="94" spans="1:24" ht="13" x14ac:dyDescent="0.3">
      <c r="A94" s="56">
        <v>40749</v>
      </c>
      <c r="B94" s="23">
        <v>0.99</v>
      </c>
      <c r="C94" s="23">
        <v>0.55000000000000004</v>
      </c>
      <c r="D94" s="112">
        <v>180</v>
      </c>
      <c r="E94" s="112">
        <v>170</v>
      </c>
      <c r="F94" s="139"/>
      <c r="I94" s="8"/>
      <c r="J94" s="253"/>
      <c r="K94" s="148">
        <v>2013</v>
      </c>
      <c r="L94" s="8">
        <v>402.9</v>
      </c>
      <c r="M94" s="8">
        <v>23.1</v>
      </c>
      <c r="N94" s="8">
        <v>393.9</v>
      </c>
      <c r="O94" s="8">
        <v>23.7</v>
      </c>
      <c r="P94" s="254"/>
      <c r="R94" s="33"/>
      <c r="S94" s="93">
        <v>2012</v>
      </c>
      <c r="T94" s="103">
        <f>AVERAGE(L82:L93)</f>
        <v>106.56515627135002</v>
      </c>
      <c r="U94" s="103">
        <f t="shared" ref="U94:W94" si="6">AVERAGE(M82:M93)</f>
        <v>2.74611214325</v>
      </c>
      <c r="V94" s="103">
        <f t="shared" si="6"/>
        <v>104.43719986904166</v>
      </c>
      <c r="W94" s="103">
        <f t="shared" si="6"/>
        <v>4.8488680655333347</v>
      </c>
    </row>
    <row r="95" spans="1:24" ht="13" x14ac:dyDescent="0.3">
      <c r="A95" s="56"/>
      <c r="B95" s="23"/>
      <c r="C95" s="23"/>
      <c r="D95" s="112"/>
      <c r="E95" s="112"/>
      <c r="F95" s="139"/>
      <c r="I95" s="58"/>
      <c r="J95" s="58"/>
      <c r="K95" s="148">
        <v>2014</v>
      </c>
      <c r="L95" s="8">
        <v>541.6</v>
      </c>
      <c r="M95" s="8">
        <v>26.1</v>
      </c>
      <c r="N95" s="8">
        <v>788.1</v>
      </c>
      <c r="O95" s="8">
        <v>28.9</v>
      </c>
      <c r="P95" s="77"/>
      <c r="R95" s="33"/>
      <c r="S95" s="93">
        <v>2013</v>
      </c>
      <c r="T95" s="103">
        <v>80.599999999999994</v>
      </c>
      <c r="U95" s="103">
        <v>4.5999999999999996</v>
      </c>
      <c r="V95" s="103">
        <v>78.8</v>
      </c>
      <c r="W95" s="103">
        <v>4.7</v>
      </c>
    </row>
    <row r="96" spans="1:24" ht="13" x14ac:dyDescent="0.3">
      <c r="A96" s="56">
        <v>40777</v>
      </c>
      <c r="B96" s="23">
        <v>0.91</v>
      </c>
      <c r="C96" s="23">
        <v>0.61</v>
      </c>
      <c r="D96" s="112">
        <v>30</v>
      </c>
      <c r="E96" s="112">
        <v>30</v>
      </c>
      <c r="F96" s="139"/>
      <c r="K96" s="263">
        <v>2015</v>
      </c>
      <c r="L96">
        <v>1560</v>
      </c>
      <c r="M96">
        <v>76.099999999999994</v>
      </c>
      <c r="N96">
        <v>3002</v>
      </c>
      <c r="O96">
        <v>197.5</v>
      </c>
      <c r="P96" s="78"/>
      <c r="R96" s="33"/>
      <c r="S96" s="251">
        <v>2014</v>
      </c>
      <c r="T96" s="112">
        <v>90.3</v>
      </c>
      <c r="U96" s="112">
        <v>4.4000000000000004</v>
      </c>
      <c r="V96" s="112">
        <v>131.4</v>
      </c>
      <c r="W96" s="112">
        <v>4.8</v>
      </c>
    </row>
    <row r="97" spans="1:25" ht="13" x14ac:dyDescent="0.3">
      <c r="A97" s="56"/>
      <c r="B97" s="23"/>
      <c r="C97" s="23"/>
      <c r="D97" s="112"/>
      <c r="E97" s="112"/>
      <c r="F97" s="139"/>
      <c r="K97" s="148">
        <v>2016</v>
      </c>
      <c r="P97" s="78"/>
      <c r="Q97" s="29"/>
      <c r="S97" s="251">
        <v>2015</v>
      </c>
      <c r="T97" s="278">
        <v>260</v>
      </c>
      <c r="U97" s="112">
        <v>6</v>
      </c>
      <c r="W97" s="112">
        <v>21.7</v>
      </c>
      <c r="Y97" s="29" t="s">
        <v>146</v>
      </c>
    </row>
    <row r="98" spans="1:25" ht="13" x14ac:dyDescent="0.3">
      <c r="A98" s="56"/>
      <c r="B98" s="23"/>
      <c r="C98" s="23"/>
      <c r="D98" s="112"/>
      <c r="E98" s="112"/>
      <c r="F98" s="139"/>
      <c r="K98" s="263">
        <v>2017</v>
      </c>
      <c r="P98" s="78"/>
      <c r="S98" s="251">
        <v>2016</v>
      </c>
      <c r="T98" s="278">
        <v>470.3</v>
      </c>
      <c r="U98" s="112">
        <v>10.1</v>
      </c>
      <c r="W98" s="112">
        <v>12.4</v>
      </c>
      <c r="Y98" s="29"/>
    </row>
    <row r="99" spans="1:25" ht="13" x14ac:dyDescent="0.3">
      <c r="A99" s="56"/>
      <c r="B99" s="23"/>
      <c r="C99" s="23"/>
      <c r="D99" s="112"/>
      <c r="E99" s="112"/>
      <c r="F99" s="139"/>
      <c r="K99" s="148">
        <v>2018</v>
      </c>
      <c r="P99" s="78"/>
      <c r="R99" s="33"/>
      <c r="S99" s="251">
        <v>2017</v>
      </c>
      <c r="T99" s="279">
        <v>225.6</v>
      </c>
      <c r="U99" s="112">
        <v>12.5</v>
      </c>
      <c r="W99" s="112">
        <v>10.4</v>
      </c>
    </row>
    <row r="100" spans="1:25" ht="13" x14ac:dyDescent="0.3">
      <c r="A100" s="56"/>
      <c r="B100" s="23"/>
      <c r="C100" s="23"/>
      <c r="D100" s="112"/>
      <c r="E100" s="112"/>
      <c r="F100" s="139"/>
      <c r="K100" s="263">
        <v>2019</v>
      </c>
      <c r="M100">
        <v>37.5</v>
      </c>
      <c r="O100">
        <v>58.3</v>
      </c>
      <c r="P100" s="78"/>
      <c r="R100" s="33"/>
      <c r="S100" s="275">
        <v>2018</v>
      </c>
      <c r="T100" s="279"/>
      <c r="U100" s="139">
        <v>10.4</v>
      </c>
      <c r="W100" s="139">
        <v>8.4</v>
      </c>
    </row>
    <row r="101" spans="1:25" ht="13" x14ac:dyDescent="0.3">
      <c r="A101" s="56"/>
      <c r="B101" s="23"/>
      <c r="C101" s="23"/>
      <c r="D101" s="112"/>
      <c r="E101" s="112"/>
      <c r="F101" s="139"/>
      <c r="P101" s="78"/>
      <c r="R101" s="33"/>
      <c r="S101" s="275">
        <v>2019</v>
      </c>
      <c r="T101" s="279"/>
      <c r="U101" s="139">
        <v>9.6999999999999993</v>
      </c>
      <c r="W101" s="139">
        <v>6.2</v>
      </c>
    </row>
    <row r="102" spans="1:25" ht="13" x14ac:dyDescent="0.3">
      <c r="A102" s="113">
        <v>40812</v>
      </c>
      <c r="B102" s="23">
        <v>1.36</v>
      </c>
      <c r="C102" s="23">
        <v>0.94</v>
      </c>
      <c r="D102" s="112">
        <v>170</v>
      </c>
      <c r="E102" s="112">
        <v>130</v>
      </c>
      <c r="F102" s="139"/>
      <c r="L102" s="15"/>
      <c r="M102" s="15"/>
      <c r="P102" s="78"/>
      <c r="R102" s="33"/>
      <c r="T102" s="91" t="s">
        <v>147</v>
      </c>
      <c r="V102" s="91" t="s">
        <v>147</v>
      </c>
    </row>
    <row r="103" spans="1:25" ht="13" x14ac:dyDescent="0.3">
      <c r="A103" s="113">
        <v>40840</v>
      </c>
      <c r="B103" s="23">
        <v>1.76</v>
      </c>
      <c r="C103" s="23">
        <v>1.42</v>
      </c>
      <c r="D103" s="112">
        <v>120</v>
      </c>
      <c r="E103" s="112">
        <v>160</v>
      </c>
      <c r="F103" s="139"/>
      <c r="L103" s="15"/>
      <c r="M103" s="15"/>
      <c r="P103" s="79"/>
      <c r="R103" s="33"/>
      <c r="S103" s="251">
        <v>2015</v>
      </c>
      <c r="T103" s="112">
        <v>260</v>
      </c>
      <c r="V103" s="112">
        <v>500</v>
      </c>
    </row>
    <row r="104" spans="1:25" ht="13" x14ac:dyDescent="0.3">
      <c r="A104" s="113">
        <v>40875</v>
      </c>
      <c r="B104" s="23">
        <v>2.75</v>
      </c>
      <c r="C104" s="23">
        <v>2.63</v>
      </c>
      <c r="D104" s="112">
        <v>10</v>
      </c>
      <c r="E104" s="112">
        <v>10</v>
      </c>
      <c r="F104" s="139"/>
      <c r="P104" s="80"/>
      <c r="R104" s="33"/>
      <c r="S104" s="251">
        <v>2016</v>
      </c>
      <c r="T104" s="112">
        <v>470.3</v>
      </c>
      <c r="V104" s="112">
        <v>604.1</v>
      </c>
    </row>
    <row r="105" spans="1:25" ht="13" x14ac:dyDescent="0.3">
      <c r="A105" s="113"/>
      <c r="B105" s="23"/>
      <c r="C105" s="23"/>
      <c r="D105" s="112"/>
      <c r="E105" s="112"/>
      <c r="F105" s="139"/>
      <c r="P105" s="80"/>
      <c r="R105" s="33"/>
      <c r="S105" s="275">
        <v>2017</v>
      </c>
      <c r="T105" s="276">
        <v>225.6</v>
      </c>
      <c r="V105" s="277">
        <v>237.7</v>
      </c>
    </row>
    <row r="106" spans="1:25" ht="13" x14ac:dyDescent="0.3">
      <c r="A106" s="113"/>
      <c r="B106" s="23"/>
      <c r="C106" s="23"/>
      <c r="D106" s="112"/>
      <c r="E106" s="112"/>
      <c r="F106" s="139"/>
      <c r="P106" s="80"/>
      <c r="R106" s="33"/>
      <c r="S106" s="275">
        <v>2018</v>
      </c>
      <c r="T106" s="276">
        <v>287</v>
      </c>
      <c r="V106" s="277">
        <v>196</v>
      </c>
    </row>
    <row r="107" spans="1:25" ht="13" x14ac:dyDescent="0.3">
      <c r="A107" s="113"/>
      <c r="B107" s="23"/>
      <c r="C107" s="23"/>
      <c r="D107" s="112"/>
      <c r="E107" s="112"/>
      <c r="F107" s="139"/>
      <c r="P107" s="80"/>
      <c r="R107" s="33"/>
      <c r="S107" s="275">
        <v>2019</v>
      </c>
      <c r="T107" s="276">
        <v>225</v>
      </c>
      <c r="V107" s="277">
        <v>128</v>
      </c>
    </row>
    <row r="108" spans="1:25" ht="13" x14ac:dyDescent="0.3">
      <c r="A108" s="114">
        <v>40892</v>
      </c>
      <c r="B108" s="23">
        <v>2.69</v>
      </c>
      <c r="C108" s="23">
        <v>2.62</v>
      </c>
      <c r="D108" s="112">
        <v>10</v>
      </c>
      <c r="E108" s="112">
        <v>10</v>
      </c>
      <c r="F108" s="139"/>
      <c r="P108" s="80"/>
      <c r="R108" s="33"/>
      <c r="T108" s="294" t="s">
        <v>54</v>
      </c>
      <c r="U108" s="299"/>
      <c r="V108" s="299"/>
      <c r="W108" s="295"/>
    </row>
    <row r="109" spans="1:25" ht="13" x14ac:dyDescent="0.3">
      <c r="A109" s="88">
        <v>40921</v>
      </c>
      <c r="B109" s="23">
        <v>1.76</v>
      </c>
      <c r="C109" s="23">
        <v>1.83</v>
      </c>
      <c r="D109" s="23">
        <v>10</v>
      </c>
      <c r="E109" s="23">
        <v>10</v>
      </c>
      <c r="F109" s="24">
        <v>33.195420000000006</v>
      </c>
      <c r="G109" s="123">
        <v>65.161380000000008</v>
      </c>
      <c r="P109" s="80"/>
      <c r="R109" s="33"/>
      <c r="T109" s="265" t="s">
        <v>34</v>
      </c>
      <c r="U109" s="266"/>
      <c r="V109" s="294" t="s">
        <v>30</v>
      </c>
      <c r="W109" s="295"/>
    </row>
    <row r="110" spans="1:25" ht="13" x14ac:dyDescent="0.3">
      <c r="A110" s="88">
        <v>40949</v>
      </c>
      <c r="B110" s="23">
        <v>1.76</v>
      </c>
      <c r="C110" s="23">
        <v>1.6</v>
      </c>
      <c r="D110" s="23">
        <v>10</v>
      </c>
      <c r="E110" s="23">
        <v>10</v>
      </c>
      <c r="F110" s="24">
        <v>41.087759999999996</v>
      </c>
      <c r="G110" s="123">
        <v>33.869639999999997</v>
      </c>
      <c r="P110" s="80"/>
      <c r="R110" s="33"/>
      <c r="T110" s="90" t="s">
        <v>9</v>
      </c>
      <c r="U110" s="90" t="s">
        <v>10</v>
      </c>
      <c r="V110" s="90" t="s">
        <v>9</v>
      </c>
      <c r="W110" s="90" t="s">
        <v>12</v>
      </c>
    </row>
    <row r="111" spans="1:25" ht="13" x14ac:dyDescent="0.3">
      <c r="A111" s="88">
        <v>40994</v>
      </c>
      <c r="B111" s="23">
        <v>1.1499999999999999</v>
      </c>
      <c r="C111" s="23">
        <v>1.32</v>
      </c>
      <c r="D111" s="23">
        <v>10</v>
      </c>
      <c r="E111" s="23">
        <v>10</v>
      </c>
      <c r="F111" s="24">
        <v>64.844100000000012</v>
      </c>
      <c r="G111" s="123">
        <v>46.99710000000001</v>
      </c>
      <c r="P111" s="80"/>
      <c r="R111" s="33"/>
      <c r="S111" s="91" t="s">
        <v>38</v>
      </c>
      <c r="T111" s="104">
        <f>SUM(L37:L96)</f>
        <v>11166.521452186898</v>
      </c>
      <c r="U111" s="104">
        <f>SUM(M37:M96)</f>
        <v>676.18527706940029</v>
      </c>
      <c r="V111" s="104">
        <f>SUM(N37:N96)</f>
        <v>14462.5649083152</v>
      </c>
      <c r="W111" s="104">
        <f>SUM(O37:O96)</f>
        <v>887.58019641074998</v>
      </c>
    </row>
    <row r="112" spans="1:25" ht="13" x14ac:dyDescent="0.3">
      <c r="A112" s="88">
        <v>41022</v>
      </c>
      <c r="B112" s="23">
        <v>1.1499999999999999</v>
      </c>
      <c r="C112" s="23">
        <v>0.75</v>
      </c>
      <c r="D112" s="23">
        <v>10</v>
      </c>
      <c r="E112" s="23">
        <v>10</v>
      </c>
      <c r="F112" s="24">
        <v>71.388000000000005</v>
      </c>
      <c r="G112" s="123">
        <v>45.212400000000002</v>
      </c>
      <c r="P112" s="80"/>
      <c r="R112" s="274"/>
      <c r="S112" s="91" t="s">
        <v>8</v>
      </c>
      <c r="T112" s="104">
        <f>AVERAGE(L37:L96)</f>
        <v>186.10869086978164</v>
      </c>
      <c r="U112" s="104">
        <f>AVERAGE(M37:M96)</f>
        <v>11.269754617823338</v>
      </c>
      <c r="V112" s="104">
        <f>AVERAGE(N37:N96)</f>
        <v>241.04274847191999</v>
      </c>
      <c r="W112" s="104">
        <f>AVERAGE(O37:O96)</f>
        <v>14.7930032735125</v>
      </c>
    </row>
    <row r="113" spans="1:23" ht="13" x14ac:dyDescent="0.3">
      <c r="A113" s="88">
        <v>41050</v>
      </c>
      <c r="B113" s="23">
        <v>0.81</v>
      </c>
      <c r="C113" s="23">
        <v>0.7</v>
      </c>
      <c r="D113" s="23">
        <v>270</v>
      </c>
      <c r="E113" s="23">
        <v>80</v>
      </c>
      <c r="F113" s="24">
        <v>48.563670000000009</v>
      </c>
      <c r="G113" s="123">
        <v>43.031099999999995</v>
      </c>
      <c r="P113" s="80"/>
      <c r="R113" s="33"/>
      <c r="S113" s="91" t="s">
        <v>46</v>
      </c>
      <c r="T113" s="104">
        <f>MEDIAN(L37:L96)</f>
        <v>91.265881518000015</v>
      </c>
      <c r="U113" s="104">
        <f>MEDIAN(M37:M96)</f>
        <v>3.7328188317000008</v>
      </c>
      <c r="V113" s="104">
        <f>MEDIAN(N37:N96)</f>
        <v>128.14710300000002</v>
      </c>
      <c r="W113" s="104">
        <f>MEDIAN(O37:O96)</f>
        <v>4.7185777800000004</v>
      </c>
    </row>
    <row r="114" spans="1:23" ht="13" x14ac:dyDescent="0.3">
      <c r="A114" s="88">
        <v>41085</v>
      </c>
      <c r="B114" s="23">
        <v>1.1100000000000001</v>
      </c>
      <c r="C114" s="23">
        <v>0.87</v>
      </c>
      <c r="D114" s="23">
        <v>110</v>
      </c>
      <c r="E114" s="23">
        <v>80</v>
      </c>
      <c r="F114" s="24">
        <v>14.2776</v>
      </c>
      <c r="G114" s="123">
        <v>38.073599999999999</v>
      </c>
      <c r="P114" s="80"/>
      <c r="S114" s="274"/>
      <c r="T114" s="91" t="s">
        <v>147</v>
      </c>
      <c r="V114" s="91" t="s">
        <v>147</v>
      </c>
      <c r="W114" s="274"/>
    </row>
    <row r="115" spans="1:23" ht="13" x14ac:dyDescent="0.3">
      <c r="A115" s="88">
        <v>41113</v>
      </c>
      <c r="B115" s="23">
        <v>0.55000000000000004</v>
      </c>
      <c r="C115" s="23">
        <v>0.74</v>
      </c>
      <c r="D115" s="23">
        <v>120</v>
      </c>
      <c r="E115" s="23">
        <v>90</v>
      </c>
      <c r="F115" s="24">
        <v>9.83568</v>
      </c>
      <c r="G115" s="123">
        <v>14.75352</v>
      </c>
      <c r="I115" s="147"/>
      <c r="J115" s="149" t="s">
        <v>101</v>
      </c>
      <c r="K115" s="147"/>
      <c r="L115" s="147"/>
      <c r="M115" s="147"/>
      <c r="N115" s="147"/>
      <c r="P115" s="80"/>
      <c r="R115" s="33"/>
      <c r="S115" s="91" t="s">
        <v>38</v>
      </c>
      <c r="T115" s="112">
        <f>SUM(T103:T107)</f>
        <v>1467.9</v>
      </c>
      <c r="V115" s="112">
        <f>SUM(V103:V107)</f>
        <v>1665.8</v>
      </c>
      <c r="W115" s="143"/>
    </row>
    <row r="116" spans="1:23" ht="13" x14ac:dyDescent="0.3">
      <c r="A116" s="111">
        <v>41148</v>
      </c>
      <c r="B116" s="69">
        <v>0.9</v>
      </c>
      <c r="C116" s="69">
        <v>0.69</v>
      </c>
      <c r="D116" s="23">
        <v>70</v>
      </c>
      <c r="E116" s="23">
        <v>50</v>
      </c>
      <c r="F116" s="24">
        <v>18.4419</v>
      </c>
      <c r="G116" s="123">
        <v>28.277580000000004</v>
      </c>
      <c r="I116" s="252"/>
      <c r="J116" s="252" t="s">
        <v>97</v>
      </c>
      <c r="K116" s="252" t="s">
        <v>89</v>
      </c>
      <c r="L116" s="252" t="s">
        <v>87</v>
      </c>
      <c r="M116" s="252" t="s">
        <v>98</v>
      </c>
      <c r="N116" s="252" t="s">
        <v>88</v>
      </c>
      <c r="P116" s="80"/>
      <c r="S116" s="281" t="s">
        <v>8</v>
      </c>
      <c r="T116" s="282">
        <f>AVERAGE(T103:T107)</f>
        <v>293.58000000000004</v>
      </c>
      <c r="U116" s="143"/>
      <c r="V116" s="282">
        <f>AVERAGE(V103:V107)</f>
        <v>333.15999999999997</v>
      </c>
    </row>
    <row r="117" spans="1:23" ht="24" customHeight="1" x14ac:dyDescent="0.3">
      <c r="A117" s="88">
        <v>41177</v>
      </c>
      <c r="B117" s="23">
        <v>0.83</v>
      </c>
      <c r="C117" s="23">
        <v>0.47</v>
      </c>
      <c r="D117" s="23">
        <v>70</v>
      </c>
      <c r="E117" s="23">
        <v>20</v>
      </c>
      <c r="F117" s="24">
        <v>23.796000000000003</v>
      </c>
      <c r="G117" s="123">
        <v>20.821499999999997</v>
      </c>
      <c r="I117" s="252" t="s">
        <v>96</v>
      </c>
      <c r="J117" s="147">
        <v>164.19240000000002</v>
      </c>
      <c r="K117" s="147">
        <v>580.00715037468012</v>
      </c>
      <c r="L117" s="147">
        <v>13.04450900802</v>
      </c>
      <c r="M117" s="147">
        <v>393.86427794784004</v>
      </c>
      <c r="N117" s="147">
        <v>23.71616989308</v>
      </c>
      <c r="P117" s="80"/>
      <c r="Q117" s="280"/>
      <c r="R117" s="280"/>
      <c r="S117" s="302" t="s">
        <v>140</v>
      </c>
      <c r="T117" s="302"/>
      <c r="U117" s="302"/>
      <c r="V117" s="302"/>
      <c r="W117" s="302"/>
    </row>
    <row r="118" spans="1:23" x14ac:dyDescent="0.25">
      <c r="A118" s="88">
        <v>41204</v>
      </c>
      <c r="B118" s="21">
        <v>0.86</v>
      </c>
      <c r="C118" s="21">
        <v>0.71</v>
      </c>
      <c r="D118" s="21">
        <v>10</v>
      </c>
      <c r="E118" s="23">
        <v>10</v>
      </c>
      <c r="F118" s="142">
        <v>15.368250000000002</v>
      </c>
      <c r="G118" s="123">
        <v>12.294600000000003</v>
      </c>
      <c r="I118" s="252" t="s">
        <v>99</v>
      </c>
      <c r="J118" s="147">
        <v>169.54650000000004</v>
      </c>
      <c r="K118" s="147">
        <v>591.8872661339401</v>
      </c>
      <c r="L118" s="147">
        <v>13.022478195300002</v>
      </c>
      <c r="M118" s="147">
        <v>402.85382148522007</v>
      </c>
      <c r="N118" s="147">
        <v>23.128141582980003</v>
      </c>
    </row>
    <row r="119" spans="1:23" ht="13" x14ac:dyDescent="0.3">
      <c r="A119" s="88">
        <v>41239</v>
      </c>
      <c r="B119" s="21">
        <v>2.12</v>
      </c>
      <c r="C119" s="21">
        <v>2.0099999999999998</v>
      </c>
      <c r="D119" s="23">
        <v>10</v>
      </c>
      <c r="E119" s="23">
        <v>10</v>
      </c>
      <c r="F119" s="21">
        <v>14</v>
      </c>
      <c r="G119" s="144">
        <v>9</v>
      </c>
      <c r="I119" s="252"/>
      <c r="J119" s="147"/>
      <c r="K119" s="147"/>
      <c r="L119" s="147" t="s">
        <v>100</v>
      </c>
      <c r="M119" s="147"/>
      <c r="N119" s="147"/>
      <c r="S119" s="294" t="s">
        <v>68</v>
      </c>
      <c r="T119" s="299"/>
      <c r="U119" s="299"/>
      <c r="V119" s="299"/>
      <c r="W119" s="295"/>
    </row>
    <row r="120" spans="1:23" x14ac:dyDescent="0.25">
      <c r="A120" s="111">
        <v>41255</v>
      </c>
      <c r="B120" s="105">
        <v>2.2000000000000002</v>
      </c>
      <c r="C120" s="105">
        <v>2.12</v>
      </c>
      <c r="D120" s="21">
        <v>10</v>
      </c>
      <c r="E120" s="21">
        <v>10</v>
      </c>
      <c r="F120" s="21">
        <v>15</v>
      </c>
      <c r="G120" s="144">
        <v>33</v>
      </c>
      <c r="I120" s="252" t="s">
        <v>96</v>
      </c>
      <c r="J120" s="147">
        <v>32.838480000000004</v>
      </c>
      <c r="K120" s="147">
        <v>116.00143007493602</v>
      </c>
      <c r="L120" s="147">
        <v>2.608901801604</v>
      </c>
      <c r="M120" s="147">
        <v>78.77285558956801</v>
      </c>
      <c r="N120" s="147">
        <v>4.7432339786159998</v>
      </c>
      <c r="S120" s="300"/>
      <c r="T120" s="285" t="s">
        <v>71</v>
      </c>
      <c r="U120" s="285"/>
      <c r="V120" s="285" t="s">
        <v>72</v>
      </c>
      <c r="W120" s="285"/>
    </row>
    <row r="121" spans="1:23" x14ac:dyDescent="0.25">
      <c r="A121" s="37" t="s">
        <v>15</v>
      </c>
      <c r="B121" s="44">
        <f>AVERAGE(B45:B120)</f>
        <v>1.6277272727272731</v>
      </c>
      <c r="C121" s="44">
        <f t="shared" ref="C121:E121" si="7">AVERAGE(C45:C120)</f>
        <v>1.4162686567164178</v>
      </c>
      <c r="D121" s="45">
        <f t="shared" si="7"/>
        <v>68.409090909090907</v>
      </c>
      <c r="E121" s="45">
        <f t="shared" si="7"/>
        <v>57.238805970149251</v>
      </c>
      <c r="F121" s="140"/>
      <c r="I121" s="252" t="s">
        <v>99</v>
      </c>
      <c r="J121" s="147">
        <v>33.909300000000009</v>
      </c>
      <c r="K121" s="147">
        <v>118.37745322678802</v>
      </c>
      <c r="L121" s="147">
        <v>2.6044956390600005</v>
      </c>
      <c r="M121" s="147">
        <v>80.570764297044008</v>
      </c>
      <c r="N121" s="147">
        <v>4.6256283165960008</v>
      </c>
      <c r="S121" s="301"/>
      <c r="T121" s="91" t="s">
        <v>69</v>
      </c>
      <c r="U121" s="91" t="s">
        <v>70</v>
      </c>
      <c r="V121" s="91" t="s">
        <v>69</v>
      </c>
      <c r="W121" s="91" t="s">
        <v>70</v>
      </c>
    </row>
    <row r="122" spans="1:23" ht="13" x14ac:dyDescent="0.3">
      <c r="A122" s="37" t="s">
        <v>16</v>
      </c>
      <c r="B122" s="46">
        <f>STDEV(B45:B120)</f>
        <v>0.88876715901132486</v>
      </c>
      <c r="C122" s="46">
        <f t="shared" ref="C122:E122" si="8">STDEV(C45:C120)</f>
        <v>0.88925545264750605</v>
      </c>
      <c r="D122" s="47">
        <f t="shared" si="8"/>
        <v>53.44414115481905</v>
      </c>
      <c r="E122" s="47">
        <f t="shared" si="8"/>
        <v>45.670788207807277</v>
      </c>
      <c r="F122" s="141"/>
      <c r="M122" s="147">
        <v>2014</v>
      </c>
      <c r="S122" s="73" t="s">
        <v>8</v>
      </c>
      <c r="T122" s="103">
        <f>AVERAGE(U90:U101)</f>
        <v>7.1453955077766551</v>
      </c>
      <c r="U122" s="116">
        <f>T122*12</f>
        <v>85.744746093319861</v>
      </c>
      <c r="V122" s="116">
        <f>(U89-T122)/2</f>
        <v>6.4067256847528498</v>
      </c>
      <c r="W122" s="117">
        <f>V122*12</f>
        <v>76.880708217034197</v>
      </c>
    </row>
    <row r="123" spans="1:23" ht="13" x14ac:dyDescent="0.3">
      <c r="I123" s="252" t="s">
        <v>96</v>
      </c>
      <c r="M123" s="218">
        <v>131.35688494194002</v>
      </c>
      <c r="N123" s="218">
        <v>4.8086028557700002</v>
      </c>
      <c r="S123" s="73" t="s">
        <v>46</v>
      </c>
      <c r="T123" s="103">
        <f>MEDIAN(U90:U101)</f>
        <v>6.3716066158181839</v>
      </c>
      <c r="U123" s="116">
        <f>T123*12</f>
        <v>76.459279389818207</v>
      </c>
      <c r="V123" s="116">
        <f>(U89-T123)/2</f>
        <v>6.7936201307320854</v>
      </c>
      <c r="W123" s="117">
        <f>V123*12</f>
        <v>81.523441568785017</v>
      </c>
    </row>
    <row r="124" spans="1:23" ht="13" x14ac:dyDescent="0.3">
      <c r="A124" s="63">
        <v>39961</v>
      </c>
      <c r="B124" s="23">
        <v>0.82</v>
      </c>
      <c r="C124" s="23">
        <v>0.84</v>
      </c>
      <c r="D124" s="23">
        <v>230</v>
      </c>
      <c r="E124" s="23">
        <v>240</v>
      </c>
      <c r="F124" s="135"/>
      <c r="G124" s="29" t="s">
        <v>41</v>
      </c>
      <c r="H124" s="29"/>
      <c r="I124" s="252" t="s">
        <v>99</v>
      </c>
      <c r="M124" s="218">
        <v>90.270877140570008</v>
      </c>
      <c r="N124" s="218">
        <v>4.3544873288700003</v>
      </c>
      <c r="S124" s="296" t="s">
        <v>74</v>
      </c>
      <c r="T124" s="297"/>
      <c r="U124" s="297"/>
      <c r="V124" s="297"/>
      <c r="W124" s="298"/>
    </row>
    <row r="125" spans="1:23" ht="13" x14ac:dyDescent="0.3">
      <c r="A125" s="72">
        <v>40077</v>
      </c>
      <c r="B125" s="8">
        <v>1.02</v>
      </c>
      <c r="C125" s="8">
        <v>1.25</v>
      </c>
      <c r="D125" s="8">
        <v>180</v>
      </c>
      <c r="E125" s="8">
        <v>180</v>
      </c>
      <c r="F125" s="58"/>
      <c r="S125" s="296" t="s">
        <v>75</v>
      </c>
      <c r="T125" s="297"/>
      <c r="U125" s="297"/>
      <c r="V125" s="297"/>
      <c r="W125" s="298"/>
    </row>
    <row r="126" spans="1:23" ht="13" x14ac:dyDescent="0.3">
      <c r="S126" s="296" t="s">
        <v>73</v>
      </c>
      <c r="T126" s="297"/>
      <c r="U126" s="297"/>
      <c r="V126" s="297"/>
      <c r="W126" s="298"/>
    </row>
    <row r="127" spans="1:23" ht="13" x14ac:dyDescent="0.25">
      <c r="S127" s="293" t="s">
        <v>150</v>
      </c>
      <c r="T127" s="293"/>
      <c r="U127" s="293"/>
      <c r="V127" s="293"/>
      <c r="W127" s="293"/>
    </row>
    <row r="128" spans="1:23" ht="12.75" customHeight="1" x14ac:dyDescent="0.25"/>
  </sheetData>
  <mergeCells count="25">
    <mergeCell ref="S127:W127"/>
    <mergeCell ref="T120:U120"/>
    <mergeCell ref="V120:W120"/>
    <mergeCell ref="T87:U87"/>
    <mergeCell ref="V87:W87"/>
    <mergeCell ref="S126:W126"/>
    <mergeCell ref="S125:W125"/>
    <mergeCell ref="S124:W124"/>
    <mergeCell ref="S119:W119"/>
    <mergeCell ref="S120:S121"/>
    <mergeCell ref="S87:S88"/>
    <mergeCell ref="V109:W109"/>
    <mergeCell ref="T108:W108"/>
    <mergeCell ref="S117:W117"/>
    <mergeCell ref="Q89:R89"/>
    <mergeCell ref="Q90:R90"/>
    <mergeCell ref="T86:W86"/>
    <mergeCell ref="T62:X62"/>
    <mergeCell ref="A2:E2"/>
    <mergeCell ref="B3:C3"/>
    <mergeCell ref="D3:E3"/>
    <mergeCell ref="I8:J8"/>
    <mergeCell ref="L7:O7"/>
    <mergeCell ref="L8:M8"/>
    <mergeCell ref="N8:O8"/>
  </mergeCells>
  <phoneticPr fontId="8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72"/>
  <sheetViews>
    <sheetView topLeftCell="A37" workbookViewId="0">
      <selection activeCell="D69" sqref="D69"/>
    </sheetView>
  </sheetViews>
  <sheetFormatPr defaultColWidth="8.90625" defaultRowHeight="12.5" x14ac:dyDescent="0.25"/>
  <cols>
    <col min="1" max="1" width="11.08984375" style="158" customWidth="1"/>
    <col min="2" max="2" width="8.90625" style="158"/>
    <col min="3" max="3" width="12.1796875" style="158" bestFit="1" customWidth="1"/>
    <col min="4" max="4" width="10.6328125" style="158" customWidth="1"/>
    <col min="5" max="5" width="11.54296875" style="158" customWidth="1"/>
    <col min="6" max="6" width="8.90625" style="158"/>
    <col min="7" max="7" width="11.6328125" style="158" customWidth="1"/>
    <col min="8" max="8" width="12.08984375" style="158" customWidth="1"/>
    <col min="9" max="9" width="12.453125" style="158" customWidth="1"/>
    <col min="10" max="10" width="10.54296875" style="158" customWidth="1"/>
    <col min="11" max="11" width="14" style="158" customWidth="1"/>
    <col min="12" max="16384" width="8.90625" style="158"/>
  </cols>
  <sheetData>
    <row r="2" spans="1:19" ht="25" x14ac:dyDescent="0.25">
      <c r="A2" s="150" t="s">
        <v>102</v>
      </c>
      <c r="B2" s="151" t="s">
        <v>103</v>
      </c>
      <c r="C2" s="152" t="s">
        <v>104</v>
      </c>
      <c r="D2" s="151" t="s">
        <v>3</v>
      </c>
      <c r="E2" s="151" t="s">
        <v>105</v>
      </c>
      <c r="F2" s="153" t="s">
        <v>106</v>
      </c>
      <c r="G2" s="154" t="s">
        <v>107</v>
      </c>
      <c r="H2" s="153" t="s">
        <v>108</v>
      </c>
      <c r="I2" s="155" t="s">
        <v>109</v>
      </c>
      <c r="J2" s="153" t="s">
        <v>110</v>
      </c>
      <c r="K2" s="156" t="s">
        <v>111</v>
      </c>
      <c r="L2" s="157" t="s">
        <v>112</v>
      </c>
      <c r="O2" s="158" t="s">
        <v>80</v>
      </c>
      <c r="P2" s="158" t="s">
        <v>81</v>
      </c>
      <c r="Q2" s="158" t="s">
        <v>82</v>
      </c>
      <c r="R2" s="158" t="s">
        <v>83</v>
      </c>
      <c r="S2" s="158" t="s">
        <v>84</v>
      </c>
    </row>
    <row r="3" spans="1:19" ht="13" x14ac:dyDescent="0.3">
      <c r="A3" s="304" t="s">
        <v>113</v>
      </c>
      <c r="B3" s="305" t="s">
        <v>114</v>
      </c>
      <c r="C3" s="307" t="s">
        <v>115</v>
      </c>
      <c r="D3" s="159">
        <v>41324</v>
      </c>
      <c r="E3" s="160">
        <v>0.52986111111111112</v>
      </c>
      <c r="F3" s="161">
        <v>8.2799999999999994</v>
      </c>
      <c r="G3" s="162">
        <v>0</v>
      </c>
      <c r="H3" s="161">
        <v>8.44</v>
      </c>
      <c r="I3" s="163">
        <v>1.39</v>
      </c>
      <c r="J3" s="161">
        <v>0.16600000000000001</v>
      </c>
      <c r="K3" s="164">
        <v>0</v>
      </c>
      <c r="L3" s="165" t="s">
        <v>116</v>
      </c>
      <c r="O3" s="124">
        <v>2</v>
      </c>
      <c r="P3" s="166">
        <v>0.28000000000000003</v>
      </c>
      <c r="Q3" s="166">
        <v>0.66</v>
      </c>
      <c r="R3" s="166">
        <f>P3*2.5</f>
        <v>0.70000000000000007</v>
      </c>
      <c r="S3" s="167">
        <f>Q3*R3</f>
        <v>0.46200000000000008</v>
      </c>
    </row>
    <row r="4" spans="1:19" ht="13" x14ac:dyDescent="0.25">
      <c r="A4" s="304"/>
      <c r="B4" s="306"/>
      <c r="C4" s="308"/>
      <c r="D4" s="168">
        <v>41386</v>
      </c>
      <c r="E4" s="169">
        <v>0.41666666666666669</v>
      </c>
      <c r="F4" s="170">
        <v>8.09</v>
      </c>
      <c r="G4" s="170">
        <v>5.3</v>
      </c>
      <c r="H4" s="170">
        <v>11.5</v>
      </c>
      <c r="I4" s="171">
        <v>1.35</v>
      </c>
      <c r="J4" s="170">
        <v>0.49399999999999999</v>
      </c>
      <c r="K4" s="172">
        <v>0.2</v>
      </c>
      <c r="L4" s="173" t="s">
        <v>116</v>
      </c>
      <c r="O4" s="126">
        <v>4</v>
      </c>
      <c r="P4" s="174">
        <v>0.15</v>
      </c>
      <c r="Q4" s="174">
        <v>0.67</v>
      </c>
      <c r="R4" s="166">
        <f>P4*1.5</f>
        <v>0.22499999999999998</v>
      </c>
      <c r="S4" s="166">
        <f t="shared" ref="S4:S5" si="0">Q4*R4</f>
        <v>0.15075</v>
      </c>
    </row>
    <row r="5" spans="1:19" ht="13" x14ac:dyDescent="0.3">
      <c r="A5" s="304"/>
      <c r="B5" s="306"/>
      <c r="C5" s="308"/>
      <c r="D5" s="175">
        <v>41442</v>
      </c>
      <c r="E5" s="176">
        <v>0.54027777777777775</v>
      </c>
      <c r="F5" s="177">
        <v>8.34</v>
      </c>
      <c r="G5" s="177">
        <v>14.7</v>
      </c>
      <c r="H5" s="177">
        <v>9.06</v>
      </c>
      <c r="I5" s="178">
        <v>0.74</v>
      </c>
      <c r="J5" s="177">
        <v>0.38600000000000001</v>
      </c>
      <c r="K5" s="179">
        <v>0.1</v>
      </c>
      <c r="L5" s="180" t="s">
        <v>116</v>
      </c>
      <c r="O5" s="124">
        <v>6</v>
      </c>
      <c r="P5" s="174"/>
      <c r="Q5" s="174"/>
      <c r="R5" s="166">
        <f t="shared" ref="R5" si="1">P5*2</f>
        <v>0</v>
      </c>
      <c r="S5" s="166">
        <f t="shared" si="0"/>
        <v>0</v>
      </c>
    </row>
    <row r="6" spans="1:19" x14ac:dyDescent="0.25">
      <c r="A6" s="304"/>
      <c r="B6" s="306"/>
      <c r="C6" s="308"/>
      <c r="D6" s="175">
        <v>41512</v>
      </c>
      <c r="E6" s="181">
        <v>6.0416666666666667E-2</v>
      </c>
      <c r="F6" s="182">
        <v>8.2200000000000006</v>
      </c>
      <c r="G6" s="182">
        <v>19.059999999999999</v>
      </c>
      <c r="H6" s="182">
        <v>7.17</v>
      </c>
      <c r="I6" s="183">
        <v>1.129</v>
      </c>
      <c r="J6" s="182">
        <v>0.129</v>
      </c>
      <c r="K6" s="184">
        <v>0.05</v>
      </c>
      <c r="L6" s="180" t="s">
        <v>116</v>
      </c>
      <c r="S6" s="185">
        <f>SUM(S3:S5)</f>
        <v>0.61275000000000013</v>
      </c>
    </row>
    <row r="7" spans="1:19" x14ac:dyDescent="0.25">
      <c r="A7" s="304"/>
      <c r="B7" s="306"/>
      <c r="C7" s="308"/>
      <c r="D7" s="175">
        <v>41596</v>
      </c>
      <c r="E7" s="181">
        <v>0.50486111111111109</v>
      </c>
      <c r="F7" s="182">
        <v>8.11</v>
      </c>
      <c r="G7" s="182">
        <v>0.02</v>
      </c>
      <c r="H7" s="182">
        <v>12.24</v>
      </c>
      <c r="I7" s="183">
        <v>1.41</v>
      </c>
      <c r="J7" s="182">
        <v>0.20499999999999999</v>
      </c>
      <c r="K7" s="184">
        <v>0.05</v>
      </c>
      <c r="L7" s="180" t="s">
        <v>116</v>
      </c>
    </row>
    <row r="8" spans="1:19" x14ac:dyDescent="0.25">
      <c r="A8" s="304"/>
      <c r="B8" s="309" t="s">
        <v>117</v>
      </c>
      <c r="C8" s="310" t="s">
        <v>118</v>
      </c>
      <c r="D8" s="175">
        <v>41324</v>
      </c>
      <c r="E8" s="176">
        <v>0.53819444444444442</v>
      </c>
      <c r="F8" s="177">
        <v>8.57</v>
      </c>
      <c r="G8" s="177">
        <v>0.3</v>
      </c>
      <c r="H8" s="177">
        <v>13.78</v>
      </c>
      <c r="I8" s="178">
        <v>1.32</v>
      </c>
      <c r="J8" s="177">
        <v>0.21099999999999999</v>
      </c>
      <c r="K8" s="179">
        <v>0.05</v>
      </c>
      <c r="L8" s="180" t="s">
        <v>116</v>
      </c>
    </row>
    <row r="9" spans="1:19" x14ac:dyDescent="0.25">
      <c r="A9" s="304"/>
      <c r="B9" s="309"/>
      <c r="C9" s="310"/>
      <c r="D9" s="168">
        <v>41386</v>
      </c>
      <c r="E9" s="186">
        <v>0.4236111111111111</v>
      </c>
      <c r="F9" s="187">
        <v>8.1999999999999993</v>
      </c>
      <c r="G9" s="187">
        <v>6.6</v>
      </c>
      <c r="H9" s="187">
        <v>11.42</v>
      </c>
      <c r="I9" s="188">
        <v>1.35</v>
      </c>
      <c r="J9" s="187">
        <v>0.23400000000000001</v>
      </c>
      <c r="K9" s="179">
        <v>0.15</v>
      </c>
      <c r="L9" s="180" t="s">
        <v>116</v>
      </c>
    </row>
    <row r="10" spans="1:19" x14ac:dyDescent="0.25">
      <c r="A10" s="304"/>
      <c r="B10" s="309"/>
      <c r="C10" s="310"/>
      <c r="D10" s="175">
        <v>41442</v>
      </c>
      <c r="E10" s="176">
        <v>0.54166666666666663</v>
      </c>
      <c r="F10" s="177">
        <v>8.27</v>
      </c>
      <c r="G10" s="177">
        <v>14.7</v>
      </c>
      <c r="H10" s="177">
        <v>10.34</v>
      </c>
      <c r="I10" s="178">
        <v>0.73</v>
      </c>
      <c r="J10" s="177">
        <v>0.27</v>
      </c>
      <c r="K10" s="179">
        <v>0.25</v>
      </c>
      <c r="L10" s="180" t="s">
        <v>116</v>
      </c>
    </row>
    <row r="11" spans="1:19" x14ac:dyDescent="0.25">
      <c r="A11" s="304"/>
      <c r="B11" s="309"/>
      <c r="C11" s="310"/>
      <c r="D11" s="175">
        <v>41512</v>
      </c>
      <c r="E11" s="181">
        <v>6.5972222222222224E-2</v>
      </c>
      <c r="F11" s="182">
        <v>8.56</v>
      </c>
      <c r="G11" s="182">
        <v>22</v>
      </c>
      <c r="H11" s="182">
        <v>7.51</v>
      </c>
      <c r="I11" s="183">
        <v>1.115</v>
      </c>
      <c r="J11" s="182">
        <v>0.193</v>
      </c>
      <c r="K11" s="184">
        <v>0.05</v>
      </c>
      <c r="L11" s="180" t="s">
        <v>119</v>
      </c>
    </row>
    <row r="12" spans="1:19" x14ac:dyDescent="0.25">
      <c r="A12" s="304"/>
      <c r="B12" s="309"/>
      <c r="C12" s="310"/>
      <c r="D12" s="175">
        <v>41596</v>
      </c>
      <c r="E12" s="181">
        <v>0.51250000000000007</v>
      </c>
      <c r="F12" s="182">
        <v>8.2799999999999994</v>
      </c>
      <c r="G12" s="182">
        <v>3.8</v>
      </c>
      <c r="H12" s="182">
        <v>13</v>
      </c>
      <c r="I12" s="183">
        <v>1.37</v>
      </c>
      <c r="J12" s="182">
        <v>0.46200000000000002</v>
      </c>
      <c r="K12" s="184">
        <v>0.05</v>
      </c>
      <c r="L12" s="180" t="s">
        <v>116</v>
      </c>
    </row>
    <row r="13" spans="1:19" x14ac:dyDescent="0.25">
      <c r="A13" s="189"/>
      <c r="B13" s="190"/>
      <c r="C13" s="191"/>
      <c r="D13" s="192"/>
      <c r="E13" s="193"/>
      <c r="F13" s="194"/>
      <c r="G13" s="194"/>
      <c r="H13" s="194"/>
      <c r="I13" s="195"/>
      <c r="J13" s="194"/>
      <c r="K13" s="196"/>
      <c r="L13" s="197"/>
    </row>
    <row r="14" spans="1:19" x14ac:dyDescent="0.25">
      <c r="A14" s="189"/>
      <c r="B14" s="190"/>
      <c r="C14" s="191"/>
      <c r="D14" s="192"/>
    </row>
    <row r="15" spans="1:19" ht="25" x14ac:dyDescent="0.25">
      <c r="A15" s="198" t="s">
        <v>102</v>
      </c>
      <c r="B15" s="198" t="s">
        <v>103</v>
      </c>
      <c r="C15" s="199" t="s">
        <v>104</v>
      </c>
      <c r="D15" s="198" t="s">
        <v>3</v>
      </c>
      <c r="E15" s="200" t="s">
        <v>89</v>
      </c>
      <c r="F15" s="200" t="s">
        <v>87</v>
      </c>
      <c r="G15" s="200" t="s">
        <v>120</v>
      </c>
      <c r="H15" s="200" t="s">
        <v>88</v>
      </c>
      <c r="J15" s="201"/>
      <c r="K15" s="201"/>
      <c r="L15" s="202"/>
    </row>
    <row r="16" spans="1:19" ht="14.5" x14ac:dyDescent="0.35">
      <c r="A16" s="304" t="s">
        <v>113</v>
      </c>
      <c r="B16" s="309" t="s">
        <v>114</v>
      </c>
      <c r="C16" s="310" t="s">
        <v>115</v>
      </c>
      <c r="D16" s="159">
        <v>41324</v>
      </c>
      <c r="E16" s="225">
        <v>1898</v>
      </c>
      <c r="F16" s="225">
        <v>36</v>
      </c>
      <c r="G16" s="225">
        <v>1756</v>
      </c>
      <c r="H16" s="225">
        <v>30</v>
      </c>
      <c r="I16" s="224"/>
    </row>
    <row r="17" spans="1:12" ht="14.5" x14ac:dyDescent="0.35">
      <c r="A17" s="304"/>
      <c r="B17" s="309"/>
      <c r="C17" s="310"/>
      <c r="D17" s="175">
        <v>41386</v>
      </c>
      <c r="E17" s="225">
        <v>1214</v>
      </c>
      <c r="F17" s="225">
        <v>14</v>
      </c>
      <c r="G17" s="225">
        <v>800</v>
      </c>
      <c r="H17" s="225">
        <v>37</v>
      </c>
      <c r="K17" s="196"/>
      <c r="L17" s="197"/>
    </row>
    <row r="18" spans="1:12" ht="14.5" x14ac:dyDescent="0.35">
      <c r="A18" s="304"/>
      <c r="B18" s="309"/>
      <c r="C18" s="310"/>
      <c r="D18" s="175">
        <v>41442</v>
      </c>
      <c r="E18" s="225">
        <v>982</v>
      </c>
      <c r="F18" s="225">
        <v>41</v>
      </c>
      <c r="G18" s="225">
        <v>465</v>
      </c>
      <c r="H18" s="225">
        <v>87</v>
      </c>
      <c r="K18" s="196"/>
      <c r="L18" s="197"/>
    </row>
    <row r="19" spans="1:12" ht="14.5" x14ac:dyDescent="0.35">
      <c r="A19" s="304"/>
      <c r="B19" s="309"/>
      <c r="C19" s="310"/>
      <c r="D19" s="175">
        <v>41512</v>
      </c>
      <c r="E19" s="225">
        <v>1199</v>
      </c>
      <c r="F19" s="225">
        <v>45</v>
      </c>
      <c r="G19" s="225">
        <v>305</v>
      </c>
      <c r="H19" s="225">
        <v>103</v>
      </c>
      <c r="K19" s="196"/>
      <c r="L19" s="197"/>
    </row>
    <row r="20" spans="1:12" ht="14.5" x14ac:dyDescent="0.35">
      <c r="A20" s="304"/>
      <c r="B20" s="309"/>
      <c r="C20" s="310"/>
      <c r="D20" s="175">
        <v>41596</v>
      </c>
      <c r="E20" s="225">
        <v>2010</v>
      </c>
      <c r="F20" s="225">
        <v>35</v>
      </c>
      <c r="G20" s="225">
        <v>1640</v>
      </c>
      <c r="H20" s="225">
        <v>31</v>
      </c>
      <c r="K20" s="196"/>
      <c r="L20" s="197"/>
    </row>
    <row r="21" spans="1:12" ht="14.5" x14ac:dyDescent="0.35">
      <c r="A21" s="304"/>
      <c r="B21" s="309" t="s">
        <v>117</v>
      </c>
      <c r="C21" s="310" t="s">
        <v>118</v>
      </c>
      <c r="D21" s="175">
        <v>41324</v>
      </c>
      <c r="E21" s="225">
        <v>1667</v>
      </c>
      <c r="F21" s="225">
        <v>28</v>
      </c>
      <c r="G21" s="225">
        <v>1513</v>
      </c>
      <c r="H21" s="225">
        <v>15</v>
      </c>
      <c r="I21" s="224"/>
      <c r="K21" s="196"/>
      <c r="L21" s="197"/>
    </row>
    <row r="22" spans="1:12" ht="14.5" x14ac:dyDescent="0.35">
      <c r="A22" s="304"/>
      <c r="B22" s="309"/>
      <c r="C22" s="310"/>
      <c r="D22" s="175">
        <v>41386</v>
      </c>
      <c r="E22" s="225">
        <v>1066</v>
      </c>
      <c r="F22" s="225">
        <v>14</v>
      </c>
      <c r="G22" s="225">
        <v>660</v>
      </c>
      <c r="H22" s="225">
        <v>12</v>
      </c>
      <c r="I22" s="195"/>
      <c r="K22" s="196"/>
      <c r="L22" s="197"/>
    </row>
    <row r="23" spans="1:12" ht="14.5" x14ac:dyDescent="0.35">
      <c r="A23" s="304"/>
      <c r="B23" s="309"/>
      <c r="C23" s="310"/>
      <c r="D23" s="175">
        <v>41442</v>
      </c>
      <c r="E23" s="225">
        <v>1192</v>
      </c>
      <c r="F23" s="225">
        <v>47</v>
      </c>
      <c r="G23" s="225">
        <v>427</v>
      </c>
      <c r="H23" s="225">
        <v>123</v>
      </c>
    </row>
    <row r="24" spans="1:12" ht="14.5" x14ac:dyDescent="0.35">
      <c r="A24" s="304"/>
      <c r="B24" s="309"/>
      <c r="C24" s="310"/>
      <c r="D24" s="175">
        <v>41512</v>
      </c>
      <c r="E24" s="225">
        <v>1023</v>
      </c>
      <c r="F24" s="225">
        <v>64</v>
      </c>
      <c r="G24" s="225">
        <v>149</v>
      </c>
      <c r="H24" s="225">
        <v>89</v>
      </c>
    </row>
    <row r="25" spans="1:12" ht="14.5" x14ac:dyDescent="0.35">
      <c r="A25" s="304"/>
      <c r="B25" s="309"/>
      <c r="C25" s="310"/>
      <c r="D25" s="175">
        <v>41596</v>
      </c>
      <c r="E25" s="225">
        <v>1875</v>
      </c>
      <c r="F25" s="225">
        <v>55</v>
      </c>
      <c r="G25" s="225">
        <v>1421</v>
      </c>
      <c r="H25" s="225">
        <v>38</v>
      </c>
    </row>
    <row r="26" spans="1:12" x14ac:dyDescent="0.25">
      <c r="A26" s="203"/>
      <c r="B26" s="204"/>
      <c r="C26" s="204"/>
      <c r="D26" s="205"/>
      <c r="E26" s="205"/>
      <c r="F26" s="205"/>
      <c r="G26" s="205"/>
    </row>
    <row r="27" spans="1:12" x14ac:dyDescent="0.25">
      <c r="A27" s="203"/>
      <c r="B27" s="204"/>
      <c r="C27" s="204"/>
      <c r="D27" s="161">
        <v>60</v>
      </c>
      <c r="E27" s="206">
        <v>61</v>
      </c>
      <c r="F27" s="206">
        <v>61</v>
      </c>
      <c r="G27" s="206">
        <v>62</v>
      </c>
      <c r="H27" s="206">
        <v>61</v>
      </c>
      <c r="I27" s="206">
        <v>61</v>
      </c>
    </row>
    <row r="28" spans="1:12" x14ac:dyDescent="0.25">
      <c r="A28" s="203"/>
      <c r="B28" s="204"/>
      <c r="C28" s="204"/>
      <c r="D28" s="207" t="s">
        <v>121</v>
      </c>
      <c r="E28" s="207" t="s">
        <v>122</v>
      </c>
      <c r="F28" s="208" t="s">
        <v>123</v>
      </c>
      <c r="G28" s="207" t="s">
        <v>124</v>
      </c>
      <c r="H28" s="207" t="s">
        <v>125</v>
      </c>
      <c r="I28" s="207" t="s">
        <v>126</v>
      </c>
    </row>
    <row r="29" spans="1:12" x14ac:dyDescent="0.25">
      <c r="A29" s="203"/>
      <c r="B29" s="204"/>
      <c r="C29" s="204"/>
      <c r="D29" s="311" t="s">
        <v>76</v>
      </c>
      <c r="E29" s="312"/>
      <c r="F29" s="312"/>
      <c r="G29" s="312"/>
      <c r="H29" s="312"/>
      <c r="I29" s="313"/>
    </row>
    <row r="30" spans="1:12" x14ac:dyDescent="0.25">
      <c r="A30" s="203"/>
      <c r="B30" s="204"/>
      <c r="C30" s="204" t="s">
        <v>96</v>
      </c>
      <c r="D30" s="161">
        <v>0.16600000000000001</v>
      </c>
      <c r="E30" s="161">
        <v>0.49399999999999999</v>
      </c>
      <c r="F30" s="161">
        <v>0.38600000000000001</v>
      </c>
      <c r="G30" s="209">
        <v>0.129</v>
      </c>
      <c r="H30" s="210">
        <v>0.5</v>
      </c>
      <c r="I30" s="209">
        <v>0.20499999999999999</v>
      </c>
    </row>
    <row r="31" spans="1:12" x14ac:dyDescent="0.25">
      <c r="A31" s="203"/>
      <c r="B31" s="204"/>
      <c r="C31" s="204" t="s">
        <v>99</v>
      </c>
      <c r="D31" s="161">
        <v>0.21099999999999999</v>
      </c>
      <c r="E31" s="161">
        <v>0.23400000000000001</v>
      </c>
      <c r="F31" s="161">
        <v>0.27</v>
      </c>
      <c r="G31" s="209">
        <v>0.193</v>
      </c>
      <c r="H31" s="210"/>
      <c r="I31" s="209">
        <v>0.46200000000000002</v>
      </c>
    </row>
    <row r="32" spans="1:12" x14ac:dyDescent="0.25">
      <c r="A32" s="203"/>
      <c r="B32" s="204"/>
      <c r="C32" s="204"/>
      <c r="D32" s="314" t="s">
        <v>127</v>
      </c>
      <c r="E32" s="315"/>
      <c r="F32" s="315"/>
      <c r="G32" s="315"/>
      <c r="H32" s="315"/>
      <c r="I32" s="316"/>
    </row>
    <row r="33" spans="1:11" x14ac:dyDescent="0.25">
      <c r="A33" s="203"/>
      <c r="B33" s="204"/>
      <c r="C33" s="204" t="s">
        <v>96</v>
      </c>
      <c r="D33" s="211">
        <f>D30*1.983</f>
        <v>0.32917800000000003</v>
      </c>
      <c r="E33" s="211">
        <f t="shared" ref="E33:I34" si="2">E30*1.983</f>
        <v>0.97960200000000008</v>
      </c>
      <c r="F33" s="211">
        <f t="shared" si="2"/>
        <v>0.76543800000000006</v>
      </c>
      <c r="G33" s="211">
        <f t="shared" si="2"/>
        <v>0.25580700000000001</v>
      </c>
      <c r="H33" s="211">
        <f t="shared" si="2"/>
        <v>0.99150000000000005</v>
      </c>
      <c r="I33" s="211">
        <f t="shared" si="2"/>
        <v>0.40651500000000002</v>
      </c>
    </row>
    <row r="34" spans="1:11" x14ac:dyDescent="0.25">
      <c r="A34" s="203"/>
      <c r="B34" s="204"/>
      <c r="C34" s="204" t="s">
        <v>99</v>
      </c>
      <c r="D34" s="211">
        <f>D31*1.983</f>
        <v>0.41841299999999998</v>
      </c>
      <c r="E34" s="211">
        <f t="shared" si="2"/>
        <v>0.46402200000000005</v>
      </c>
      <c r="F34" s="211">
        <f t="shared" si="2"/>
        <v>0.53541000000000005</v>
      </c>
      <c r="G34" s="211">
        <f t="shared" si="2"/>
        <v>0.38271900000000003</v>
      </c>
      <c r="H34" s="211">
        <f t="shared" si="2"/>
        <v>0</v>
      </c>
      <c r="I34" s="211">
        <f t="shared" si="2"/>
        <v>0.91614600000000013</v>
      </c>
    </row>
    <row r="35" spans="1:11" x14ac:dyDescent="0.25">
      <c r="D35" s="317" t="s">
        <v>128</v>
      </c>
      <c r="E35" s="318"/>
      <c r="F35" s="318"/>
      <c r="G35" s="318"/>
      <c r="H35" s="318"/>
      <c r="I35" s="319"/>
    </row>
    <row r="36" spans="1:11" x14ac:dyDescent="0.25">
      <c r="A36" s="203"/>
      <c r="B36" s="204"/>
      <c r="C36" s="204" t="s">
        <v>96</v>
      </c>
      <c r="D36" s="212">
        <f>$D$27*D33</f>
        <v>19.750680000000003</v>
      </c>
      <c r="E36" s="212">
        <f t="shared" ref="E36:I37" si="3">$D$27*E33</f>
        <v>58.776120000000006</v>
      </c>
      <c r="F36" s="212">
        <f t="shared" si="3"/>
        <v>45.926280000000006</v>
      </c>
      <c r="G36" s="212">
        <f t="shared" si="3"/>
        <v>15.348420000000001</v>
      </c>
      <c r="H36" s="212">
        <f t="shared" si="3"/>
        <v>59.49</v>
      </c>
      <c r="I36" s="212">
        <f t="shared" si="3"/>
        <v>24.390900000000002</v>
      </c>
      <c r="J36" s="213">
        <f>SUM(D36:I36)</f>
        <v>223.68240000000003</v>
      </c>
    </row>
    <row r="37" spans="1:11" x14ac:dyDescent="0.25">
      <c r="A37" s="203"/>
      <c r="B37" s="204"/>
      <c r="C37" s="204" t="s">
        <v>99</v>
      </c>
      <c r="D37" s="212">
        <f>$D$27*D34</f>
        <v>25.104779999999998</v>
      </c>
      <c r="E37" s="212">
        <f t="shared" si="3"/>
        <v>27.841320000000003</v>
      </c>
      <c r="F37" s="212">
        <f t="shared" si="3"/>
        <v>32.124600000000001</v>
      </c>
      <c r="G37" s="212">
        <f t="shared" si="3"/>
        <v>22.963140000000003</v>
      </c>
      <c r="H37" s="212"/>
      <c r="I37" s="212">
        <f t="shared" si="3"/>
        <v>54.96876000000001</v>
      </c>
      <c r="J37" s="213">
        <f>SUM(D37:I37)</f>
        <v>163.0026</v>
      </c>
    </row>
    <row r="38" spans="1:11" x14ac:dyDescent="0.25">
      <c r="A38" s="203"/>
      <c r="B38" s="204"/>
      <c r="C38" s="204"/>
      <c r="D38" s="205"/>
      <c r="E38" s="205"/>
      <c r="F38" s="205"/>
      <c r="G38" s="205"/>
    </row>
    <row r="39" spans="1:11" x14ac:dyDescent="0.25">
      <c r="A39" s="203"/>
      <c r="B39" s="204"/>
      <c r="C39" s="204"/>
      <c r="D39" s="205">
        <v>2.7230000000000002E-3</v>
      </c>
      <c r="E39" s="205"/>
      <c r="F39" s="214"/>
      <c r="G39" s="205"/>
    </row>
    <row r="40" spans="1:11" x14ac:dyDescent="0.25">
      <c r="A40" s="203"/>
      <c r="B40" s="204"/>
      <c r="C40" s="204"/>
      <c r="D40" s="215"/>
      <c r="F40" s="216" t="s">
        <v>129</v>
      </c>
      <c r="G40" s="216"/>
      <c r="H40" s="216"/>
      <c r="I40" s="216"/>
    </row>
    <row r="41" spans="1:11" ht="25" x14ac:dyDescent="0.25">
      <c r="A41" s="203"/>
      <c r="B41" s="204"/>
      <c r="C41" s="199" t="s">
        <v>104</v>
      </c>
      <c r="D41" s="198" t="s">
        <v>3</v>
      </c>
      <c r="E41" s="217" t="s">
        <v>130</v>
      </c>
      <c r="F41" s="200" t="s">
        <v>89</v>
      </c>
      <c r="G41" s="200" t="s">
        <v>87</v>
      </c>
      <c r="H41" s="200" t="s">
        <v>98</v>
      </c>
      <c r="I41" s="200" t="s">
        <v>88</v>
      </c>
    </row>
    <row r="42" spans="1:11" x14ac:dyDescent="0.25">
      <c r="A42" s="203"/>
      <c r="B42" s="204"/>
      <c r="C42" s="310" t="s">
        <v>115</v>
      </c>
      <c r="D42" s="207" t="s">
        <v>121</v>
      </c>
      <c r="E42" s="212">
        <v>19.750680000000003</v>
      </c>
      <c r="F42" s="218">
        <f>$E42*$D$39*E16</f>
        <v>102.07653091272002</v>
      </c>
      <c r="G42" s="218">
        <f>$E42*$D$39*F16</f>
        <v>1.9361196590400003</v>
      </c>
      <c r="H42" s="218">
        <f>$E42*$D$39*G16</f>
        <v>94.439614479840017</v>
      </c>
      <c r="I42" s="218">
        <f t="shared" ref="I42" si="4">$E42*$D$39*H16</f>
        <v>1.6134330492000002</v>
      </c>
      <c r="J42" s="219"/>
      <c r="K42" s="220"/>
    </row>
    <row r="43" spans="1:11" x14ac:dyDescent="0.25">
      <c r="A43" s="203"/>
      <c r="B43" s="204"/>
      <c r="C43" s="310"/>
      <c r="D43" s="207" t="s">
        <v>122</v>
      </c>
      <c r="E43" s="212">
        <v>58.776120000000006</v>
      </c>
      <c r="F43" s="218">
        <f t="shared" ref="F43:I47" si="5">$E43*$D$39*E17</f>
        <v>194.29751295864003</v>
      </c>
      <c r="G43" s="218">
        <f t="shared" si="5"/>
        <v>2.2406632466400005</v>
      </c>
      <c r="H43" s="218">
        <f t="shared" si="5"/>
        <v>128.03789980800002</v>
      </c>
      <c r="I43" s="218">
        <f t="shared" si="5"/>
        <v>5.9217528661200012</v>
      </c>
      <c r="K43" s="220"/>
    </row>
    <row r="44" spans="1:11" x14ac:dyDescent="0.25">
      <c r="C44" s="310"/>
      <c r="D44" s="208" t="s">
        <v>123</v>
      </c>
      <c r="E44" s="212">
        <v>45.926280000000006</v>
      </c>
      <c r="F44" s="218">
        <f t="shared" si="5"/>
        <v>122.80622975208001</v>
      </c>
      <c r="G44" s="218">
        <f t="shared" si="5"/>
        <v>5.1273476780400005</v>
      </c>
      <c r="H44" s="218">
        <f t="shared" si="5"/>
        <v>58.151626104600005</v>
      </c>
      <c r="I44" s="218">
        <f t="shared" si="5"/>
        <v>10.87998165828</v>
      </c>
      <c r="K44" s="220"/>
    </row>
    <row r="45" spans="1:11" x14ac:dyDescent="0.25">
      <c r="A45" s="203"/>
      <c r="B45" s="204"/>
      <c r="C45" s="310"/>
      <c r="D45" s="207" t="s">
        <v>124</v>
      </c>
      <c r="E45" s="212">
        <v>15.348420000000001</v>
      </c>
      <c r="F45" s="218">
        <f t="shared" si="5"/>
        <v>50.110703444340004</v>
      </c>
      <c r="G45" s="218">
        <f t="shared" si="5"/>
        <v>1.8807186447000002</v>
      </c>
      <c r="H45" s="218">
        <f t="shared" si="5"/>
        <v>12.747093036300001</v>
      </c>
      <c r="I45" s="218">
        <f t="shared" si="5"/>
        <v>4.3047560089800001</v>
      </c>
      <c r="K45" s="220"/>
    </row>
    <row r="46" spans="1:11" x14ac:dyDescent="0.25">
      <c r="A46" s="203"/>
      <c r="B46" s="204"/>
      <c r="C46" s="310"/>
      <c r="D46" s="207" t="s">
        <v>125</v>
      </c>
      <c r="E46" s="212" t="s">
        <v>131</v>
      </c>
      <c r="F46" s="218"/>
      <c r="G46" s="221"/>
      <c r="H46" s="207"/>
      <c r="I46" s="222"/>
      <c r="K46" s="220"/>
    </row>
    <row r="47" spans="1:11" x14ac:dyDescent="0.25">
      <c r="A47" s="203"/>
      <c r="B47" s="204"/>
      <c r="C47" s="310"/>
      <c r="D47" s="207" t="s">
        <v>126</v>
      </c>
      <c r="E47" s="212">
        <v>24.390900000000002</v>
      </c>
      <c r="F47" s="218">
        <f t="shared" si="5"/>
        <v>110.7161733069</v>
      </c>
      <c r="G47" s="218">
        <f t="shared" si="5"/>
        <v>1.8596597796000003</v>
      </c>
      <c r="H47" s="218">
        <f t="shared" si="5"/>
        <v>100.48804451910001</v>
      </c>
      <c r="I47" s="218">
        <f t="shared" si="5"/>
        <v>0.99624631050000012</v>
      </c>
      <c r="K47" s="220"/>
    </row>
    <row r="48" spans="1:11" x14ac:dyDescent="0.25">
      <c r="A48" s="203"/>
      <c r="B48" s="204"/>
      <c r="C48" s="310" t="s">
        <v>118</v>
      </c>
      <c r="D48" s="207" t="s">
        <v>121</v>
      </c>
      <c r="E48" s="223">
        <v>25.104779999999998</v>
      </c>
      <c r="F48" s="218">
        <f>$E48*$D$39*E21</f>
        <v>113.95664667198</v>
      </c>
      <c r="G48" s="218">
        <f t="shared" ref="G48:I49" si="6">$E48*$D$39*F21</f>
        <v>1.9140888463199999</v>
      </c>
      <c r="H48" s="218">
        <f t="shared" si="6"/>
        <v>103.42915801722</v>
      </c>
      <c r="I48" s="218">
        <f t="shared" si="6"/>
        <v>1.0254047391000001</v>
      </c>
      <c r="J48" s="219"/>
      <c r="K48" s="220"/>
    </row>
    <row r="49" spans="1:11" x14ac:dyDescent="0.25">
      <c r="A49" s="203"/>
      <c r="B49" s="204"/>
      <c r="C49" s="310"/>
      <c r="D49" s="207" t="s">
        <v>122</v>
      </c>
      <c r="E49" s="223">
        <v>27.841320000000003</v>
      </c>
      <c r="F49" s="218">
        <f>$E49*$D$39*E22</f>
        <v>80.815500707760009</v>
      </c>
      <c r="G49" s="218">
        <f t="shared" si="6"/>
        <v>1.0613668010400001</v>
      </c>
      <c r="H49" s="218">
        <f t="shared" si="6"/>
        <v>50.035863477600003</v>
      </c>
      <c r="I49" s="218">
        <f t="shared" si="6"/>
        <v>0.90974297232000012</v>
      </c>
      <c r="K49" s="220"/>
    </row>
    <row r="50" spans="1:11" x14ac:dyDescent="0.25">
      <c r="A50" s="203"/>
      <c r="B50" s="204"/>
      <c r="C50" s="310"/>
      <c r="D50" s="208" t="s">
        <v>123</v>
      </c>
      <c r="E50" s="223">
        <v>32.124600000000001</v>
      </c>
      <c r="F50" s="218">
        <f t="shared" ref="F50:I51" si="7">$E50*$D$39*E23</f>
        <v>104.27054067360001</v>
      </c>
      <c r="G50" s="218">
        <f t="shared" si="7"/>
        <v>4.1113384326000002</v>
      </c>
      <c r="H50" s="218">
        <f t="shared" si="7"/>
        <v>37.351947036600002</v>
      </c>
      <c r="I50" s="218">
        <f t="shared" si="7"/>
        <v>10.759460153400001</v>
      </c>
    </row>
    <row r="51" spans="1:11" x14ac:dyDescent="0.25">
      <c r="A51" s="203"/>
      <c r="B51" s="204"/>
      <c r="C51" s="310"/>
      <c r="D51" s="207" t="s">
        <v>124</v>
      </c>
      <c r="E51" s="223">
        <v>22.963140000000003</v>
      </c>
      <c r="F51" s="218">
        <f t="shared" si="7"/>
        <v>63.966788715060005</v>
      </c>
      <c r="G51" s="218">
        <f t="shared" si="7"/>
        <v>4.0018323340800004</v>
      </c>
      <c r="H51" s="218">
        <f t="shared" si="7"/>
        <v>9.3167659027800003</v>
      </c>
      <c r="I51" s="218">
        <f t="shared" si="7"/>
        <v>5.5650480895800003</v>
      </c>
    </row>
    <row r="52" spans="1:11" x14ac:dyDescent="0.25">
      <c r="A52" s="203"/>
      <c r="B52" s="204"/>
      <c r="C52" s="310"/>
      <c r="D52" s="207" t="s">
        <v>125</v>
      </c>
      <c r="E52" s="212" t="s">
        <v>131</v>
      </c>
      <c r="F52" s="218"/>
      <c r="G52" s="207"/>
      <c r="H52" s="222"/>
      <c r="I52" s="222"/>
    </row>
    <row r="53" spans="1:11" x14ac:dyDescent="0.25">
      <c r="A53" s="203"/>
      <c r="B53" s="204"/>
      <c r="C53" s="310"/>
      <c r="D53" s="207" t="s">
        <v>126</v>
      </c>
      <c r="E53" s="223">
        <v>54.96876000000001</v>
      </c>
      <c r="F53" s="218">
        <f>$E53*$D$39*E25</f>
        <v>280.64987527500006</v>
      </c>
      <c r="G53" s="218">
        <f t="shared" ref="G53:I53" si="8">$E53*$D$39*F25</f>
        <v>8.2323963414000012</v>
      </c>
      <c r="H53" s="218">
        <f t="shared" si="8"/>
        <v>212.69518547508005</v>
      </c>
      <c r="I53" s="218">
        <f t="shared" si="8"/>
        <v>5.6878374722400009</v>
      </c>
    </row>
    <row r="55" spans="1:11" x14ac:dyDescent="0.25">
      <c r="A55" s="203"/>
      <c r="B55" s="204"/>
      <c r="C55" s="204"/>
      <c r="D55" s="215"/>
      <c r="E55" s="303" t="s">
        <v>132</v>
      </c>
      <c r="F55" s="303"/>
      <c r="G55" s="303"/>
      <c r="H55" s="303"/>
      <c r="I55" s="303"/>
    </row>
    <row r="56" spans="1:11" ht="37.5" x14ac:dyDescent="0.25">
      <c r="A56" s="203"/>
      <c r="B56" s="204"/>
      <c r="C56" s="204"/>
      <c r="D56" s="215"/>
      <c r="E56" s="217" t="s">
        <v>97</v>
      </c>
      <c r="F56" s="200" t="s">
        <v>89</v>
      </c>
      <c r="G56" s="200" t="s">
        <v>87</v>
      </c>
      <c r="H56" s="200" t="s">
        <v>98</v>
      </c>
      <c r="I56" s="200" t="s">
        <v>88</v>
      </c>
    </row>
    <row r="57" spans="1:11" x14ac:dyDescent="0.25">
      <c r="A57" s="203"/>
      <c r="B57" s="204"/>
      <c r="C57" s="204" t="s">
        <v>96</v>
      </c>
      <c r="D57" s="205"/>
      <c r="E57" s="218">
        <f>SUM(E42:E47)</f>
        <v>164.19240000000002</v>
      </c>
      <c r="F57" s="218">
        <f t="shared" ref="F57:I58" si="9">SUM(F42:F47)</f>
        <v>580.00715037468012</v>
      </c>
      <c r="G57" s="218">
        <f t="shared" si="9"/>
        <v>13.04450900802</v>
      </c>
      <c r="H57" s="218">
        <f t="shared" si="9"/>
        <v>393.86427794784004</v>
      </c>
      <c r="I57" s="218">
        <f t="shared" si="9"/>
        <v>23.71616989308</v>
      </c>
    </row>
    <row r="58" spans="1:11" x14ac:dyDescent="0.25">
      <c r="A58" s="203"/>
      <c r="B58" s="204"/>
      <c r="C58" s="204" t="s">
        <v>99</v>
      </c>
      <c r="D58" s="205"/>
      <c r="E58" s="218">
        <f>SUM(E43:E48)</f>
        <v>169.54650000000004</v>
      </c>
      <c r="F58" s="218">
        <f t="shared" si="9"/>
        <v>591.8872661339401</v>
      </c>
      <c r="G58" s="218">
        <f t="shared" si="9"/>
        <v>13.022478195300002</v>
      </c>
      <c r="H58" s="218">
        <f t="shared" si="9"/>
        <v>402.85382148522007</v>
      </c>
      <c r="I58" s="218">
        <f t="shared" si="9"/>
        <v>23.128141582980003</v>
      </c>
    </row>
    <row r="59" spans="1:11" x14ac:dyDescent="0.25">
      <c r="A59" s="203"/>
      <c r="B59" s="204"/>
      <c r="C59" s="204"/>
      <c r="D59" s="205"/>
      <c r="E59" s="205"/>
      <c r="F59" s="214"/>
      <c r="G59" s="205" t="s">
        <v>100</v>
      </c>
    </row>
    <row r="60" spans="1:11" x14ac:dyDescent="0.25">
      <c r="A60" s="203"/>
      <c r="B60" s="204"/>
      <c r="C60" s="204" t="s">
        <v>96</v>
      </c>
      <c r="D60" s="215"/>
      <c r="E60" s="218">
        <f>AVERAGE(E42:E47)</f>
        <v>32.838480000000004</v>
      </c>
      <c r="F60" s="218">
        <f t="shared" ref="F60:I61" si="10">AVERAGE(F42:F47)</f>
        <v>116.00143007493602</v>
      </c>
      <c r="G60" s="218">
        <f t="shared" si="10"/>
        <v>2.608901801604</v>
      </c>
      <c r="H60" s="218">
        <f t="shared" si="10"/>
        <v>78.77285558956801</v>
      </c>
      <c r="I60" s="218">
        <f t="shared" si="10"/>
        <v>4.7432339786159998</v>
      </c>
    </row>
    <row r="61" spans="1:11" x14ac:dyDescent="0.25">
      <c r="A61" s="203"/>
      <c r="B61" s="204"/>
      <c r="C61" s="204" t="s">
        <v>99</v>
      </c>
      <c r="D61" s="205"/>
      <c r="E61" s="218">
        <f>AVERAGE(E43:E48)</f>
        <v>33.909300000000009</v>
      </c>
      <c r="F61" s="218">
        <f t="shared" si="10"/>
        <v>118.37745322678802</v>
      </c>
      <c r="G61" s="218">
        <f t="shared" si="10"/>
        <v>2.6044956390600005</v>
      </c>
      <c r="H61" s="218">
        <f t="shared" si="10"/>
        <v>80.570764297044008</v>
      </c>
      <c r="I61" s="218">
        <f t="shared" si="10"/>
        <v>4.6256283165960008</v>
      </c>
    </row>
    <row r="62" spans="1:11" x14ac:dyDescent="0.25">
      <c r="A62" s="203"/>
      <c r="B62" s="204"/>
      <c r="C62" s="204"/>
      <c r="D62" s="205"/>
      <c r="E62" s="205"/>
      <c r="F62" s="205"/>
      <c r="G62" s="205"/>
    </row>
    <row r="63" spans="1:11" x14ac:dyDescent="0.25">
      <c r="A63" s="203"/>
      <c r="B63" s="204"/>
      <c r="C63" s="204"/>
      <c r="D63" s="205"/>
      <c r="E63" s="205"/>
      <c r="F63" s="214"/>
      <c r="G63" s="205"/>
    </row>
    <row r="65" spans="1:7" x14ac:dyDescent="0.25">
      <c r="A65" s="203"/>
      <c r="B65" s="204"/>
      <c r="C65" s="204"/>
      <c r="D65" s="215"/>
      <c r="E65" s="205"/>
      <c r="F65" s="214"/>
      <c r="G65" s="205"/>
    </row>
    <row r="66" spans="1:7" x14ac:dyDescent="0.25">
      <c r="A66" s="203"/>
      <c r="B66" s="204"/>
      <c r="C66" s="204"/>
      <c r="D66" s="205"/>
      <c r="E66" s="205"/>
      <c r="F66" s="205"/>
      <c r="G66" s="205"/>
    </row>
    <row r="67" spans="1:7" x14ac:dyDescent="0.25">
      <c r="A67" s="203"/>
      <c r="B67" s="204"/>
      <c r="C67" s="204"/>
      <c r="D67" s="205"/>
      <c r="E67" s="205"/>
      <c r="F67" s="205"/>
      <c r="G67" s="205"/>
    </row>
    <row r="68" spans="1:7" x14ac:dyDescent="0.25">
      <c r="A68" s="203"/>
      <c r="B68" s="204"/>
      <c r="C68" s="204"/>
      <c r="D68" s="205"/>
      <c r="E68" s="205"/>
      <c r="F68" s="214"/>
      <c r="G68" s="205"/>
    </row>
    <row r="69" spans="1:7" x14ac:dyDescent="0.25">
      <c r="A69" s="203"/>
      <c r="B69" s="204"/>
      <c r="C69" s="204"/>
      <c r="D69" s="215"/>
      <c r="E69" s="205"/>
      <c r="F69" s="214"/>
      <c r="G69" s="205"/>
    </row>
    <row r="70" spans="1:7" x14ac:dyDescent="0.25">
      <c r="A70" s="203"/>
      <c r="B70" s="204"/>
      <c r="C70" s="204"/>
      <c r="D70" s="205"/>
      <c r="E70" s="205"/>
      <c r="F70" s="205"/>
      <c r="G70" s="205"/>
    </row>
    <row r="71" spans="1:7" x14ac:dyDescent="0.25">
      <c r="A71" s="203"/>
      <c r="B71" s="204"/>
      <c r="C71" s="204"/>
      <c r="D71" s="205"/>
      <c r="E71" s="205"/>
      <c r="F71" s="205"/>
      <c r="G71" s="205"/>
    </row>
    <row r="72" spans="1:7" x14ac:dyDescent="0.25">
      <c r="A72" s="203"/>
      <c r="B72" s="204"/>
      <c r="C72" s="204"/>
      <c r="D72" s="205"/>
      <c r="E72" s="205"/>
      <c r="F72" s="214"/>
      <c r="G72" s="205"/>
    </row>
  </sheetData>
  <mergeCells count="16">
    <mergeCell ref="E55:I55"/>
    <mergeCell ref="A3:A12"/>
    <mergeCell ref="B3:B7"/>
    <mergeCell ref="C3:C7"/>
    <mergeCell ref="B8:B12"/>
    <mergeCell ref="C8:C12"/>
    <mergeCell ref="A16:A25"/>
    <mergeCell ref="B16:B20"/>
    <mergeCell ref="C16:C20"/>
    <mergeCell ref="B21:B25"/>
    <mergeCell ref="C21:C25"/>
    <mergeCell ref="D29:I29"/>
    <mergeCell ref="D32:I32"/>
    <mergeCell ref="D35:I35"/>
    <mergeCell ref="C42:C47"/>
    <mergeCell ref="C48:C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3"/>
  <sheetViews>
    <sheetView topLeftCell="A34" workbookViewId="0">
      <selection activeCell="E16" sqref="E16"/>
    </sheetView>
  </sheetViews>
  <sheetFormatPr defaultRowHeight="12.5" x14ac:dyDescent="0.25"/>
  <cols>
    <col min="1" max="1" width="11" bestFit="1" customWidth="1"/>
    <col min="4" max="4" width="10.81640625" bestFit="1" customWidth="1"/>
    <col min="8" max="8" width="11.6328125" customWidth="1"/>
    <col min="9" max="9" width="12.54296875" customWidth="1"/>
    <col min="11" max="11" width="15.81640625" customWidth="1"/>
  </cols>
  <sheetData>
    <row r="1" spans="1:12" ht="25" x14ac:dyDescent="0.25">
      <c r="A1" s="150" t="s">
        <v>102</v>
      </c>
      <c r="B1" s="151" t="s">
        <v>103</v>
      </c>
      <c r="C1" s="152" t="s">
        <v>104</v>
      </c>
      <c r="D1" s="151" t="s">
        <v>3</v>
      </c>
      <c r="E1" s="151" t="s">
        <v>105</v>
      </c>
      <c r="F1" s="153" t="s">
        <v>106</v>
      </c>
      <c r="G1" s="154" t="s">
        <v>107</v>
      </c>
      <c r="H1" s="153" t="s">
        <v>108</v>
      </c>
      <c r="I1" s="155" t="s">
        <v>109</v>
      </c>
      <c r="J1" s="153" t="s">
        <v>110</v>
      </c>
      <c r="K1" s="156" t="s">
        <v>111</v>
      </c>
      <c r="L1" s="156" t="s">
        <v>112</v>
      </c>
    </row>
    <row r="2" spans="1:12" x14ac:dyDescent="0.25">
      <c r="A2" s="304" t="s">
        <v>113</v>
      </c>
      <c r="B2" s="309" t="s">
        <v>114</v>
      </c>
      <c r="C2" s="310" t="s">
        <v>115</v>
      </c>
      <c r="D2" s="226">
        <v>41680</v>
      </c>
      <c r="E2" s="160">
        <v>0.53541666666666665</v>
      </c>
      <c r="F2" s="161">
        <v>7.91</v>
      </c>
      <c r="G2" s="162">
        <v>0</v>
      </c>
      <c r="H2" s="161">
        <v>10.65</v>
      </c>
      <c r="I2" s="163">
        <v>1.88</v>
      </c>
      <c r="J2" s="161">
        <v>0.30099999999999999</v>
      </c>
      <c r="K2" s="164">
        <v>0</v>
      </c>
      <c r="L2" s="227" t="s">
        <v>116</v>
      </c>
    </row>
    <row r="3" spans="1:12" x14ac:dyDescent="0.25">
      <c r="A3" s="304"/>
      <c r="B3" s="309"/>
      <c r="C3" s="310"/>
      <c r="D3" s="168">
        <v>41750</v>
      </c>
      <c r="E3" s="169">
        <v>0.48472222222222222</v>
      </c>
      <c r="F3" s="170">
        <v>7.93</v>
      </c>
      <c r="G3" s="170">
        <v>10.5</v>
      </c>
      <c r="H3" s="170">
        <v>10.210000000000001</v>
      </c>
      <c r="I3" s="171">
        <v>1.42</v>
      </c>
      <c r="J3" s="170">
        <v>0.19800000000000001</v>
      </c>
      <c r="K3" s="172">
        <v>0.5</v>
      </c>
      <c r="L3" s="228" t="s">
        <v>116</v>
      </c>
    </row>
    <row r="4" spans="1:12" x14ac:dyDescent="0.25">
      <c r="A4" s="304"/>
      <c r="B4" s="309"/>
      <c r="C4" s="310"/>
      <c r="D4" s="175">
        <v>41806</v>
      </c>
      <c r="E4" s="176">
        <v>0.39930555555555558</v>
      </c>
      <c r="F4" s="177">
        <v>7.78</v>
      </c>
      <c r="G4" s="177">
        <v>11.7</v>
      </c>
      <c r="H4" s="177">
        <v>9</v>
      </c>
      <c r="I4" s="178">
        <v>1.34</v>
      </c>
      <c r="J4" s="177">
        <v>0.25</v>
      </c>
      <c r="K4" s="179">
        <v>0.25</v>
      </c>
      <c r="L4" s="229" t="s">
        <v>116</v>
      </c>
    </row>
    <row r="5" spans="1:12" x14ac:dyDescent="0.25">
      <c r="A5" s="304"/>
      <c r="B5" s="309"/>
      <c r="C5" s="310"/>
      <c r="D5" s="175">
        <v>41869</v>
      </c>
      <c r="E5" s="181">
        <v>0.48888888888888887</v>
      </c>
      <c r="F5" s="182">
        <v>7.96</v>
      </c>
      <c r="G5" s="182">
        <v>15.8</v>
      </c>
      <c r="H5" s="182">
        <v>6.39</v>
      </c>
      <c r="I5" s="183">
        <v>1.0229999999999999</v>
      </c>
      <c r="J5" s="182">
        <v>0.28999999999999998</v>
      </c>
      <c r="K5" s="184">
        <v>0.05</v>
      </c>
      <c r="L5" s="229" t="s">
        <v>116</v>
      </c>
    </row>
    <row r="6" spans="1:12" x14ac:dyDescent="0.25">
      <c r="A6" s="304"/>
      <c r="B6" s="309"/>
      <c r="C6" s="310"/>
      <c r="D6" s="175">
        <v>41932</v>
      </c>
      <c r="E6" s="181">
        <v>0.52083333333333337</v>
      </c>
      <c r="F6" s="182">
        <v>7.7</v>
      </c>
      <c r="G6" s="182">
        <v>9.1999999999999993</v>
      </c>
      <c r="H6" s="182">
        <v>10.66</v>
      </c>
      <c r="I6" s="183">
        <v>1.3109999999999999</v>
      </c>
      <c r="J6" s="182">
        <v>0.38500000000000001</v>
      </c>
      <c r="K6" s="184">
        <v>0.25</v>
      </c>
      <c r="L6" s="229" t="s">
        <v>116</v>
      </c>
    </row>
    <row r="7" spans="1:12" x14ac:dyDescent="0.25">
      <c r="A7" s="304"/>
      <c r="B7" s="309"/>
      <c r="C7" s="310"/>
      <c r="D7" s="230">
        <v>41981</v>
      </c>
      <c r="E7" s="181">
        <v>0.50208333333333333</v>
      </c>
      <c r="F7" s="182">
        <v>7.64</v>
      </c>
      <c r="G7" s="182">
        <v>0.4</v>
      </c>
      <c r="H7" s="182">
        <v>13.5</v>
      </c>
      <c r="I7" s="183">
        <v>1.4450000000000001</v>
      </c>
      <c r="J7" s="182">
        <v>0.39600000000000002</v>
      </c>
      <c r="K7" s="184">
        <v>0.1</v>
      </c>
      <c r="L7" s="229" t="s">
        <v>116</v>
      </c>
    </row>
    <row r="8" spans="1:12" x14ac:dyDescent="0.25">
      <c r="A8" s="304"/>
      <c r="B8" s="309" t="s">
        <v>117</v>
      </c>
      <c r="C8" s="321" t="s">
        <v>118</v>
      </c>
      <c r="D8" s="231">
        <v>41680</v>
      </c>
      <c r="E8" s="232">
        <v>4.1666666666666664E-2</v>
      </c>
      <c r="F8" s="233">
        <v>8.19</v>
      </c>
      <c r="G8" s="233">
        <v>0.1</v>
      </c>
      <c r="H8" s="233">
        <v>12.97</v>
      </c>
      <c r="I8" s="234">
        <v>1.87</v>
      </c>
      <c r="J8" s="233">
        <v>0.3</v>
      </c>
      <c r="K8" s="235">
        <v>0</v>
      </c>
      <c r="L8" s="236" t="s">
        <v>116</v>
      </c>
    </row>
    <row r="9" spans="1:12" x14ac:dyDescent="0.25">
      <c r="A9" s="304"/>
      <c r="B9" s="309"/>
      <c r="C9" s="321"/>
      <c r="D9" s="237">
        <v>41750</v>
      </c>
      <c r="E9" s="238">
        <v>0.49305555555555558</v>
      </c>
      <c r="F9" s="239">
        <v>8.25</v>
      </c>
      <c r="G9" s="239">
        <v>13.1</v>
      </c>
      <c r="H9" s="239">
        <v>11.78</v>
      </c>
      <c r="I9" s="240">
        <v>1.4</v>
      </c>
      <c r="J9" s="239">
        <v>0.14000000000000001</v>
      </c>
      <c r="K9" s="235">
        <v>0.5</v>
      </c>
      <c r="L9" s="236" t="s">
        <v>116</v>
      </c>
    </row>
    <row r="10" spans="1:12" x14ac:dyDescent="0.25">
      <c r="A10" s="304"/>
      <c r="B10" s="309"/>
      <c r="C10" s="321"/>
      <c r="D10" s="241">
        <v>41806</v>
      </c>
      <c r="E10" s="232">
        <v>0.40277777777777773</v>
      </c>
      <c r="F10" s="233">
        <v>8.1</v>
      </c>
      <c r="G10" s="233">
        <v>13.2</v>
      </c>
      <c r="H10" s="233">
        <v>10.47</v>
      </c>
      <c r="I10" s="234">
        <v>1.32</v>
      </c>
      <c r="J10" s="233">
        <v>0.35</v>
      </c>
      <c r="K10" s="235">
        <v>0.1</v>
      </c>
      <c r="L10" s="236" t="s">
        <v>116</v>
      </c>
    </row>
    <row r="11" spans="1:12" x14ac:dyDescent="0.25">
      <c r="A11" s="304"/>
      <c r="B11" s="309"/>
      <c r="C11" s="321"/>
      <c r="D11" s="241">
        <v>41869</v>
      </c>
      <c r="E11" s="232">
        <v>0.49652777777777773</v>
      </c>
      <c r="F11" s="233">
        <v>8.4</v>
      </c>
      <c r="G11" s="233">
        <v>16.399999999999999</v>
      </c>
      <c r="H11" s="233">
        <v>7.46</v>
      </c>
      <c r="I11" s="234">
        <v>1.1040000000000001</v>
      </c>
      <c r="J11" s="233">
        <v>0.28999999999999998</v>
      </c>
      <c r="K11" s="235">
        <v>0.35</v>
      </c>
      <c r="L11" s="236" t="s">
        <v>116</v>
      </c>
    </row>
    <row r="12" spans="1:12" x14ac:dyDescent="0.25">
      <c r="A12" s="304"/>
      <c r="B12" s="309"/>
      <c r="C12" s="321"/>
      <c r="D12" s="241">
        <v>41932</v>
      </c>
      <c r="E12" s="232">
        <v>0.52777777777777779</v>
      </c>
      <c r="F12" s="233">
        <v>8.0399999999999991</v>
      </c>
      <c r="G12" s="233">
        <v>10.6</v>
      </c>
      <c r="H12" s="233">
        <v>12.21</v>
      </c>
      <c r="I12" s="234">
        <v>1.23</v>
      </c>
      <c r="J12" s="233">
        <v>0.35</v>
      </c>
      <c r="K12" s="235">
        <v>1</v>
      </c>
      <c r="L12" s="236" t="s">
        <v>116</v>
      </c>
    </row>
    <row r="13" spans="1:12" x14ac:dyDescent="0.25">
      <c r="A13" s="304"/>
      <c r="B13" s="309"/>
      <c r="C13" s="321"/>
      <c r="D13" s="241">
        <v>41981</v>
      </c>
      <c r="E13" s="232">
        <v>0.50694444444444442</v>
      </c>
      <c r="F13" s="233">
        <v>7.99</v>
      </c>
      <c r="G13" s="233">
        <v>0.7</v>
      </c>
      <c r="H13" s="233">
        <v>13.8</v>
      </c>
      <c r="I13" s="242">
        <v>1.431</v>
      </c>
      <c r="J13" s="233">
        <v>0.17</v>
      </c>
      <c r="K13" s="235">
        <v>0.3</v>
      </c>
      <c r="L13" s="236" t="s">
        <v>116</v>
      </c>
    </row>
    <row r="14" spans="1:12" x14ac:dyDescent="0.25">
      <c r="A14" s="189"/>
      <c r="B14" s="190"/>
      <c r="C14" s="191"/>
      <c r="D14" s="192"/>
      <c r="E14" s="158"/>
      <c r="F14" s="158"/>
      <c r="G14" s="158"/>
      <c r="H14" s="158"/>
      <c r="I14" s="158"/>
      <c r="J14" s="158"/>
      <c r="K14" s="158"/>
      <c r="L14" s="158"/>
    </row>
    <row r="15" spans="1:12" ht="25" x14ac:dyDescent="0.25">
      <c r="A15" s="198" t="s">
        <v>102</v>
      </c>
      <c r="B15" s="198" t="s">
        <v>103</v>
      </c>
      <c r="C15" s="199" t="s">
        <v>104</v>
      </c>
      <c r="D15" s="198" t="s">
        <v>3</v>
      </c>
      <c r="E15" s="200" t="s">
        <v>89</v>
      </c>
      <c r="F15" s="200" t="s">
        <v>87</v>
      </c>
      <c r="G15" s="200" t="s">
        <v>133</v>
      </c>
      <c r="H15" s="200" t="s">
        <v>88</v>
      </c>
      <c r="I15" s="158"/>
      <c r="J15" s="201"/>
      <c r="K15" s="201"/>
      <c r="L15" s="202"/>
    </row>
    <row r="16" spans="1:12" x14ac:dyDescent="0.25">
      <c r="A16" s="304" t="s">
        <v>113</v>
      </c>
      <c r="B16" s="309" t="s">
        <v>114</v>
      </c>
      <c r="C16" s="310" t="s">
        <v>115</v>
      </c>
      <c r="D16" s="226">
        <v>41680</v>
      </c>
      <c r="E16" s="243">
        <v>2762</v>
      </c>
      <c r="F16" s="243">
        <v>17</v>
      </c>
      <c r="G16" s="243">
        <v>2186</v>
      </c>
      <c r="H16" s="243">
        <v>25</v>
      </c>
      <c r="I16" s="224"/>
      <c r="J16" s="158"/>
      <c r="K16" s="158"/>
      <c r="L16" s="158"/>
    </row>
    <row r="17" spans="1:12" x14ac:dyDescent="0.25">
      <c r="A17" s="304"/>
      <c r="B17" s="309"/>
      <c r="C17" s="310"/>
      <c r="D17" s="175">
        <v>41750</v>
      </c>
      <c r="E17" s="243">
        <v>737</v>
      </c>
      <c r="F17" s="243">
        <v>27</v>
      </c>
      <c r="G17" s="243">
        <v>314</v>
      </c>
      <c r="H17" s="243">
        <v>43</v>
      </c>
      <c r="I17" s="158"/>
      <c r="J17" s="158"/>
      <c r="K17" s="196"/>
      <c r="L17" s="197"/>
    </row>
    <row r="18" spans="1:12" x14ac:dyDescent="0.25">
      <c r="A18" s="304"/>
      <c r="B18" s="309"/>
      <c r="C18" s="310"/>
      <c r="D18" s="175">
        <v>41806</v>
      </c>
      <c r="E18" s="243">
        <v>1222</v>
      </c>
      <c r="F18" s="243">
        <v>20</v>
      </c>
      <c r="G18" s="243">
        <v>806</v>
      </c>
      <c r="H18" s="243">
        <v>83</v>
      </c>
      <c r="I18" s="158"/>
      <c r="J18" s="158"/>
      <c r="K18" s="196"/>
      <c r="L18" s="197"/>
    </row>
    <row r="19" spans="1:12" x14ac:dyDescent="0.25">
      <c r="A19" s="304"/>
      <c r="B19" s="309"/>
      <c r="C19" s="310"/>
      <c r="D19" s="175">
        <v>41869</v>
      </c>
      <c r="E19" s="243">
        <v>1017</v>
      </c>
      <c r="F19" s="243">
        <v>13</v>
      </c>
      <c r="G19" s="243">
        <v>485</v>
      </c>
      <c r="H19" s="243">
        <v>97</v>
      </c>
      <c r="I19" s="158"/>
      <c r="J19" s="158"/>
      <c r="K19" s="196"/>
      <c r="L19" s="197"/>
    </row>
    <row r="20" spans="1:12" x14ac:dyDescent="0.25">
      <c r="A20" s="304"/>
      <c r="B20" s="309"/>
      <c r="C20" s="310"/>
      <c r="D20" s="175">
        <v>41932</v>
      </c>
      <c r="E20" s="243">
        <v>1722</v>
      </c>
      <c r="F20" s="243">
        <v>11</v>
      </c>
      <c r="G20" s="243">
        <v>1170</v>
      </c>
      <c r="H20" s="243">
        <v>38</v>
      </c>
      <c r="I20" s="158"/>
      <c r="J20" s="158"/>
      <c r="K20" s="196"/>
      <c r="L20" s="197"/>
    </row>
    <row r="21" spans="1:12" x14ac:dyDescent="0.25">
      <c r="A21" s="304"/>
      <c r="B21" s="309"/>
      <c r="C21" s="310"/>
      <c r="D21" s="244">
        <v>41981</v>
      </c>
      <c r="E21" s="243">
        <v>2774</v>
      </c>
      <c r="F21" s="243">
        <v>19</v>
      </c>
      <c r="G21" s="243">
        <v>2323</v>
      </c>
      <c r="H21" s="243">
        <v>24</v>
      </c>
      <c r="I21" s="158"/>
      <c r="J21" s="158"/>
      <c r="K21" s="196"/>
      <c r="L21" s="197"/>
    </row>
    <row r="22" spans="1:12" x14ac:dyDescent="0.25">
      <c r="A22" s="304"/>
      <c r="B22" s="309" t="s">
        <v>117</v>
      </c>
      <c r="C22" s="310" t="s">
        <v>118</v>
      </c>
      <c r="D22" s="226">
        <v>41680</v>
      </c>
      <c r="E22" s="243">
        <v>2732</v>
      </c>
      <c r="F22" s="243">
        <v>14</v>
      </c>
      <c r="G22" s="243">
        <v>2111</v>
      </c>
      <c r="H22" s="243">
        <v>23</v>
      </c>
      <c r="I22" s="224"/>
      <c r="J22" s="158"/>
      <c r="K22" s="196"/>
      <c r="L22" s="197"/>
    </row>
    <row r="23" spans="1:12" x14ac:dyDescent="0.25">
      <c r="A23" s="304"/>
      <c r="B23" s="309"/>
      <c r="C23" s="310"/>
      <c r="D23" s="175">
        <v>41750</v>
      </c>
      <c r="E23" s="243">
        <v>684</v>
      </c>
      <c r="F23" s="243">
        <v>34</v>
      </c>
      <c r="G23" s="243">
        <v>199</v>
      </c>
      <c r="H23" s="243">
        <v>51</v>
      </c>
      <c r="I23" s="195"/>
      <c r="J23" s="158"/>
      <c r="K23" s="196"/>
      <c r="L23" s="197"/>
    </row>
    <row r="24" spans="1:12" x14ac:dyDescent="0.25">
      <c r="A24" s="304"/>
      <c r="B24" s="309"/>
      <c r="C24" s="310"/>
      <c r="D24" s="175">
        <v>41806</v>
      </c>
      <c r="E24" s="243">
        <v>1024</v>
      </c>
      <c r="F24" s="243">
        <v>28</v>
      </c>
      <c r="G24" s="243">
        <v>596</v>
      </c>
      <c r="H24" s="243">
        <v>63</v>
      </c>
      <c r="I24" s="158"/>
      <c r="J24" s="158"/>
      <c r="K24" s="158"/>
      <c r="L24" s="158"/>
    </row>
    <row r="25" spans="1:12" x14ac:dyDescent="0.25">
      <c r="A25" s="304"/>
      <c r="B25" s="309"/>
      <c r="C25" s="310"/>
      <c r="D25" s="175">
        <v>41869</v>
      </c>
      <c r="E25" s="243">
        <v>856</v>
      </c>
      <c r="F25" s="243">
        <v>21</v>
      </c>
      <c r="G25" s="243">
        <v>330</v>
      </c>
      <c r="H25" s="243">
        <v>85</v>
      </c>
      <c r="I25" s="158"/>
      <c r="J25" s="158"/>
      <c r="K25" s="158"/>
      <c r="L25" s="158"/>
    </row>
    <row r="26" spans="1:12" x14ac:dyDescent="0.25">
      <c r="A26" s="304"/>
      <c r="B26" s="309"/>
      <c r="C26" s="310"/>
      <c r="D26" s="175">
        <v>41932</v>
      </c>
      <c r="E26" s="243">
        <v>1410</v>
      </c>
      <c r="F26" s="243">
        <v>5</v>
      </c>
      <c r="G26" s="243">
        <v>874</v>
      </c>
      <c r="H26" s="243">
        <v>44</v>
      </c>
      <c r="I26" s="158"/>
      <c r="J26" s="158"/>
      <c r="K26" s="158"/>
      <c r="L26" s="158"/>
    </row>
    <row r="27" spans="1:12" x14ac:dyDescent="0.25">
      <c r="A27" s="304"/>
      <c r="B27" s="309"/>
      <c r="C27" s="310"/>
      <c r="D27" s="244">
        <v>41981</v>
      </c>
      <c r="E27" s="243">
        <v>2696</v>
      </c>
      <c r="F27" s="243">
        <v>15</v>
      </c>
      <c r="G27" s="243">
        <v>2246</v>
      </c>
      <c r="H27" s="243">
        <v>17</v>
      </c>
      <c r="I27" s="158"/>
      <c r="J27" s="158"/>
      <c r="K27" s="158"/>
      <c r="L27" s="158"/>
    </row>
    <row r="28" spans="1:12" x14ac:dyDescent="0.25">
      <c r="A28" s="203"/>
      <c r="B28" s="204"/>
      <c r="C28" s="204"/>
      <c r="D28" s="205"/>
      <c r="E28" s="205"/>
      <c r="F28" s="205"/>
      <c r="G28" s="205"/>
      <c r="H28" s="158"/>
      <c r="I28" s="158"/>
      <c r="J28" s="158"/>
      <c r="K28" s="158"/>
      <c r="L28" s="158"/>
    </row>
    <row r="29" spans="1:12" ht="14" x14ac:dyDescent="0.25">
      <c r="A29" s="203"/>
      <c r="B29" s="204"/>
      <c r="C29" s="204"/>
      <c r="D29" s="245">
        <v>60</v>
      </c>
      <c r="E29" s="245">
        <v>61</v>
      </c>
      <c r="F29" s="245">
        <v>61</v>
      </c>
      <c r="G29" s="245">
        <v>62</v>
      </c>
      <c r="H29" s="245">
        <v>61</v>
      </c>
      <c r="I29" s="245">
        <v>61</v>
      </c>
      <c r="J29" s="158"/>
      <c r="K29" s="158"/>
      <c r="L29" s="158"/>
    </row>
    <row r="30" spans="1:12" x14ac:dyDescent="0.25">
      <c r="A30" s="203"/>
      <c r="B30" s="204"/>
      <c r="C30" s="204"/>
      <c r="D30" s="207" t="s">
        <v>121</v>
      </c>
      <c r="E30" s="207" t="s">
        <v>122</v>
      </c>
      <c r="F30" s="208" t="s">
        <v>123</v>
      </c>
      <c r="G30" s="207" t="s">
        <v>124</v>
      </c>
      <c r="H30" s="207" t="s">
        <v>125</v>
      </c>
      <c r="I30" s="207" t="s">
        <v>126</v>
      </c>
      <c r="J30" s="158"/>
      <c r="K30" s="158"/>
      <c r="L30" s="158"/>
    </row>
    <row r="31" spans="1:12" x14ac:dyDescent="0.25">
      <c r="A31" s="203"/>
      <c r="B31" s="204"/>
      <c r="C31" s="204"/>
      <c r="D31" s="311" t="s">
        <v>76</v>
      </c>
      <c r="E31" s="312"/>
      <c r="F31" s="312"/>
      <c r="G31" s="312"/>
      <c r="H31" s="312"/>
      <c r="I31" s="313"/>
      <c r="J31" s="158"/>
      <c r="K31" s="158"/>
      <c r="L31" s="158"/>
    </row>
    <row r="32" spans="1:12" x14ac:dyDescent="0.25">
      <c r="A32" s="203"/>
      <c r="B32" s="204"/>
      <c r="C32" s="204" t="s">
        <v>96</v>
      </c>
      <c r="D32" s="161">
        <f>J2</f>
        <v>0.30099999999999999</v>
      </c>
      <c r="E32" s="161">
        <f>J3</f>
        <v>0.19800000000000001</v>
      </c>
      <c r="F32" s="161">
        <f>J4</f>
        <v>0.25</v>
      </c>
      <c r="G32" s="161">
        <f>J5</f>
        <v>0.28999999999999998</v>
      </c>
      <c r="H32" s="161">
        <f>J6</f>
        <v>0.38500000000000001</v>
      </c>
      <c r="I32" s="161">
        <f>J7</f>
        <v>0.39600000000000002</v>
      </c>
      <c r="J32" s="158"/>
      <c r="K32" s="158"/>
      <c r="L32" s="158"/>
    </row>
    <row r="33" spans="1:12" x14ac:dyDescent="0.25">
      <c r="A33" s="203"/>
      <c r="B33" s="204"/>
      <c r="C33" s="204" t="s">
        <v>99</v>
      </c>
      <c r="D33" s="161">
        <f>J8</f>
        <v>0.3</v>
      </c>
      <c r="E33" s="161">
        <f>J9</f>
        <v>0.14000000000000001</v>
      </c>
      <c r="F33" s="161">
        <f>J10</f>
        <v>0.35</v>
      </c>
      <c r="G33" s="161">
        <f>J11</f>
        <v>0.28999999999999998</v>
      </c>
      <c r="H33" s="161">
        <f>J12</f>
        <v>0.35</v>
      </c>
      <c r="I33" s="161">
        <f>J13</f>
        <v>0.17</v>
      </c>
      <c r="J33" s="158"/>
      <c r="K33" s="158"/>
      <c r="L33" s="158"/>
    </row>
    <row r="34" spans="1:12" x14ac:dyDescent="0.25">
      <c r="A34" s="203"/>
      <c r="B34" s="204"/>
      <c r="C34" s="204"/>
      <c r="D34" s="314" t="s">
        <v>127</v>
      </c>
      <c r="E34" s="315"/>
      <c r="F34" s="315"/>
      <c r="G34" s="315"/>
      <c r="H34" s="315"/>
      <c r="I34" s="316"/>
      <c r="J34" s="158"/>
      <c r="K34" s="158"/>
      <c r="L34" s="158"/>
    </row>
    <row r="35" spans="1:12" x14ac:dyDescent="0.25">
      <c r="A35" s="203"/>
      <c r="B35" s="204"/>
      <c r="C35" s="204" t="s">
        <v>96</v>
      </c>
      <c r="D35" s="211">
        <f>D32*1.983</f>
        <v>0.59688300000000005</v>
      </c>
      <c r="E35" s="211">
        <f t="shared" ref="E35:I36" si="0">E32*1.983</f>
        <v>0.39263400000000004</v>
      </c>
      <c r="F35" s="211">
        <f t="shared" si="0"/>
        <v>0.49575000000000002</v>
      </c>
      <c r="G35" s="211">
        <f t="shared" si="0"/>
        <v>0.57506999999999997</v>
      </c>
      <c r="H35" s="211">
        <f t="shared" si="0"/>
        <v>0.76345500000000011</v>
      </c>
      <c r="I35" s="211">
        <f t="shared" si="0"/>
        <v>0.78526800000000008</v>
      </c>
      <c r="J35" s="158"/>
      <c r="K35" s="158"/>
      <c r="L35" s="158"/>
    </row>
    <row r="36" spans="1:12" x14ac:dyDescent="0.25">
      <c r="A36" s="203"/>
      <c r="B36" s="204"/>
      <c r="C36" s="204" t="s">
        <v>99</v>
      </c>
      <c r="D36" s="211">
        <f>D33*1.983</f>
        <v>0.59489999999999998</v>
      </c>
      <c r="E36" s="211">
        <f t="shared" si="0"/>
        <v>0.27762000000000003</v>
      </c>
      <c r="F36" s="211">
        <f t="shared" si="0"/>
        <v>0.69404999999999994</v>
      </c>
      <c r="G36" s="211">
        <f t="shared" si="0"/>
        <v>0.57506999999999997</v>
      </c>
      <c r="H36" s="211">
        <f t="shared" si="0"/>
        <v>0.69404999999999994</v>
      </c>
      <c r="I36" s="211">
        <f t="shared" si="0"/>
        <v>0.33711000000000002</v>
      </c>
      <c r="J36" s="158"/>
      <c r="K36" s="158"/>
      <c r="L36" s="158"/>
    </row>
    <row r="37" spans="1:12" x14ac:dyDescent="0.25">
      <c r="A37" s="158"/>
      <c r="B37" s="158"/>
      <c r="C37" s="158"/>
      <c r="D37" s="317" t="s">
        <v>128</v>
      </c>
      <c r="E37" s="318"/>
      <c r="F37" s="318"/>
      <c r="G37" s="318"/>
      <c r="H37" s="318"/>
      <c r="I37" s="319"/>
      <c r="J37" s="158"/>
      <c r="K37" s="158"/>
      <c r="L37" s="158"/>
    </row>
    <row r="38" spans="1:12" x14ac:dyDescent="0.25">
      <c r="A38" s="203"/>
      <c r="B38" s="204"/>
      <c r="C38" s="204" t="s">
        <v>96</v>
      </c>
      <c r="D38" s="212">
        <v>35.812980000000003</v>
      </c>
      <c r="E38" s="212">
        <v>23.558040000000002</v>
      </c>
      <c r="F38" s="212">
        <v>29.745000000000001</v>
      </c>
      <c r="G38" s="212">
        <v>34.504199999999997</v>
      </c>
      <c r="H38" s="212">
        <v>45.807300000000005</v>
      </c>
      <c r="I38" s="212">
        <v>47.116080000000004</v>
      </c>
      <c r="J38" s="213">
        <f>SUM(D38:I38)</f>
        <v>216.54360000000003</v>
      </c>
      <c r="K38" s="158"/>
      <c r="L38" s="158"/>
    </row>
    <row r="39" spans="1:12" x14ac:dyDescent="0.25">
      <c r="A39" s="203"/>
      <c r="B39" s="204"/>
      <c r="C39" s="204" t="s">
        <v>99</v>
      </c>
      <c r="D39" s="212">
        <v>35.694000000000003</v>
      </c>
      <c r="E39" s="212">
        <v>16.934820000000002</v>
      </c>
      <c r="F39" s="212">
        <v>42.337049999999998</v>
      </c>
      <c r="G39" s="212">
        <v>35.654339999999998</v>
      </c>
      <c r="H39" s="212">
        <v>42.337049999999998</v>
      </c>
      <c r="I39" s="212">
        <v>20.56371</v>
      </c>
      <c r="J39" s="213">
        <f>SUM(D39:I39)</f>
        <v>193.52096999999998</v>
      </c>
      <c r="K39" s="158"/>
      <c r="L39" s="158"/>
    </row>
    <row r="40" spans="1:12" x14ac:dyDescent="0.25">
      <c r="A40" s="203"/>
      <c r="B40" s="204"/>
      <c r="C40" s="204"/>
      <c r="D40" s="205"/>
      <c r="E40" s="205"/>
      <c r="F40" s="205"/>
      <c r="G40" s="205"/>
      <c r="H40" s="158"/>
      <c r="I40" s="158"/>
      <c r="J40" s="158"/>
      <c r="K40" s="158"/>
      <c r="L40" s="158"/>
    </row>
    <row r="41" spans="1:12" x14ac:dyDescent="0.25">
      <c r="A41" s="203"/>
      <c r="B41" s="204"/>
      <c r="C41" s="204"/>
      <c r="D41" s="246">
        <v>2.7230000000000002E-3</v>
      </c>
      <c r="E41" s="205"/>
      <c r="F41" s="214"/>
      <c r="G41" s="205"/>
      <c r="H41" s="158"/>
      <c r="I41" s="158"/>
      <c r="J41" s="158"/>
      <c r="K41" s="158"/>
      <c r="L41" s="158"/>
    </row>
    <row r="42" spans="1:12" x14ac:dyDescent="0.25">
      <c r="A42" s="203"/>
      <c r="B42" s="204"/>
      <c r="C42" s="204"/>
      <c r="D42" s="215"/>
      <c r="E42" s="158"/>
      <c r="F42" s="216" t="s">
        <v>129</v>
      </c>
      <c r="G42" s="216"/>
      <c r="H42" s="216"/>
      <c r="I42" s="216"/>
      <c r="J42" s="158"/>
      <c r="K42" s="158"/>
      <c r="L42" s="158"/>
    </row>
    <row r="43" spans="1:12" ht="25" x14ac:dyDescent="0.25">
      <c r="A43" s="203"/>
      <c r="B43" s="204"/>
      <c r="C43" s="199" t="s">
        <v>104</v>
      </c>
      <c r="D43" s="198" t="s">
        <v>3</v>
      </c>
      <c r="E43" s="217" t="s">
        <v>130</v>
      </c>
      <c r="F43" s="200" t="s">
        <v>89</v>
      </c>
      <c r="G43" s="200" t="s">
        <v>87</v>
      </c>
      <c r="H43" s="200" t="s">
        <v>98</v>
      </c>
      <c r="I43" s="200" t="s">
        <v>88</v>
      </c>
      <c r="J43" s="158"/>
      <c r="K43" s="158"/>
      <c r="L43" s="158"/>
    </row>
    <row r="44" spans="1:12" x14ac:dyDescent="0.25">
      <c r="A44" s="203"/>
      <c r="B44" s="204"/>
      <c r="C44" s="310" t="s">
        <v>115</v>
      </c>
      <c r="D44" s="207" t="s">
        <v>121</v>
      </c>
      <c r="E44" s="247">
        <v>35.812980000000003</v>
      </c>
      <c r="F44" s="248">
        <v>269.34677241948003</v>
      </c>
      <c r="G44" s="248">
        <v>1.6578186571800002</v>
      </c>
      <c r="H44" s="248">
        <v>213.17597556444002</v>
      </c>
      <c r="I44" s="248">
        <v>2.4379686135000003</v>
      </c>
      <c r="J44" s="219"/>
      <c r="K44" s="220"/>
      <c r="L44" s="158"/>
    </row>
    <row r="45" spans="1:12" x14ac:dyDescent="0.25">
      <c r="A45" s="203"/>
      <c r="B45" s="204"/>
      <c r="C45" s="310"/>
      <c r="D45" s="207" t="s">
        <v>122</v>
      </c>
      <c r="E45" s="247">
        <v>23.558040000000002</v>
      </c>
      <c r="F45" s="248">
        <v>47.277476132040007</v>
      </c>
      <c r="G45" s="248">
        <v>1.7320106588400002</v>
      </c>
      <c r="H45" s="248">
        <v>20.142642476880003</v>
      </c>
      <c r="I45" s="248">
        <v>2.7583873455600005</v>
      </c>
      <c r="J45" s="158"/>
      <c r="K45" s="220"/>
      <c r="L45" s="158"/>
    </row>
    <row r="46" spans="1:12" x14ac:dyDescent="0.25">
      <c r="A46" s="158"/>
      <c r="B46" s="158"/>
      <c r="C46" s="310"/>
      <c r="D46" s="208" t="s">
        <v>123</v>
      </c>
      <c r="E46" s="247">
        <v>29.745000000000001</v>
      </c>
      <c r="F46" s="248">
        <v>98.976665970000013</v>
      </c>
      <c r="G46" s="248">
        <v>1.6199127000000002</v>
      </c>
      <c r="H46" s="248">
        <v>65.282481810000007</v>
      </c>
      <c r="I46" s="248">
        <v>6.7226377050000012</v>
      </c>
      <c r="J46" s="158"/>
      <c r="K46" s="220"/>
      <c r="L46" s="158"/>
    </row>
    <row r="47" spans="1:12" x14ac:dyDescent="0.25">
      <c r="A47" s="203"/>
      <c r="B47" s="204"/>
      <c r="C47" s="310"/>
      <c r="D47" s="207" t="s">
        <v>124</v>
      </c>
      <c r="E47" s="247">
        <v>34.504199999999997</v>
      </c>
      <c r="F47" s="248">
        <v>95.552170522200001</v>
      </c>
      <c r="G47" s="248">
        <v>1.2214141757999999</v>
      </c>
      <c r="H47" s="248">
        <v>45.568144251</v>
      </c>
      <c r="I47" s="248">
        <v>9.1136288501999996</v>
      </c>
      <c r="J47" s="158"/>
      <c r="K47" s="220"/>
      <c r="L47" s="158"/>
    </row>
    <row r="48" spans="1:12" x14ac:dyDescent="0.25">
      <c r="A48" s="203"/>
      <c r="B48" s="204"/>
      <c r="C48" s="310"/>
      <c r="D48" s="207" t="s">
        <v>125</v>
      </c>
      <c r="E48" s="247">
        <v>45.807300000000005</v>
      </c>
      <c r="F48" s="248">
        <v>214.79070454380005</v>
      </c>
      <c r="G48" s="248">
        <v>1.3720660569000003</v>
      </c>
      <c r="H48" s="248">
        <v>145.93793514300003</v>
      </c>
      <c r="I48" s="248">
        <v>4.7398645602000009</v>
      </c>
      <c r="J48" s="158"/>
      <c r="K48" s="220"/>
      <c r="L48" s="158"/>
    </row>
    <row r="49" spans="1:12" x14ac:dyDescent="0.25">
      <c r="A49" s="203"/>
      <c r="B49" s="204"/>
      <c r="C49" s="310"/>
      <c r="D49" s="207" t="s">
        <v>126</v>
      </c>
      <c r="E49" s="247">
        <v>47.116080000000004</v>
      </c>
      <c r="F49" s="248">
        <v>355.89611612016006</v>
      </c>
      <c r="G49" s="248">
        <v>2.4376446309600004</v>
      </c>
      <c r="H49" s="248">
        <v>298.03413040632006</v>
      </c>
      <c r="I49" s="248">
        <v>3.0791300601600007</v>
      </c>
      <c r="J49" s="158"/>
      <c r="K49" s="220"/>
      <c r="L49" s="158"/>
    </row>
    <row r="50" spans="1:12" x14ac:dyDescent="0.25">
      <c r="A50" s="203"/>
      <c r="B50" s="204"/>
      <c r="C50" s="310" t="s">
        <v>118</v>
      </c>
      <c r="D50" s="207" t="s">
        <v>121</v>
      </c>
      <c r="E50" s="248">
        <v>35.694000000000003</v>
      </c>
      <c r="F50" s="248">
        <v>265.53608978400007</v>
      </c>
      <c r="G50" s="248">
        <v>1.3607266680000003</v>
      </c>
      <c r="H50" s="248">
        <v>205.17814258200005</v>
      </c>
      <c r="I50" s="248">
        <v>2.2354795260000002</v>
      </c>
      <c r="J50" s="219"/>
      <c r="K50" s="220"/>
      <c r="L50" s="158"/>
    </row>
    <row r="51" spans="1:12" x14ac:dyDescent="0.25">
      <c r="A51" s="203"/>
      <c r="B51" s="204"/>
      <c r="C51" s="310"/>
      <c r="D51" s="207" t="s">
        <v>122</v>
      </c>
      <c r="E51" s="248">
        <v>16.934820000000002</v>
      </c>
      <c r="F51" s="248">
        <v>31.541644164240008</v>
      </c>
      <c r="G51" s="248">
        <v>1.5678595052400004</v>
      </c>
      <c r="H51" s="248">
        <v>9.1765894571400022</v>
      </c>
      <c r="I51" s="248">
        <v>2.3517892578600006</v>
      </c>
      <c r="J51" s="158"/>
      <c r="K51" s="220"/>
      <c r="L51" s="158"/>
    </row>
    <row r="52" spans="1:12" x14ac:dyDescent="0.25">
      <c r="A52" s="203"/>
      <c r="B52" s="204"/>
      <c r="C52" s="310"/>
      <c r="D52" s="208" t="s">
        <v>123</v>
      </c>
      <c r="E52" s="248">
        <v>42.337049999999998</v>
      </c>
      <c r="F52" s="248">
        <v>118.0505980416</v>
      </c>
      <c r="G52" s="248">
        <v>3.2279460402</v>
      </c>
      <c r="H52" s="248">
        <v>68.709137141399992</v>
      </c>
      <c r="I52" s="248">
        <v>7.2628785904499997</v>
      </c>
      <c r="J52" s="158"/>
      <c r="K52" s="158"/>
      <c r="L52" s="158"/>
    </row>
    <row r="53" spans="1:12" x14ac:dyDescent="0.25">
      <c r="A53" s="203"/>
      <c r="B53" s="204"/>
      <c r="C53" s="310"/>
      <c r="D53" s="207" t="s">
        <v>124</v>
      </c>
      <c r="E53" s="248">
        <v>35.654339999999998</v>
      </c>
      <c r="F53" s="248">
        <v>83.106273253920008</v>
      </c>
      <c r="G53" s="248">
        <v>2.0388221242200002</v>
      </c>
      <c r="H53" s="248">
        <v>32.038633380600004</v>
      </c>
      <c r="I53" s="248">
        <v>8.2523752646999995</v>
      </c>
      <c r="J53" s="158"/>
      <c r="K53" s="158"/>
      <c r="L53" s="158"/>
    </row>
    <row r="54" spans="1:12" x14ac:dyDescent="0.25">
      <c r="A54" s="203"/>
      <c r="B54" s="204"/>
      <c r="C54" s="310"/>
      <c r="D54" s="207" t="s">
        <v>125</v>
      </c>
      <c r="E54" s="247">
        <v>42.337049999999998</v>
      </c>
      <c r="F54" s="248">
        <v>162.5501398815</v>
      </c>
      <c r="G54" s="248">
        <v>0.57641893575000003</v>
      </c>
      <c r="H54" s="248">
        <v>100.75802996909999</v>
      </c>
      <c r="I54" s="248">
        <v>5.0724866345999997</v>
      </c>
      <c r="J54" s="158"/>
      <c r="K54" s="158"/>
      <c r="L54" s="158"/>
    </row>
    <row r="55" spans="1:12" x14ac:dyDescent="0.25">
      <c r="A55" s="203"/>
      <c r="B55" s="204"/>
      <c r="C55" s="310"/>
      <c r="D55" s="207" t="s">
        <v>126</v>
      </c>
      <c r="E55" s="248">
        <v>20.56371</v>
      </c>
      <c r="F55" s="248">
        <v>150.96247236168003</v>
      </c>
      <c r="G55" s="248">
        <v>0.83992473495000008</v>
      </c>
      <c r="H55" s="248">
        <v>125.76473031318001</v>
      </c>
      <c r="I55" s="248">
        <v>0.95191469961000008</v>
      </c>
      <c r="J55" s="158"/>
      <c r="K55" s="158"/>
      <c r="L55" s="158"/>
    </row>
    <row r="56" spans="1:12" x14ac:dyDescent="0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5">
      <c r="A57" s="203"/>
      <c r="B57" s="204"/>
      <c r="C57" s="204"/>
      <c r="D57" s="215"/>
      <c r="E57" s="320" t="s">
        <v>132</v>
      </c>
      <c r="F57" s="320"/>
      <c r="G57" s="320"/>
      <c r="H57" s="320"/>
      <c r="I57" s="320"/>
      <c r="J57" s="158"/>
      <c r="K57" s="158"/>
      <c r="L57" s="158"/>
    </row>
    <row r="58" spans="1:12" ht="34.5" x14ac:dyDescent="0.25">
      <c r="A58" s="203"/>
      <c r="B58" s="204"/>
      <c r="C58" s="204"/>
      <c r="D58" s="215"/>
      <c r="E58" s="249" t="s">
        <v>97</v>
      </c>
      <c r="F58" s="250" t="s">
        <v>89</v>
      </c>
      <c r="G58" s="250" t="s">
        <v>87</v>
      </c>
      <c r="H58" s="250" t="s">
        <v>98</v>
      </c>
      <c r="I58" s="250" t="s">
        <v>88</v>
      </c>
      <c r="J58" s="158"/>
      <c r="K58" s="158"/>
      <c r="L58" s="158"/>
    </row>
    <row r="59" spans="1:12" x14ac:dyDescent="0.25">
      <c r="A59" s="203"/>
      <c r="B59" s="204"/>
      <c r="C59" s="204" t="s">
        <v>96</v>
      </c>
      <c r="D59" s="205"/>
      <c r="E59" s="218">
        <v>216.54360000000003</v>
      </c>
      <c r="F59" s="218">
        <v>1081.8399057076801</v>
      </c>
      <c r="G59" s="218">
        <v>10.040866879680001</v>
      </c>
      <c r="H59" s="218">
        <v>788.14130965164009</v>
      </c>
      <c r="I59" s="218">
        <v>28.851617134620003</v>
      </c>
      <c r="J59" s="158"/>
      <c r="K59" s="158"/>
      <c r="L59" s="158"/>
    </row>
    <row r="60" spans="1:12" x14ac:dyDescent="0.25">
      <c r="A60" s="203"/>
      <c r="B60" s="204"/>
      <c r="C60" s="204" t="s">
        <v>99</v>
      </c>
      <c r="D60" s="205"/>
      <c r="E60" s="218">
        <v>193.52096999999998</v>
      </c>
      <c r="F60" s="218">
        <v>811.74721748694014</v>
      </c>
      <c r="G60" s="218">
        <v>9.6116980083599994</v>
      </c>
      <c r="H60" s="218">
        <v>541.62526284342005</v>
      </c>
      <c r="I60" s="218">
        <v>26.126923973220002</v>
      </c>
      <c r="J60" s="158"/>
      <c r="K60" s="158"/>
      <c r="L60" s="158"/>
    </row>
    <row r="61" spans="1:12" x14ac:dyDescent="0.25">
      <c r="A61" s="203"/>
      <c r="B61" s="204"/>
      <c r="C61" s="204"/>
      <c r="D61" s="205"/>
      <c r="E61" s="205"/>
      <c r="F61" s="214"/>
      <c r="G61" s="205" t="s">
        <v>100</v>
      </c>
      <c r="H61" s="158"/>
      <c r="I61" s="158"/>
      <c r="J61" s="158"/>
      <c r="K61" s="158"/>
      <c r="L61" s="158"/>
    </row>
    <row r="62" spans="1:12" x14ac:dyDescent="0.25">
      <c r="A62" s="203"/>
      <c r="B62" s="204"/>
      <c r="C62" s="204" t="s">
        <v>96</v>
      </c>
      <c r="D62" s="215"/>
      <c r="E62" s="218"/>
      <c r="F62" s="218">
        <v>180.30665095128003</v>
      </c>
      <c r="G62" s="218">
        <v>1.6734778132800001</v>
      </c>
      <c r="H62" s="218">
        <v>131.35688494194002</v>
      </c>
      <c r="I62" s="218">
        <v>4.8086028557700002</v>
      </c>
      <c r="J62" s="158"/>
      <c r="K62" s="158"/>
      <c r="L62" s="158"/>
    </row>
    <row r="63" spans="1:12" x14ac:dyDescent="0.25">
      <c r="A63" s="203"/>
      <c r="B63" s="204"/>
      <c r="C63" s="204" t="s">
        <v>99</v>
      </c>
      <c r="D63" s="205"/>
      <c r="E63" s="218"/>
      <c r="F63" s="218">
        <v>135.29120291449001</v>
      </c>
      <c r="G63" s="218">
        <v>1.6019496680599998</v>
      </c>
      <c r="H63" s="218">
        <v>90.270877140570008</v>
      </c>
      <c r="I63" s="218">
        <v>4.3544873288700003</v>
      </c>
      <c r="J63" s="158"/>
      <c r="K63" s="158"/>
      <c r="L63" s="158"/>
    </row>
  </sheetData>
  <mergeCells count="16">
    <mergeCell ref="E57:I57"/>
    <mergeCell ref="A2:A13"/>
    <mergeCell ref="B2:B7"/>
    <mergeCell ref="C2:C7"/>
    <mergeCell ref="B8:B13"/>
    <mergeCell ref="C8:C13"/>
    <mergeCell ref="A16:A27"/>
    <mergeCell ref="B16:B21"/>
    <mergeCell ref="C16:C21"/>
    <mergeCell ref="B22:B27"/>
    <mergeCell ref="C22:C27"/>
    <mergeCell ref="D31:I31"/>
    <mergeCell ref="D34:I34"/>
    <mergeCell ref="D37:I37"/>
    <mergeCell ref="C44:C49"/>
    <mergeCell ref="C50:C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7"/>
  <sheetViews>
    <sheetView topLeftCell="A43" workbookViewId="0">
      <selection activeCell="D86" sqref="D86:E87"/>
    </sheetView>
  </sheetViews>
  <sheetFormatPr defaultRowHeight="12.5" x14ac:dyDescent="0.25"/>
  <cols>
    <col min="1" max="1" width="11" bestFit="1" customWidth="1"/>
    <col min="3" max="3" width="11.36328125" bestFit="1" customWidth="1"/>
    <col min="4" max="4" width="10.81640625" bestFit="1" customWidth="1"/>
    <col min="8" max="8" width="11.453125" bestFit="1" customWidth="1"/>
    <col min="9" max="9" width="11.1796875" bestFit="1" customWidth="1"/>
    <col min="11" max="11" width="15.81640625" customWidth="1"/>
  </cols>
  <sheetData>
    <row r="1" spans="1:12" ht="25" x14ac:dyDescent="0.25">
      <c r="A1" s="150" t="s">
        <v>102</v>
      </c>
      <c r="B1" s="151" t="s">
        <v>103</v>
      </c>
      <c r="C1" s="152" t="s">
        <v>104</v>
      </c>
      <c r="D1" s="151" t="s">
        <v>3</v>
      </c>
      <c r="E1" s="151" t="s">
        <v>105</v>
      </c>
      <c r="F1" s="153" t="s">
        <v>106</v>
      </c>
      <c r="G1" s="154" t="s">
        <v>107</v>
      </c>
      <c r="H1" s="153" t="s">
        <v>108</v>
      </c>
      <c r="I1" s="155" t="s">
        <v>109</v>
      </c>
      <c r="J1" s="153" t="s">
        <v>110</v>
      </c>
      <c r="K1" s="156" t="s">
        <v>111</v>
      </c>
      <c r="L1" s="156" t="s">
        <v>112</v>
      </c>
    </row>
    <row r="2" spans="1:12" x14ac:dyDescent="0.25">
      <c r="A2" s="304" t="s">
        <v>113</v>
      </c>
      <c r="B2" s="309" t="s">
        <v>114</v>
      </c>
      <c r="C2" s="310" t="s">
        <v>115</v>
      </c>
      <c r="D2" s="226">
        <v>42052</v>
      </c>
      <c r="E2" s="160">
        <v>0.4375</v>
      </c>
      <c r="F2" s="161">
        <v>8.2200000000000006</v>
      </c>
      <c r="G2" s="162">
        <v>0.6</v>
      </c>
      <c r="H2" s="161">
        <v>13.3</v>
      </c>
      <c r="I2" s="255">
        <v>1530</v>
      </c>
      <c r="J2" s="161">
        <v>0.11</v>
      </c>
      <c r="K2" s="164">
        <v>0.01</v>
      </c>
      <c r="L2" s="227" t="s">
        <v>116</v>
      </c>
    </row>
    <row r="3" spans="1:12" x14ac:dyDescent="0.25">
      <c r="A3" s="304"/>
      <c r="B3" s="309"/>
      <c r="C3" s="310"/>
      <c r="D3" s="168">
        <v>42114</v>
      </c>
      <c r="E3" s="169">
        <v>0.4548611111111111</v>
      </c>
      <c r="F3" s="170">
        <v>8.0399999999999991</v>
      </c>
      <c r="G3" s="170">
        <v>7.2</v>
      </c>
      <c r="H3" s="170">
        <v>11.38</v>
      </c>
      <c r="I3" s="256">
        <v>977</v>
      </c>
      <c r="J3" s="170">
        <v>1.87</v>
      </c>
      <c r="K3" s="172">
        <v>0.2</v>
      </c>
      <c r="L3" s="228" t="s">
        <v>116</v>
      </c>
    </row>
    <row r="4" spans="1:12" x14ac:dyDescent="0.25">
      <c r="A4" s="304"/>
      <c r="B4" s="309"/>
      <c r="C4" s="310"/>
      <c r="D4" s="175">
        <v>42170</v>
      </c>
      <c r="E4" s="176">
        <v>0.5</v>
      </c>
      <c r="F4" s="177">
        <v>7.65</v>
      </c>
      <c r="G4" s="177">
        <v>15.4</v>
      </c>
      <c r="H4" s="177">
        <v>9.4700000000000006</v>
      </c>
      <c r="I4" s="257">
        <v>1215</v>
      </c>
      <c r="J4" s="177">
        <v>2.3140000000000001</v>
      </c>
      <c r="K4" s="179">
        <v>0.2</v>
      </c>
      <c r="L4" s="229" t="s">
        <v>119</v>
      </c>
    </row>
    <row r="5" spans="1:12" x14ac:dyDescent="0.25">
      <c r="A5" s="304"/>
      <c r="B5" s="309"/>
      <c r="C5" s="310"/>
      <c r="D5" s="175">
        <v>42227</v>
      </c>
      <c r="E5" s="181">
        <v>0.4236111111111111</v>
      </c>
      <c r="F5" s="182">
        <v>7.91</v>
      </c>
      <c r="G5" s="182">
        <v>14.9</v>
      </c>
      <c r="H5" s="182">
        <v>8.23</v>
      </c>
      <c r="I5" s="258">
        <v>1472</v>
      </c>
      <c r="J5" s="182">
        <v>1.71</v>
      </c>
      <c r="K5" s="184">
        <v>0.1</v>
      </c>
      <c r="L5" s="229" t="s">
        <v>116</v>
      </c>
    </row>
    <row r="6" spans="1:12" x14ac:dyDescent="0.25">
      <c r="A6" s="304"/>
      <c r="B6" s="309"/>
      <c r="C6" s="310"/>
      <c r="D6" s="175">
        <v>42296</v>
      </c>
      <c r="E6" s="181">
        <v>0.48958333333333331</v>
      </c>
      <c r="F6" s="182">
        <v>7.71</v>
      </c>
      <c r="G6" s="182">
        <v>10</v>
      </c>
      <c r="H6" s="182">
        <v>12.02</v>
      </c>
      <c r="I6" s="258">
        <v>1493</v>
      </c>
      <c r="J6" s="182">
        <v>0.91500000000000004</v>
      </c>
      <c r="K6" s="184">
        <v>0.05</v>
      </c>
      <c r="L6" s="229" t="s">
        <v>116</v>
      </c>
    </row>
    <row r="7" spans="1:12" x14ac:dyDescent="0.25">
      <c r="A7" s="304"/>
      <c r="B7" s="309"/>
      <c r="C7" s="310"/>
      <c r="D7" s="230">
        <v>42345</v>
      </c>
      <c r="E7" s="181">
        <v>0.40277777777777773</v>
      </c>
      <c r="F7" s="182">
        <v>8.09</v>
      </c>
      <c r="G7" s="182">
        <v>1.5</v>
      </c>
      <c r="H7" s="182">
        <v>16.04</v>
      </c>
      <c r="I7" s="258">
        <v>1760</v>
      </c>
      <c r="J7" s="182">
        <v>0.255</v>
      </c>
      <c r="K7" s="184">
        <v>0.5</v>
      </c>
      <c r="L7" s="229" t="s">
        <v>116</v>
      </c>
    </row>
    <row r="8" spans="1:12" x14ac:dyDescent="0.25">
      <c r="A8" s="304"/>
      <c r="B8" s="309" t="s">
        <v>117</v>
      </c>
      <c r="C8" s="321" t="s">
        <v>118</v>
      </c>
      <c r="D8" s="231">
        <v>42052</v>
      </c>
      <c r="E8" s="232">
        <v>0.44444444444444442</v>
      </c>
      <c r="F8" s="233">
        <v>8.31</v>
      </c>
      <c r="G8" s="233">
        <v>0.4</v>
      </c>
      <c r="H8" s="233">
        <v>15.35</v>
      </c>
      <c r="I8" s="259">
        <v>1480</v>
      </c>
      <c r="J8" s="233">
        <v>0.311</v>
      </c>
      <c r="K8" s="235">
        <v>0.1</v>
      </c>
      <c r="L8" s="236" t="s">
        <v>116</v>
      </c>
    </row>
    <row r="9" spans="1:12" x14ac:dyDescent="0.25">
      <c r="A9" s="304"/>
      <c r="B9" s="309"/>
      <c r="C9" s="321"/>
      <c r="D9" s="237">
        <v>42114</v>
      </c>
      <c r="E9" s="238">
        <v>0.45833333333333331</v>
      </c>
      <c r="F9" s="239">
        <v>8.15</v>
      </c>
      <c r="G9" s="239">
        <v>7.8</v>
      </c>
      <c r="H9" s="239">
        <v>10.29</v>
      </c>
      <c r="I9" s="260">
        <v>965</v>
      </c>
      <c r="J9" s="239">
        <v>1.44</v>
      </c>
      <c r="K9" s="235">
        <v>0.25</v>
      </c>
      <c r="L9" s="236" t="s">
        <v>116</v>
      </c>
    </row>
    <row r="10" spans="1:12" x14ac:dyDescent="0.25">
      <c r="A10" s="304"/>
      <c r="B10" s="309"/>
      <c r="C10" s="321"/>
      <c r="D10" s="241">
        <v>42170</v>
      </c>
      <c r="E10" s="232"/>
      <c r="F10" s="233"/>
      <c r="G10" s="233"/>
      <c r="H10" s="233"/>
      <c r="I10" s="259"/>
      <c r="J10" s="233"/>
      <c r="K10" s="235"/>
      <c r="L10" s="236"/>
    </row>
    <row r="11" spans="1:12" x14ac:dyDescent="0.25">
      <c r="A11" s="304"/>
      <c r="B11" s="309"/>
      <c r="C11" s="321"/>
      <c r="D11" s="241">
        <v>42227</v>
      </c>
      <c r="E11" s="232">
        <v>0.42708333333333331</v>
      </c>
      <c r="F11" s="233">
        <v>8.0299999999999994</v>
      </c>
      <c r="G11" s="233">
        <v>16.399999999999999</v>
      </c>
      <c r="H11" s="233">
        <v>9.93</v>
      </c>
      <c r="I11" s="259">
        <v>1429</v>
      </c>
      <c r="J11" s="233">
        <v>0.82699999999999996</v>
      </c>
      <c r="K11" s="235">
        <v>0.15</v>
      </c>
      <c r="L11" s="236" t="s">
        <v>116</v>
      </c>
    </row>
    <row r="12" spans="1:12" x14ac:dyDescent="0.25">
      <c r="A12" s="304"/>
      <c r="B12" s="309"/>
      <c r="C12" s="321"/>
      <c r="D12" s="241">
        <v>42296</v>
      </c>
      <c r="E12" s="232">
        <v>0.49652777777777773</v>
      </c>
      <c r="F12" s="233">
        <v>7.92</v>
      </c>
      <c r="G12" s="233">
        <v>10.4</v>
      </c>
      <c r="H12" s="233">
        <v>13.9</v>
      </c>
      <c r="I12" s="259">
        <v>1420</v>
      </c>
      <c r="J12" s="233">
        <v>0.74</v>
      </c>
      <c r="K12" s="235">
        <v>0.8</v>
      </c>
      <c r="L12" s="236" t="s">
        <v>116</v>
      </c>
    </row>
    <row r="13" spans="1:12" x14ac:dyDescent="0.25">
      <c r="A13" s="304"/>
      <c r="B13" s="309"/>
      <c r="C13" s="321"/>
      <c r="D13" s="241">
        <v>42345</v>
      </c>
      <c r="E13" s="232">
        <v>0.40972222222222227</v>
      </c>
      <c r="F13" s="233">
        <v>8.11</v>
      </c>
      <c r="G13" s="233">
        <v>1.4</v>
      </c>
      <c r="H13" s="233">
        <v>17.059999999999999</v>
      </c>
      <c r="I13" s="261">
        <v>1019</v>
      </c>
      <c r="J13" s="233">
        <v>0.17899999999999999</v>
      </c>
      <c r="K13" s="235">
        <v>0.8</v>
      </c>
      <c r="L13" s="236" t="s">
        <v>116</v>
      </c>
    </row>
    <row r="14" spans="1:12" x14ac:dyDescent="0.25">
      <c r="A14" s="189"/>
      <c r="B14" s="190"/>
      <c r="C14" s="191"/>
      <c r="D14" s="192"/>
      <c r="E14" s="158"/>
      <c r="F14" s="158"/>
      <c r="G14" s="158"/>
      <c r="H14" s="158"/>
      <c r="I14" s="158"/>
      <c r="J14" s="158"/>
      <c r="K14" s="158"/>
      <c r="L14" s="158"/>
    </row>
    <row r="15" spans="1:12" ht="25" x14ac:dyDescent="0.25">
      <c r="A15" s="198" t="s">
        <v>102</v>
      </c>
      <c r="B15" s="198" t="s">
        <v>103</v>
      </c>
      <c r="C15" s="199" t="s">
        <v>104</v>
      </c>
      <c r="D15" s="198" t="s">
        <v>3</v>
      </c>
      <c r="E15" s="200" t="s">
        <v>89</v>
      </c>
      <c r="F15" s="200" t="s">
        <v>87</v>
      </c>
      <c r="G15" s="200" t="s">
        <v>133</v>
      </c>
      <c r="H15" s="200" t="s">
        <v>88</v>
      </c>
      <c r="I15" s="158"/>
      <c r="J15" s="201"/>
      <c r="K15" s="201"/>
      <c r="L15" s="202"/>
    </row>
    <row r="16" spans="1:12" x14ac:dyDescent="0.25">
      <c r="A16" s="304" t="s">
        <v>113</v>
      </c>
      <c r="B16" s="309" t="s">
        <v>114</v>
      </c>
      <c r="C16" s="310" t="s">
        <v>115</v>
      </c>
      <c r="D16" s="226">
        <v>42052</v>
      </c>
      <c r="E16" s="243">
        <v>1677</v>
      </c>
      <c r="F16" s="243">
        <v>43</v>
      </c>
      <c r="G16" s="243">
        <v>1108</v>
      </c>
      <c r="H16" s="243">
        <v>24</v>
      </c>
      <c r="I16" s="224"/>
      <c r="K16" s="158"/>
      <c r="L16" s="158"/>
    </row>
    <row r="17" spans="1:12" x14ac:dyDescent="0.25">
      <c r="A17" s="304"/>
      <c r="B17" s="309"/>
      <c r="C17" s="310"/>
      <c r="D17" s="175">
        <v>42114</v>
      </c>
      <c r="E17" s="243">
        <v>2005</v>
      </c>
      <c r="F17" s="243">
        <v>20</v>
      </c>
      <c r="G17" s="243">
        <v>1487</v>
      </c>
      <c r="H17" s="243">
        <v>67</v>
      </c>
      <c r="I17" s="158"/>
      <c r="K17" s="196"/>
      <c r="L17" s="197"/>
    </row>
    <row r="18" spans="1:12" x14ac:dyDescent="0.25">
      <c r="A18" s="304"/>
      <c r="B18" s="309"/>
      <c r="C18" s="310"/>
      <c r="D18" s="175">
        <v>42170</v>
      </c>
      <c r="E18" s="243">
        <v>2668</v>
      </c>
      <c r="F18" s="243">
        <v>47</v>
      </c>
      <c r="G18" s="243">
        <v>1612</v>
      </c>
      <c r="H18" s="243">
        <v>119</v>
      </c>
      <c r="I18" s="158"/>
      <c r="K18" s="196"/>
      <c r="L18" s="197"/>
    </row>
    <row r="19" spans="1:12" x14ac:dyDescent="0.25">
      <c r="A19" s="304"/>
      <c r="B19" s="309"/>
      <c r="C19" s="310"/>
      <c r="D19" s="175">
        <v>42227</v>
      </c>
      <c r="E19" s="243">
        <v>1505</v>
      </c>
      <c r="F19" s="243">
        <v>38</v>
      </c>
      <c r="G19" s="243">
        <v>953</v>
      </c>
      <c r="H19" s="243">
        <v>102</v>
      </c>
      <c r="I19" s="158"/>
      <c r="K19" s="196"/>
      <c r="L19" s="197"/>
    </row>
    <row r="20" spans="1:12" x14ac:dyDescent="0.25">
      <c r="A20" s="304"/>
      <c r="B20" s="309"/>
      <c r="C20" s="310"/>
      <c r="D20" s="175">
        <v>42296</v>
      </c>
      <c r="E20" s="243">
        <v>2530</v>
      </c>
      <c r="F20" s="243"/>
      <c r="G20" s="243"/>
      <c r="H20" s="243">
        <v>27</v>
      </c>
      <c r="I20" s="158"/>
      <c r="K20" s="196"/>
      <c r="L20" s="197"/>
    </row>
    <row r="21" spans="1:12" x14ac:dyDescent="0.25">
      <c r="A21" s="304"/>
      <c r="B21" s="309"/>
      <c r="C21" s="310"/>
      <c r="D21" s="244">
        <v>42345</v>
      </c>
      <c r="E21" s="243">
        <v>3936</v>
      </c>
      <c r="F21" s="243">
        <v>19</v>
      </c>
      <c r="G21" s="243">
        <v>3939</v>
      </c>
      <c r="H21" s="243">
        <v>28</v>
      </c>
      <c r="I21" s="158"/>
      <c r="K21" s="196"/>
      <c r="L21" s="197"/>
    </row>
    <row r="22" spans="1:12" x14ac:dyDescent="0.25">
      <c r="A22" s="304"/>
      <c r="B22" s="309" t="s">
        <v>117</v>
      </c>
      <c r="C22" s="310" t="s">
        <v>118</v>
      </c>
      <c r="D22" s="226">
        <v>42052</v>
      </c>
      <c r="E22" s="243">
        <v>1655</v>
      </c>
      <c r="F22" s="243">
        <v>37</v>
      </c>
      <c r="G22" s="243">
        <v>1102</v>
      </c>
      <c r="H22" s="243">
        <v>25</v>
      </c>
      <c r="I22" s="224"/>
      <c r="K22" s="196"/>
      <c r="L22" s="197"/>
    </row>
    <row r="23" spans="1:12" x14ac:dyDescent="0.25">
      <c r="A23" s="304"/>
      <c r="B23" s="309"/>
      <c r="C23" s="310"/>
      <c r="D23" s="175">
        <v>42114</v>
      </c>
      <c r="E23" s="243">
        <v>1448</v>
      </c>
      <c r="F23" s="243">
        <v>23</v>
      </c>
      <c r="G23" s="243">
        <v>2093</v>
      </c>
      <c r="H23" s="243">
        <v>97</v>
      </c>
      <c r="I23" s="195"/>
      <c r="K23" s="196"/>
      <c r="L23" s="197"/>
    </row>
    <row r="24" spans="1:12" x14ac:dyDescent="0.25">
      <c r="A24" s="304"/>
      <c r="B24" s="309"/>
      <c r="C24" s="310"/>
      <c r="D24" s="175">
        <v>42170</v>
      </c>
      <c r="E24" s="243"/>
      <c r="F24" s="243"/>
      <c r="G24" s="243"/>
      <c r="H24" s="243"/>
      <c r="I24" s="158"/>
      <c r="K24" s="158"/>
      <c r="L24" s="158"/>
    </row>
    <row r="25" spans="1:12" x14ac:dyDescent="0.25">
      <c r="A25" s="304"/>
      <c r="B25" s="309"/>
      <c r="C25" s="310"/>
      <c r="D25" s="175">
        <v>42227</v>
      </c>
      <c r="E25" s="243">
        <v>1374</v>
      </c>
      <c r="F25" s="243">
        <v>43</v>
      </c>
      <c r="G25" s="243">
        <v>826</v>
      </c>
      <c r="H25" s="243">
        <v>79</v>
      </c>
      <c r="I25" s="158"/>
      <c r="K25" s="158"/>
      <c r="L25" s="158"/>
    </row>
    <row r="26" spans="1:12" x14ac:dyDescent="0.25">
      <c r="A26" s="304"/>
      <c r="B26" s="309"/>
      <c r="C26" s="310"/>
      <c r="D26" s="175">
        <v>42296</v>
      </c>
      <c r="E26" s="243">
        <v>2345</v>
      </c>
      <c r="F26" s="243"/>
      <c r="G26" s="243"/>
      <c r="H26" s="243">
        <v>15</v>
      </c>
      <c r="I26" s="158"/>
      <c r="K26" s="158"/>
      <c r="L26" s="158"/>
    </row>
    <row r="27" spans="1:12" x14ac:dyDescent="0.25">
      <c r="A27" s="304"/>
      <c r="B27" s="309"/>
      <c r="C27" s="310"/>
      <c r="D27" s="244">
        <v>42345</v>
      </c>
      <c r="E27" s="243">
        <v>3981</v>
      </c>
      <c r="F27" s="243">
        <v>15</v>
      </c>
      <c r="G27" s="243">
        <v>3853</v>
      </c>
      <c r="H27" s="243">
        <v>35</v>
      </c>
      <c r="I27" s="158"/>
      <c r="K27" s="158"/>
      <c r="L27" s="158"/>
    </row>
    <row r="28" spans="1:12" x14ac:dyDescent="0.25">
      <c r="A28" s="203"/>
      <c r="B28" s="204"/>
      <c r="C28" s="204"/>
      <c r="D28" s="205"/>
      <c r="E28" s="205"/>
      <c r="F28" s="205"/>
      <c r="G28" s="205"/>
      <c r="H28" s="158"/>
      <c r="I28" s="158"/>
      <c r="J28" s="158"/>
      <c r="K28" s="158"/>
      <c r="L28" s="158"/>
    </row>
    <row r="29" spans="1:12" ht="14" x14ac:dyDescent="0.25">
      <c r="A29" s="203"/>
      <c r="B29" s="204"/>
      <c r="C29" s="204"/>
      <c r="D29" s="245">
        <v>60</v>
      </c>
      <c r="E29" s="245">
        <v>61</v>
      </c>
      <c r="F29" s="245">
        <v>61</v>
      </c>
      <c r="G29" s="245">
        <v>62</v>
      </c>
      <c r="H29" s="245">
        <v>61</v>
      </c>
      <c r="I29" s="245">
        <v>61</v>
      </c>
      <c r="J29" s="158"/>
      <c r="K29" s="158"/>
      <c r="L29" s="158"/>
    </row>
    <row r="30" spans="1:12" x14ac:dyDescent="0.25">
      <c r="A30" s="203"/>
      <c r="B30" s="204"/>
      <c r="C30" s="204"/>
      <c r="D30" s="207" t="s">
        <v>121</v>
      </c>
      <c r="E30" s="207" t="s">
        <v>122</v>
      </c>
      <c r="F30" s="208" t="s">
        <v>123</v>
      </c>
      <c r="G30" s="207" t="s">
        <v>124</v>
      </c>
      <c r="H30" s="207" t="s">
        <v>125</v>
      </c>
      <c r="I30" s="207" t="s">
        <v>126</v>
      </c>
      <c r="J30" s="158"/>
      <c r="K30" s="158"/>
      <c r="L30" s="158"/>
    </row>
    <row r="31" spans="1:12" x14ac:dyDescent="0.25">
      <c r="A31" s="203"/>
      <c r="B31" s="204"/>
      <c r="C31" s="204"/>
      <c r="D31" s="311" t="s">
        <v>76</v>
      </c>
      <c r="E31" s="312"/>
      <c r="F31" s="312"/>
      <c r="G31" s="312"/>
      <c r="H31" s="312"/>
      <c r="I31" s="313"/>
      <c r="J31" s="158"/>
      <c r="K31" s="158"/>
      <c r="L31" s="158"/>
    </row>
    <row r="32" spans="1:12" x14ac:dyDescent="0.25">
      <c r="A32" s="203"/>
      <c r="B32" s="204"/>
      <c r="C32" s="204" t="s">
        <v>96</v>
      </c>
      <c r="D32" s="161">
        <f>J2</f>
        <v>0.11</v>
      </c>
      <c r="E32" s="161">
        <f>J3</f>
        <v>1.87</v>
      </c>
      <c r="F32" s="161">
        <f>J4</f>
        <v>2.3140000000000001</v>
      </c>
      <c r="G32" s="161">
        <f>J5</f>
        <v>1.71</v>
      </c>
      <c r="H32" s="161">
        <f>J6</f>
        <v>0.91500000000000004</v>
      </c>
      <c r="I32" s="161">
        <f>J7</f>
        <v>0.255</v>
      </c>
      <c r="J32" s="158"/>
      <c r="K32" s="158"/>
      <c r="L32" s="158"/>
    </row>
    <row r="33" spans="1:12" x14ac:dyDescent="0.25">
      <c r="A33" s="203"/>
      <c r="B33" s="204"/>
      <c r="C33" s="204" t="s">
        <v>99</v>
      </c>
      <c r="D33" s="161">
        <f>J8</f>
        <v>0.311</v>
      </c>
      <c r="E33" s="161">
        <f>J9</f>
        <v>1.44</v>
      </c>
      <c r="F33" s="161">
        <f>J10</f>
        <v>0</v>
      </c>
      <c r="G33" s="161">
        <f>J11</f>
        <v>0.82699999999999996</v>
      </c>
      <c r="H33" s="161">
        <f>J12</f>
        <v>0.74</v>
      </c>
      <c r="I33" s="161">
        <f>J13</f>
        <v>0.17899999999999999</v>
      </c>
      <c r="J33" s="158"/>
      <c r="K33" s="158"/>
      <c r="L33" s="158"/>
    </row>
    <row r="34" spans="1:12" x14ac:dyDescent="0.25">
      <c r="A34" s="203"/>
      <c r="B34" s="204"/>
      <c r="C34" s="204"/>
      <c r="D34" s="314" t="s">
        <v>127</v>
      </c>
      <c r="E34" s="315"/>
      <c r="F34" s="315"/>
      <c r="G34" s="315"/>
      <c r="H34" s="315"/>
      <c r="I34" s="316"/>
      <c r="J34" s="158"/>
      <c r="K34" s="158"/>
      <c r="L34" s="158"/>
    </row>
    <row r="35" spans="1:12" x14ac:dyDescent="0.25">
      <c r="A35" s="203"/>
      <c r="B35" s="204"/>
      <c r="C35" s="204" t="s">
        <v>96</v>
      </c>
      <c r="D35" s="211">
        <f>D32*1.983</f>
        <v>0.21813000000000002</v>
      </c>
      <c r="E35" s="211">
        <f t="shared" ref="E35:I36" si="0">E32*1.983</f>
        <v>3.7082100000000002</v>
      </c>
      <c r="F35" s="211">
        <f t="shared" si="0"/>
        <v>4.5886620000000002</v>
      </c>
      <c r="G35" s="211">
        <f t="shared" si="0"/>
        <v>3.39093</v>
      </c>
      <c r="H35" s="211">
        <f t="shared" si="0"/>
        <v>1.8144450000000001</v>
      </c>
      <c r="I35" s="211">
        <f t="shared" si="0"/>
        <v>0.50566500000000003</v>
      </c>
      <c r="J35" s="158"/>
      <c r="K35" s="158"/>
      <c r="L35" s="158"/>
    </row>
    <row r="36" spans="1:12" x14ac:dyDescent="0.25">
      <c r="A36" s="203"/>
      <c r="B36" s="204"/>
      <c r="C36" s="204" t="s">
        <v>99</v>
      </c>
      <c r="D36" s="211">
        <f>D33*1.983</f>
        <v>0.61671300000000007</v>
      </c>
      <c r="E36" s="211">
        <f t="shared" si="0"/>
        <v>2.8555199999999998</v>
      </c>
      <c r="F36" s="211">
        <f t="shared" si="0"/>
        <v>0</v>
      </c>
      <c r="G36" s="211">
        <f t="shared" si="0"/>
        <v>1.6399410000000001</v>
      </c>
      <c r="H36" s="211">
        <f t="shared" si="0"/>
        <v>1.4674199999999999</v>
      </c>
      <c r="I36" s="211">
        <f t="shared" si="0"/>
        <v>0.35495700000000002</v>
      </c>
      <c r="J36" s="158"/>
      <c r="K36" s="158"/>
      <c r="L36" s="158"/>
    </row>
    <row r="37" spans="1:12" x14ac:dyDescent="0.25">
      <c r="A37" s="158"/>
      <c r="B37" s="158"/>
      <c r="C37" s="158"/>
      <c r="D37" s="317" t="s">
        <v>128</v>
      </c>
      <c r="E37" s="318"/>
      <c r="F37" s="318"/>
      <c r="G37" s="318"/>
      <c r="H37" s="318"/>
      <c r="I37" s="319"/>
      <c r="J37" s="158"/>
      <c r="K37" s="158"/>
      <c r="L37" s="158"/>
    </row>
    <row r="38" spans="1:12" x14ac:dyDescent="0.25">
      <c r="A38" s="203"/>
      <c r="B38" s="204"/>
      <c r="C38" s="204" t="s">
        <v>96</v>
      </c>
      <c r="D38" s="212">
        <f>$D$29*D35</f>
        <v>13.087800000000001</v>
      </c>
      <c r="E38" s="212">
        <f t="shared" ref="E38:I38" si="1">$D$29*E35</f>
        <v>222.49260000000001</v>
      </c>
      <c r="F38" s="212">
        <f t="shared" si="1"/>
        <v>275.31972000000002</v>
      </c>
      <c r="G38" s="212">
        <f t="shared" si="1"/>
        <v>203.45580000000001</v>
      </c>
      <c r="H38" s="212">
        <f t="shared" si="1"/>
        <v>108.86670000000001</v>
      </c>
      <c r="I38" s="212">
        <f t="shared" si="1"/>
        <v>30.3399</v>
      </c>
      <c r="J38" s="213">
        <f>SUM(D38:I38)</f>
        <v>853.56251999999995</v>
      </c>
      <c r="K38" s="158"/>
      <c r="L38" s="158"/>
    </row>
    <row r="39" spans="1:12" x14ac:dyDescent="0.25">
      <c r="A39" s="203"/>
      <c r="B39" s="204"/>
      <c r="C39" s="204" t="s">
        <v>99</v>
      </c>
      <c r="D39" s="212">
        <f>$D$29*D36</f>
        <v>37.002780000000001</v>
      </c>
      <c r="E39" s="212">
        <f>$E$29*E36</f>
        <v>174.18671999999998</v>
      </c>
      <c r="F39" s="212">
        <f>$F$29*F36</f>
        <v>0</v>
      </c>
      <c r="G39" s="212">
        <f>$G$29*G36</f>
        <v>101.67634200000001</v>
      </c>
      <c r="H39" s="212">
        <f>$H$29*H36</f>
        <v>89.512619999999998</v>
      </c>
      <c r="I39" s="212">
        <f>$I$29*I36</f>
        <v>21.652377000000001</v>
      </c>
      <c r="J39" s="213">
        <f>SUM(D39:I39)</f>
        <v>424.03083900000001</v>
      </c>
      <c r="K39" s="158"/>
      <c r="L39" s="158"/>
    </row>
    <row r="40" spans="1:12" x14ac:dyDescent="0.25">
      <c r="A40" s="203"/>
      <c r="B40" s="204"/>
      <c r="C40" s="204"/>
      <c r="D40" s="205"/>
      <c r="E40" s="205"/>
      <c r="F40" s="205"/>
      <c r="G40" s="205"/>
      <c r="H40" s="158"/>
      <c r="I40" s="158"/>
      <c r="J40" s="158"/>
      <c r="K40" s="158"/>
      <c r="L40" s="158"/>
    </row>
    <row r="41" spans="1:12" x14ac:dyDescent="0.25">
      <c r="A41" s="203"/>
      <c r="B41" s="204"/>
      <c r="C41" s="204"/>
      <c r="D41" s="246">
        <v>2.7230000000000002E-3</v>
      </c>
      <c r="E41" s="205"/>
      <c r="F41" s="214"/>
      <c r="G41" s="205"/>
      <c r="H41" s="158"/>
      <c r="I41" s="158"/>
      <c r="J41" s="158"/>
      <c r="K41" s="158"/>
      <c r="L41" s="158"/>
    </row>
    <row r="42" spans="1:12" x14ac:dyDescent="0.25">
      <c r="A42" s="203"/>
      <c r="B42" s="204"/>
      <c r="C42" s="204"/>
      <c r="D42" s="215"/>
      <c r="E42" s="158"/>
      <c r="F42" s="216" t="s">
        <v>129</v>
      </c>
      <c r="G42" s="216"/>
      <c r="H42" s="216"/>
      <c r="I42" s="216"/>
      <c r="J42" s="158"/>
      <c r="K42" s="158"/>
      <c r="L42" s="158"/>
    </row>
    <row r="43" spans="1:12" ht="25" x14ac:dyDescent="0.25">
      <c r="A43" s="203"/>
      <c r="B43" s="204"/>
      <c r="C43" s="199" t="s">
        <v>104</v>
      </c>
      <c r="D43" s="198" t="s">
        <v>3</v>
      </c>
      <c r="E43" s="217" t="s">
        <v>130</v>
      </c>
      <c r="F43" s="200" t="s">
        <v>89</v>
      </c>
      <c r="G43" s="200" t="s">
        <v>87</v>
      </c>
      <c r="H43" s="200" t="s">
        <v>98</v>
      </c>
      <c r="I43" s="200" t="s">
        <v>88</v>
      </c>
      <c r="J43" s="158"/>
      <c r="K43" s="158"/>
      <c r="L43" s="158"/>
    </row>
    <row r="44" spans="1:12" x14ac:dyDescent="0.25">
      <c r="A44" s="203"/>
      <c r="B44" s="204"/>
      <c r="C44" s="310" t="s">
        <v>115</v>
      </c>
      <c r="D44" s="207" t="s">
        <v>121</v>
      </c>
      <c r="E44" s="247">
        <f>D38</f>
        <v>13.087800000000001</v>
      </c>
      <c r="F44" s="248">
        <f>$E44*$D$41*E16</f>
        <v>59.765059153800017</v>
      </c>
      <c r="G44" s="248">
        <f>$E44*$D$41*F16</f>
        <v>1.5324374142000003</v>
      </c>
      <c r="H44" s="248">
        <f>$E44*$D$41*G16</f>
        <v>39.486991975200006</v>
      </c>
      <c r="I44" s="248">
        <f>$E44*$D$41*H16</f>
        <v>0.8553139056000002</v>
      </c>
      <c r="J44" s="219"/>
      <c r="K44" s="220"/>
      <c r="L44" s="158"/>
    </row>
    <row r="45" spans="1:12" x14ac:dyDescent="0.25">
      <c r="A45" s="203"/>
      <c r="B45" s="204"/>
      <c r="C45" s="310"/>
      <c r="D45" s="207" t="s">
        <v>122</v>
      </c>
      <c r="E45" s="247">
        <f>E38</f>
        <v>222.49260000000001</v>
      </c>
      <c r="F45" s="248">
        <f t="shared" ref="F45:H45" si="2">$E45*$D$41*E17</f>
        <v>1214.7239363490003</v>
      </c>
      <c r="G45" s="248">
        <f t="shared" si="2"/>
        <v>12.116946996000003</v>
      </c>
      <c r="H45" s="248">
        <f t="shared" si="2"/>
        <v>900.8950091526001</v>
      </c>
      <c r="I45" s="248">
        <f t="shared" ref="I45:I55" si="3">$E45*$D$41*H17</f>
        <v>40.59177243660001</v>
      </c>
      <c r="J45" s="158"/>
      <c r="K45" s="220"/>
      <c r="L45" s="158"/>
    </row>
    <row r="46" spans="1:12" x14ac:dyDescent="0.25">
      <c r="A46" s="158"/>
      <c r="B46" s="158"/>
      <c r="C46" s="310"/>
      <c r="D46" s="208" t="s">
        <v>123</v>
      </c>
      <c r="E46" s="247">
        <f>F38</f>
        <v>275.31972000000002</v>
      </c>
      <c r="F46" s="248">
        <f t="shared" ref="F46:H46" si="4">$E46*$D$41*E18</f>
        <v>2000.1878542900802</v>
      </c>
      <c r="G46" s="248">
        <f t="shared" si="4"/>
        <v>35.235693085320001</v>
      </c>
      <c r="H46" s="248">
        <f t="shared" si="4"/>
        <v>1208.5093032667201</v>
      </c>
      <c r="I46" s="248">
        <f t="shared" si="3"/>
        <v>89.213776109640008</v>
      </c>
      <c r="J46" s="264" t="s">
        <v>141</v>
      </c>
      <c r="K46" s="220"/>
      <c r="L46" s="158"/>
    </row>
    <row r="47" spans="1:12" x14ac:dyDescent="0.25">
      <c r="A47" s="203"/>
      <c r="B47" s="204"/>
      <c r="C47" s="310"/>
      <c r="D47" s="207" t="s">
        <v>124</v>
      </c>
      <c r="E47" s="247">
        <f>G38</f>
        <v>203.45580000000001</v>
      </c>
      <c r="F47" s="248">
        <f t="shared" ref="F47:H47" si="5">$E47*$D$41*E19</f>
        <v>833.7852658170001</v>
      </c>
      <c r="G47" s="248">
        <f t="shared" si="5"/>
        <v>21.052385449200003</v>
      </c>
      <c r="H47" s="248">
        <f t="shared" si="5"/>
        <v>527.97166666020007</v>
      </c>
      <c r="I47" s="248">
        <f t="shared" si="3"/>
        <v>56.509034626800009</v>
      </c>
      <c r="J47" s="158"/>
      <c r="K47" s="220"/>
      <c r="L47" s="158"/>
    </row>
    <row r="48" spans="1:12" x14ac:dyDescent="0.25">
      <c r="A48" s="203"/>
      <c r="B48" s="204"/>
      <c r="C48" s="310"/>
      <c r="D48" s="207" t="s">
        <v>125</v>
      </c>
      <c r="E48" s="247">
        <f>H38</f>
        <v>108.86670000000001</v>
      </c>
      <c r="F48" s="248">
        <f t="shared" ref="F48:H48" si="6">$E48*$D$41*E20</f>
        <v>750.00338097300005</v>
      </c>
      <c r="G48" s="248">
        <f t="shared" si="6"/>
        <v>0</v>
      </c>
      <c r="H48" s="248">
        <f t="shared" si="6"/>
        <v>0</v>
      </c>
      <c r="I48" s="248">
        <f t="shared" si="3"/>
        <v>8.0039886507000002</v>
      </c>
      <c r="J48" s="158"/>
      <c r="K48" s="220"/>
      <c r="L48" s="158"/>
    </row>
    <row r="49" spans="1:12" x14ac:dyDescent="0.25">
      <c r="A49" s="203"/>
      <c r="B49" s="204"/>
      <c r="C49" s="310"/>
      <c r="D49" s="207" t="s">
        <v>126</v>
      </c>
      <c r="E49" s="247">
        <f>I38</f>
        <v>30.3399</v>
      </c>
      <c r="F49" s="248">
        <f t="shared" ref="F49:H49" si="7">$E49*$D$41*E21</f>
        <v>325.17479574719999</v>
      </c>
      <c r="G49" s="248">
        <f t="shared" si="7"/>
        <v>1.5696954062999999</v>
      </c>
      <c r="H49" s="248">
        <f t="shared" si="7"/>
        <v>325.42264239029998</v>
      </c>
      <c r="I49" s="248">
        <f t="shared" si="3"/>
        <v>2.3132353355999999</v>
      </c>
      <c r="J49" s="158"/>
      <c r="K49" s="220"/>
      <c r="L49" s="158"/>
    </row>
    <row r="50" spans="1:12" x14ac:dyDescent="0.25">
      <c r="A50" s="203"/>
      <c r="B50" s="204"/>
      <c r="C50" s="310" t="s">
        <v>118</v>
      </c>
      <c r="D50" s="207" t="s">
        <v>121</v>
      </c>
      <c r="E50" s="248">
        <f>D39</f>
        <v>37.002780000000001</v>
      </c>
      <c r="F50" s="248">
        <f t="shared" ref="F50:H50" si="8">$E50*$D$41*E22</f>
        <v>166.75543325070004</v>
      </c>
      <c r="G50" s="248">
        <f t="shared" si="8"/>
        <v>3.7280670877800004</v>
      </c>
      <c r="H50" s="248">
        <f t="shared" si="8"/>
        <v>111.03594407388002</v>
      </c>
      <c r="I50" s="248">
        <f t="shared" si="3"/>
        <v>2.5189642485000006</v>
      </c>
      <c r="J50" s="219"/>
      <c r="K50" s="220"/>
      <c r="L50" s="158"/>
    </row>
    <row r="51" spans="1:12" x14ac:dyDescent="0.25">
      <c r="A51" s="203"/>
      <c r="B51" s="204"/>
      <c r="C51" s="310"/>
      <c r="D51" s="207" t="s">
        <v>122</v>
      </c>
      <c r="E51" s="248">
        <f>E39</f>
        <v>174.18671999999998</v>
      </c>
      <c r="F51" s="248">
        <f t="shared" ref="F51:H51" si="9">$E51*$D$41*E23</f>
        <v>686.80151503488003</v>
      </c>
      <c r="G51" s="248">
        <f t="shared" si="9"/>
        <v>10.909140086879999</v>
      </c>
      <c r="H51" s="248">
        <f t="shared" si="9"/>
        <v>992.73174790607993</v>
      </c>
      <c r="I51" s="248">
        <f t="shared" si="3"/>
        <v>46.008112540319999</v>
      </c>
      <c r="J51" s="264" t="s">
        <v>141</v>
      </c>
      <c r="K51" s="220"/>
      <c r="L51" s="158"/>
    </row>
    <row r="52" spans="1:12" x14ac:dyDescent="0.25">
      <c r="A52" s="203"/>
      <c r="B52" s="204"/>
      <c r="C52" s="310"/>
      <c r="D52" s="208" t="s">
        <v>123</v>
      </c>
      <c r="E52" s="248">
        <f>F39</f>
        <v>0</v>
      </c>
      <c r="F52" s="248">
        <f t="shared" ref="F52:H52" si="10">$E52*$D$41*E24</f>
        <v>0</v>
      </c>
      <c r="G52" s="248">
        <f t="shared" si="10"/>
        <v>0</v>
      </c>
      <c r="H52" s="248">
        <f t="shared" si="10"/>
        <v>0</v>
      </c>
      <c r="I52" s="248">
        <f t="shared" si="3"/>
        <v>0</v>
      </c>
      <c r="J52" s="158"/>
      <c r="K52" s="158"/>
      <c r="L52" s="158"/>
    </row>
    <row r="53" spans="1:12" x14ac:dyDescent="0.25">
      <c r="A53" s="203"/>
      <c r="B53" s="204"/>
      <c r="C53" s="310"/>
      <c r="D53" s="207" t="s">
        <v>124</v>
      </c>
      <c r="E53" s="248">
        <f>G39</f>
        <v>101.67634200000001</v>
      </c>
      <c r="F53" s="248">
        <f t="shared" ref="F53:H53" si="11">$E53*$D$41*E25</f>
        <v>380.41206931148406</v>
      </c>
      <c r="G53" s="248">
        <f t="shared" si="11"/>
        <v>11.905181208438002</v>
      </c>
      <c r="H53" s="248">
        <f t="shared" si="11"/>
        <v>228.69022507371605</v>
      </c>
      <c r="I53" s="248">
        <f t="shared" si="3"/>
        <v>21.872309662014004</v>
      </c>
      <c r="J53" s="158"/>
      <c r="K53" s="158"/>
      <c r="L53" s="158"/>
    </row>
    <row r="54" spans="1:12" x14ac:dyDescent="0.25">
      <c r="A54" s="203"/>
      <c r="B54" s="204"/>
      <c r="C54" s="310"/>
      <c r="D54" s="207" t="s">
        <v>125</v>
      </c>
      <c r="E54" s="247">
        <f>H39</f>
        <v>89.512619999999998</v>
      </c>
      <c r="F54" s="248">
        <f t="shared" ref="F54:H54" si="12">$E54*$D$41*E26</f>
        <v>571.57701668970003</v>
      </c>
      <c r="G54" s="248">
        <f t="shared" si="12"/>
        <v>0</v>
      </c>
      <c r="H54" s="248">
        <f t="shared" si="12"/>
        <v>0</v>
      </c>
      <c r="I54" s="248">
        <f t="shared" si="3"/>
        <v>3.6561429638999998</v>
      </c>
      <c r="J54" s="158"/>
      <c r="K54" s="158"/>
      <c r="L54" s="158"/>
    </row>
    <row r="55" spans="1:12" x14ac:dyDescent="0.25">
      <c r="A55" s="203"/>
      <c r="B55" s="204"/>
      <c r="C55" s="310"/>
      <c r="D55" s="207" t="s">
        <v>126</v>
      </c>
      <c r="E55" s="248">
        <f>I39</f>
        <v>21.652377000000001</v>
      </c>
      <c r="F55" s="248">
        <f t="shared" ref="F55:H55" si="13">$E55*$D$41*E27</f>
        <v>234.71746125515102</v>
      </c>
      <c r="G55" s="248">
        <f t="shared" si="13"/>
        <v>0.88439133856500018</v>
      </c>
      <c r="H55" s="248">
        <f t="shared" si="13"/>
        <v>227.17065516606303</v>
      </c>
      <c r="I55" s="248">
        <f t="shared" si="3"/>
        <v>2.0635797899850004</v>
      </c>
      <c r="J55" s="158"/>
      <c r="K55" s="158"/>
      <c r="L55" s="158"/>
    </row>
    <row r="56" spans="1:12" x14ac:dyDescent="0.25">
      <c r="A56" s="158"/>
      <c r="B56" s="158"/>
      <c r="C56" s="158"/>
      <c r="D56" s="158"/>
      <c r="E56" s="158"/>
      <c r="F56" s="158"/>
      <c r="G56" s="158"/>
      <c r="H56" s="158"/>
      <c r="I56" s="262">
        <f>SUM(I44:I55)</f>
        <v>273.60623026965902</v>
      </c>
      <c r="J56" s="158"/>
      <c r="K56" s="158"/>
      <c r="L56" s="158"/>
    </row>
    <row r="57" spans="1:12" x14ac:dyDescent="0.25">
      <c r="A57" s="203"/>
      <c r="B57" s="204"/>
      <c r="C57" s="204"/>
      <c r="D57" s="215"/>
      <c r="E57" s="320" t="s">
        <v>132</v>
      </c>
      <c r="F57" s="320"/>
      <c r="G57" s="320"/>
      <c r="H57" s="320"/>
      <c r="I57" s="320"/>
      <c r="J57" s="158"/>
      <c r="K57" s="158"/>
      <c r="L57" s="158"/>
    </row>
    <row r="58" spans="1:12" ht="34.5" x14ac:dyDescent="0.25">
      <c r="A58" s="203"/>
      <c r="B58" s="204"/>
      <c r="C58" s="204"/>
      <c r="D58" s="215"/>
      <c r="E58" s="249" t="s">
        <v>97</v>
      </c>
      <c r="F58" s="250" t="s">
        <v>89</v>
      </c>
      <c r="G58" s="250" t="s">
        <v>87</v>
      </c>
      <c r="H58" s="250" t="s">
        <v>98</v>
      </c>
      <c r="I58" s="250" t="s">
        <v>88</v>
      </c>
      <c r="J58" s="158"/>
      <c r="K58" s="158"/>
      <c r="L58" s="158"/>
    </row>
    <row r="59" spans="1:12" x14ac:dyDescent="0.25">
      <c r="A59" s="203"/>
      <c r="B59" s="204"/>
      <c r="C59" s="204" t="s">
        <v>96</v>
      </c>
      <c r="D59" s="205"/>
      <c r="E59" s="218">
        <f>J38</f>
        <v>853.56251999999995</v>
      </c>
      <c r="F59" s="218">
        <f>SUM(F44:F49)</f>
        <v>5183.6402923300811</v>
      </c>
      <c r="G59" s="218">
        <f>SUM(G44:G49)</f>
        <v>71.50715835102001</v>
      </c>
      <c r="H59" s="218">
        <f>SUM(H44:H49)</f>
        <v>3002.2856134450203</v>
      </c>
      <c r="I59" s="218">
        <f>SUM(I44:I49)</f>
        <v>197.48712106494003</v>
      </c>
      <c r="J59" s="158"/>
      <c r="K59" s="158"/>
      <c r="L59" s="158"/>
    </row>
    <row r="60" spans="1:12" x14ac:dyDescent="0.25">
      <c r="A60" s="203"/>
      <c r="B60" s="204"/>
      <c r="C60" s="204" t="s">
        <v>99</v>
      </c>
      <c r="D60" s="205"/>
      <c r="E60" s="218">
        <f>J39</f>
        <v>424.03083900000001</v>
      </c>
      <c r="F60" s="218">
        <f>SUM(F50:F55)</f>
        <v>2040.2634955419151</v>
      </c>
      <c r="G60" s="218">
        <f>SUM(G50:G55)</f>
        <v>27.426779721662999</v>
      </c>
      <c r="H60" s="218">
        <f>SUM(H50:H55)</f>
        <v>1559.6285722197388</v>
      </c>
      <c r="I60" s="218">
        <f>SUM(I50:I55)</f>
        <v>76.119109204718995</v>
      </c>
      <c r="J60" s="158"/>
      <c r="K60" s="158"/>
      <c r="L60" s="158"/>
    </row>
    <row r="61" spans="1:12" x14ac:dyDescent="0.25">
      <c r="A61" s="203"/>
      <c r="B61" s="204"/>
      <c r="C61" s="204"/>
      <c r="D61" s="205"/>
      <c r="E61" s="205"/>
      <c r="F61" s="214"/>
      <c r="G61" s="205" t="s">
        <v>100</v>
      </c>
      <c r="H61" s="158"/>
      <c r="I61" s="158"/>
      <c r="J61" s="158"/>
      <c r="K61" s="158"/>
      <c r="L61" s="158"/>
    </row>
    <row r="62" spans="1:12" x14ac:dyDescent="0.25">
      <c r="A62" s="203"/>
      <c r="B62" s="204"/>
      <c r="C62" s="204" t="s">
        <v>96</v>
      </c>
      <c r="D62" s="215"/>
      <c r="E62" s="218"/>
      <c r="F62" s="218">
        <f>AVERAGE(F44:F49)</f>
        <v>863.94004872168023</v>
      </c>
      <c r="G62" s="218">
        <f>AVERAGE(G44:G49)</f>
        <v>11.917859725170002</v>
      </c>
      <c r="H62" s="218">
        <f>AVERAGE(H44:H49)</f>
        <v>500.38093557417005</v>
      </c>
      <c r="I62" s="218">
        <f>AVERAGE(I44:I49)</f>
        <v>32.914520177490004</v>
      </c>
      <c r="J62" s="158"/>
      <c r="K62" s="158"/>
      <c r="L62" s="158"/>
    </row>
    <row r="63" spans="1:12" x14ac:dyDescent="0.25">
      <c r="A63" s="203"/>
      <c r="B63" s="204"/>
      <c r="C63" s="204" t="s">
        <v>99</v>
      </c>
      <c r="D63" s="205"/>
      <c r="E63" s="218"/>
      <c r="F63" s="218">
        <f>AVERAGE(F50:F55)</f>
        <v>340.04391592365249</v>
      </c>
      <c r="G63" s="218">
        <f>AVERAGE(G50:G55)</f>
        <v>4.5711299536104999</v>
      </c>
      <c r="H63" s="218">
        <f>AVERAGE(H50:H55)</f>
        <v>259.93809536995644</v>
      </c>
      <c r="I63" s="218">
        <f>AVERAGE(I50:I55)</f>
        <v>12.6865182007865</v>
      </c>
      <c r="J63" s="158"/>
      <c r="K63" s="158"/>
      <c r="L63" s="158"/>
    </row>
    <row r="66" spans="1:5" x14ac:dyDescent="0.25">
      <c r="D66" t="s">
        <v>129</v>
      </c>
    </row>
    <row r="67" spans="1:5" x14ac:dyDescent="0.25">
      <c r="A67" t="s">
        <v>104</v>
      </c>
      <c r="B67" t="s">
        <v>3</v>
      </c>
      <c r="C67" t="s">
        <v>130</v>
      </c>
      <c r="D67" t="s">
        <v>89</v>
      </c>
      <c r="E67" t="s">
        <v>145</v>
      </c>
    </row>
    <row r="68" spans="1:5" x14ac:dyDescent="0.25">
      <c r="A68" t="s">
        <v>115</v>
      </c>
      <c r="B68" t="s">
        <v>121</v>
      </c>
      <c r="C68" s="15">
        <v>81.977220000000003</v>
      </c>
      <c r="D68" s="15">
        <v>726.81724651536013</v>
      </c>
      <c r="E68" s="15">
        <v>3.1251355808400003</v>
      </c>
    </row>
    <row r="69" spans="1:5" x14ac:dyDescent="0.25">
      <c r="B69" t="s">
        <v>122</v>
      </c>
      <c r="C69" s="15">
        <v>273.654</v>
      </c>
      <c r="D69" s="15">
        <v>1450.8262123740001</v>
      </c>
      <c r="E69" s="15">
        <v>15.648356682000001</v>
      </c>
    </row>
    <row r="70" spans="1:5" x14ac:dyDescent="0.25">
      <c r="B70" t="s">
        <v>123</v>
      </c>
      <c r="C70" s="15">
        <v>54.730800000000009</v>
      </c>
      <c r="D70" s="15">
        <v>173.17514728080002</v>
      </c>
      <c r="E70" s="15">
        <v>28.167042027600004</v>
      </c>
    </row>
    <row r="71" spans="1:5" x14ac:dyDescent="0.25">
      <c r="B71" t="s">
        <v>124</v>
      </c>
      <c r="C71" s="15">
        <v>88.045199999999994</v>
      </c>
      <c r="D71" s="15">
        <v>253.41266313719998</v>
      </c>
      <c r="E71" s="15">
        <v>23.495213800799998</v>
      </c>
    </row>
    <row r="72" spans="1:5" x14ac:dyDescent="0.25">
      <c r="B72" t="s">
        <v>125</v>
      </c>
      <c r="C72" s="15">
        <v>65.439000000000007</v>
      </c>
      <c r="D72" s="15">
        <v>693.51702512400016</v>
      </c>
      <c r="E72" s="15">
        <v>3.2074271460000006</v>
      </c>
    </row>
    <row r="73" spans="1:5" x14ac:dyDescent="0.25">
      <c r="B73" t="s">
        <v>126</v>
      </c>
      <c r="C73" s="15">
        <v>37.478700000000003</v>
      </c>
      <c r="D73" s="15">
        <v>326.67645482010005</v>
      </c>
      <c r="E73" s="15">
        <v>0.91849050090000017</v>
      </c>
    </row>
    <row r="74" spans="1:5" x14ac:dyDescent="0.25">
      <c r="A74" t="s">
        <v>118</v>
      </c>
      <c r="B74" t="s">
        <v>121</v>
      </c>
      <c r="C74" s="15">
        <v>82.215180000000004</v>
      </c>
      <c r="D74" s="15">
        <v>716.61406438314009</v>
      </c>
      <c r="E74" s="15">
        <v>2.0148474162600003</v>
      </c>
    </row>
    <row r="75" spans="1:5" x14ac:dyDescent="0.25">
      <c r="B75" t="s">
        <v>122</v>
      </c>
      <c r="C75" s="15">
        <v>229.8297</v>
      </c>
      <c r="D75" s="15">
        <v>1220.3612325450001</v>
      </c>
      <c r="E75" s="15">
        <v>19.400614466100002</v>
      </c>
    </row>
    <row r="76" spans="1:5" x14ac:dyDescent="0.25">
      <c r="B76" t="s">
        <v>123</v>
      </c>
      <c r="C76" s="15">
        <v>48.385200000000005</v>
      </c>
      <c r="D76" s="15">
        <v>128.06381841120003</v>
      </c>
      <c r="E76" s="15">
        <v>20.553452337600003</v>
      </c>
    </row>
    <row r="77" spans="1:5" x14ac:dyDescent="0.25">
      <c r="B77" t="s">
        <v>124</v>
      </c>
      <c r="C77" s="15">
        <v>68.849760000000003</v>
      </c>
      <c r="D77" s="15">
        <v>176.22922269120002</v>
      </c>
      <c r="E77" s="15">
        <v>14.435798028960001</v>
      </c>
    </row>
    <row r="78" spans="1:5" x14ac:dyDescent="0.25">
      <c r="B78" t="s">
        <v>125</v>
      </c>
      <c r="C78" s="15">
        <v>52.014090000000003</v>
      </c>
      <c r="D78" s="15">
        <v>241.48659585435004</v>
      </c>
      <c r="E78" s="15">
        <v>1.9828811389800003</v>
      </c>
    </row>
    <row r="79" spans="1:5" x14ac:dyDescent="0.25">
      <c r="B79" t="s">
        <v>126</v>
      </c>
      <c r="C79" s="15">
        <v>32.66001</v>
      </c>
      <c r="D79" s="15">
        <v>338.83551954630002</v>
      </c>
      <c r="E79" s="15">
        <v>2.0454637662900002</v>
      </c>
    </row>
    <row r="81" spans="2:5" x14ac:dyDescent="0.25">
      <c r="C81" t="s">
        <v>132</v>
      </c>
    </row>
    <row r="82" spans="2:5" x14ac:dyDescent="0.25">
      <c r="C82" t="s">
        <v>97</v>
      </c>
      <c r="D82" t="s">
        <v>89</v>
      </c>
      <c r="E82" t="s">
        <v>145</v>
      </c>
    </row>
    <row r="83" spans="2:5" x14ac:dyDescent="0.25">
      <c r="B83" t="s">
        <v>96</v>
      </c>
      <c r="C83" s="15">
        <v>601.32491999999991</v>
      </c>
      <c r="D83" s="15">
        <v>3624.4247492514605</v>
      </c>
      <c r="E83" s="15">
        <v>74.561665738140007</v>
      </c>
    </row>
    <row r="84" spans="2:5" x14ac:dyDescent="0.25">
      <c r="B84" t="s">
        <v>99</v>
      </c>
      <c r="C84" s="15">
        <v>513.9539400000001</v>
      </c>
      <c r="D84" s="15">
        <v>2821.5904534311903</v>
      </c>
      <c r="E84" s="15">
        <v>60.433057154190003</v>
      </c>
    </row>
    <row r="85" spans="2:5" x14ac:dyDescent="0.25">
      <c r="C85" t="s">
        <v>100</v>
      </c>
    </row>
    <row r="86" spans="2:5" x14ac:dyDescent="0.25">
      <c r="B86" t="s">
        <v>96</v>
      </c>
      <c r="D86" s="15">
        <v>604.07079154191013</v>
      </c>
      <c r="E86" s="15">
        <v>12.426944289690001</v>
      </c>
    </row>
    <row r="87" spans="2:5" x14ac:dyDescent="0.25">
      <c r="B87" t="s">
        <v>99</v>
      </c>
      <c r="D87" s="15">
        <v>470.26507557186505</v>
      </c>
      <c r="E87" s="15">
        <v>10.072176192365001</v>
      </c>
    </row>
  </sheetData>
  <mergeCells count="16">
    <mergeCell ref="E57:I57"/>
    <mergeCell ref="A2:A13"/>
    <mergeCell ref="B2:B7"/>
    <mergeCell ref="C2:C7"/>
    <mergeCell ref="B8:B13"/>
    <mergeCell ref="C8:C13"/>
    <mergeCell ref="A16:A27"/>
    <mergeCell ref="B16:B21"/>
    <mergeCell ref="C16:C21"/>
    <mergeCell ref="B22:B27"/>
    <mergeCell ref="C22:C27"/>
    <mergeCell ref="D31:I31"/>
    <mergeCell ref="D34:I34"/>
    <mergeCell ref="D37:I37"/>
    <mergeCell ref="C44:C49"/>
    <mergeCell ref="C50:C5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49"/>
  <sheetViews>
    <sheetView workbookViewId="0">
      <selection activeCell="G50" sqref="G50"/>
    </sheetView>
  </sheetViews>
  <sheetFormatPr defaultRowHeight="12.5" x14ac:dyDescent="0.25"/>
  <cols>
    <col min="1" max="1" width="10.453125" bestFit="1" customWidth="1"/>
    <col min="3" max="3" width="12.6328125" bestFit="1" customWidth="1"/>
    <col min="4" max="4" width="11.1796875" customWidth="1"/>
    <col min="5" max="5" width="11.1796875" bestFit="1" customWidth="1"/>
    <col min="6" max="6" width="11.54296875" customWidth="1"/>
    <col min="7" max="7" width="13.453125" bestFit="1" customWidth="1"/>
    <col min="8" max="8" width="10.6328125" bestFit="1" customWidth="1"/>
    <col min="10" max="10" width="9.81640625" bestFit="1" customWidth="1"/>
    <col min="11" max="11" width="8.81640625" bestFit="1" customWidth="1"/>
    <col min="12" max="12" width="13.81640625" customWidth="1"/>
  </cols>
  <sheetData>
    <row r="2" spans="1:13" x14ac:dyDescent="0.25">
      <c r="A2" s="267" t="s">
        <v>102</v>
      </c>
      <c r="B2" s="267" t="s">
        <v>103</v>
      </c>
      <c r="C2" s="267" t="s">
        <v>104</v>
      </c>
      <c r="D2" s="267" t="s">
        <v>3</v>
      </c>
      <c r="E2" s="267" t="s">
        <v>105</v>
      </c>
      <c r="F2" s="267" t="s">
        <v>106</v>
      </c>
      <c r="G2" s="267" t="s">
        <v>142</v>
      </c>
      <c r="H2" s="267" t="s">
        <v>143</v>
      </c>
      <c r="I2" s="267" t="s">
        <v>108</v>
      </c>
      <c r="J2" s="267" t="s">
        <v>144</v>
      </c>
      <c r="K2" s="267" t="s">
        <v>110</v>
      </c>
      <c r="L2" s="267" t="s">
        <v>111</v>
      </c>
      <c r="M2" s="267" t="s">
        <v>112</v>
      </c>
    </row>
    <row r="3" spans="1:13" x14ac:dyDescent="0.25">
      <c r="A3" s="322" t="s">
        <v>113</v>
      </c>
      <c r="B3" s="322" t="s">
        <v>114</v>
      </c>
      <c r="C3" s="322" t="s">
        <v>115</v>
      </c>
      <c r="D3" s="72">
        <v>42422</v>
      </c>
      <c r="E3" s="268">
        <v>0.40833333333333338</v>
      </c>
      <c r="F3" s="8">
        <v>7.58</v>
      </c>
      <c r="G3" s="112">
        <v>0.1</v>
      </c>
      <c r="H3" s="112"/>
      <c r="I3" s="112">
        <v>10.55</v>
      </c>
      <c r="J3" s="112">
        <v>1584</v>
      </c>
      <c r="K3" s="112">
        <v>0.68899999999999995</v>
      </c>
      <c r="L3" s="269">
        <v>0.05</v>
      </c>
      <c r="M3" s="112" t="s">
        <v>116</v>
      </c>
    </row>
    <row r="4" spans="1:13" x14ac:dyDescent="0.25">
      <c r="A4" s="323"/>
      <c r="B4" s="323"/>
      <c r="C4" s="323"/>
      <c r="D4" s="72">
        <v>42485</v>
      </c>
      <c r="E4" s="268">
        <v>0.48749999999999999</v>
      </c>
      <c r="F4" s="8">
        <v>7.81</v>
      </c>
      <c r="G4" s="112">
        <v>11.2</v>
      </c>
      <c r="H4" s="112"/>
      <c r="I4" s="112">
        <v>12.35</v>
      </c>
      <c r="J4" s="112">
        <v>1333</v>
      </c>
      <c r="K4" s="112">
        <v>2.2999999999999998</v>
      </c>
      <c r="L4" s="269">
        <v>0.2</v>
      </c>
      <c r="M4" s="112" t="s">
        <v>116</v>
      </c>
    </row>
    <row r="5" spans="1:13" x14ac:dyDescent="0.25">
      <c r="A5" s="323"/>
      <c r="B5" s="323"/>
      <c r="C5" s="323"/>
      <c r="D5" s="72">
        <v>42541</v>
      </c>
      <c r="E5" s="268">
        <v>0.4548611111111111</v>
      </c>
      <c r="F5" s="8">
        <v>7.22</v>
      </c>
      <c r="G5" s="112">
        <v>18.3</v>
      </c>
      <c r="H5" s="112"/>
      <c r="I5" s="112">
        <v>5.71</v>
      </c>
      <c r="J5" s="112">
        <v>1370</v>
      </c>
      <c r="K5" s="112">
        <v>0.46</v>
      </c>
      <c r="L5" s="269">
        <v>0.15</v>
      </c>
      <c r="M5" s="112" t="s">
        <v>116</v>
      </c>
    </row>
    <row r="6" spans="1:13" x14ac:dyDescent="0.25">
      <c r="A6" s="323"/>
      <c r="B6" s="323"/>
      <c r="C6" s="323"/>
      <c r="D6" s="72">
        <v>42604</v>
      </c>
      <c r="E6" s="268">
        <v>0.46527777777777773</v>
      </c>
      <c r="F6" s="8">
        <v>7.97</v>
      </c>
      <c r="G6" s="112">
        <v>16.100000000000001</v>
      </c>
      <c r="H6" s="112">
        <v>31.4</v>
      </c>
      <c r="I6" s="112">
        <v>6.65</v>
      </c>
      <c r="J6" s="112">
        <v>1203</v>
      </c>
      <c r="K6" s="112">
        <v>0.74</v>
      </c>
      <c r="L6" s="269">
        <v>0.05</v>
      </c>
      <c r="M6" s="112" t="s">
        <v>116</v>
      </c>
    </row>
    <row r="7" spans="1:13" x14ac:dyDescent="0.25">
      <c r="A7" s="323"/>
      <c r="B7" s="323"/>
      <c r="C7" s="323"/>
      <c r="D7" s="72">
        <v>42660</v>
      </c>
      <c r="E7" s="268">
        <v>0.48333333333333334</v>
      </c>
      <c r="F7" s="8">
        <v>8.16</v>
      </c>
      <c r="G7" s="112">
        <v>8.6</v>
      </c>
      <c r="H7" s="112">
        <v>20.6</v>
      </c>
      <c r="I7" s="112">
        <v>10.26</v>
      </c>
      <c r="J7" s="112">
        <v>1449</v>
      </c>
      <c r="K7" s="112">
        <v>0.55000000000000004</v>
      </c>
      <c r="L7" s="269">
        <v>0.1</v>
      </c>
      <c r="M7" s="112" t="s">
        <v>116</v>
      </c>
    </row>
    <row r="8" spans="1:13" x14ac:dyDescent="0.25">
      <c r="A8" s="323"/>
      <c r="B8" s="324"/>
      <c r="C8" s="324"/>
      <c r="D8" s="72">
        <v>42709</v>
      </c>
      <c r="E8" s="268">
        <v>0.47569444444444442</v>
      </c>
      <c r="F8" s="8">
        <v>8.14</v>
      </c>
      <c r="G8" s="112">
        <v>0.1</v>
      </c>
      <c r="H8" s="112">
        <v>10.9</v>
      </c>
      <c r="I8" s="112">
        <v>12.82</v>
      </c>
      <c r="J8" s="112">
        <v>1522</v>
      </c>
      <c r="K8" s="112">
        <v>0.315</v>
      </c>
      <c r="L8" s="269">
        <v>0.02</v>
      </c>
      <c r="M8" s="112" t="s">
        <v>116</v>
      </c>
    </row>
    <row r="9" spans="1:13" x14ac:dyDescent="0.25">
      <c r="A9" s="323"/>
      <c r="B9" s="322" t="s">
        <v>117</v>
      </c>
      <c r="C9" s="322" t="s">
        <v>118</v>
      </c>
      <c r="D9" s="72">
        <v>42422</v>
      </c>
      <c r="E9" s="268">
        <v>0.4145833333333333</v>
      </c>
      <c r="F9" s="8">
        <v>7.53</v>
      </c>
      <c r="G9" s="112">
        <v>1</v>
      </c>
      <c r="H9" s="112"/>
      <c r="I9" s="112">
        <v>12.26</v>
      </c>
      <c r="J9" s="112">
        <v>1534</v>
      </c>
      <c r="K9" s="112">
        <v>0.69099999999999995</v>
      </c>
      <c r="L9" s="269">
        <v>0.25</v>
      </c>
      <c r="M9" s="112" t="s">
        <v>116</v>
      </c>
    </row>
    <row r="10" spans="1:13" x14ac:dyDescent="0.25">
      <c r="A10" s="323"/>
      <c r="B10" s="323"/>
      <c r="C10" s="323"/>
      <c r="D10" s="72">
        <v>42485</v>
      </c>
      <c r="E10" s="268">
        <v>0.49652777777777773</v>
      </c>
      <c r="F10" s="8">
        <v>7.82</v>
      </c>
      <c r="G10" s="112">
        <v>11.8</v>
      </c>
      <c r="H10" s="112"/>
      <c r="I10" s="112">
        <v>13.09</v>
      </c>
      <c r="J10" s="112">
        <v>1317</v>
      </c>
      <c r="K10" s="112">
        <v>1.9</v>
      </c>
      <c r="L10" s="269">
        <v>0.2</v>
      </c>
      <c r="M10" s="112" t="s">
        <v>116</v>
      </c>
    </row>
    <row r="11" spans="1:13" x14ac:dyDescent="0.25">
      <c r="A11" s="323"/>
      <c r="B11" s="323"/>
      <c r="C11" s="323"/>
      <c r="D11" s="72">
        <v>42541</v>
      </c>
      <c r="E11" s="268">
        <v>0.46527777777777773</v>
      </c>
      <c r="F11" s="8">
        <v>7.54</v>
      </c>
      <c r="G11" s="112">
        <v>19</v>
      </c>
      <c r="H11" s="112"/>
      <c r="I11" s="112">
        <v>7.47</v>
      </c>
      <c r="J11" s="112">
        <v>1353</v>
      </c>
      <c r="K11" s="112">
        <v>0.4</v>
      </c>
      <c r="L11" s="269">
        <v>0.8</v>
      </c>
      <c r="M11" s="112" t="s">
        <v>116</v>
      </c>
    </row>
    <row r="12" spans="1:13" x14ac:dyDescent="0.25">
      <c r="A12" s="323"/>
      <c r="B12" s="323"/>
      <c r="C12" s="323"/>
      <c r="D12" s="72">
        <v>42604</v>
      </c>
      <c r="E12" s="268">
        <v>0.46875</v>
      </c>
      <c r="F12" s="8">
        <v>8.31</v>
      </c>
      <c r="G12" s="112">
        <v>17.399999999999999</v>
      </c>
      <c r="H12" s="112">
        <v>31.2</v>
      </c>
      <c r="I12" s="112">
        <v>8.07</v>
      </c>
      <c r="J12" s="112">
        <v>1093</v>
      </c>
      <c r="K12" s="112">
        <v>0.56000000000000005</v>
      </c>
      <c r="L12" s="269">
        <v>0.4</v>
      </c>
      <c r="M12" s="112" t="s">
        <v>116</v>
      </c>
    </row>
    <row r="13" spans="1:13" x14ac:dyDescent="0.25">
      <c r="A13" s="323"/>
      <c r="B13" s="323"/>
      <c r="C13" s="323"/>
      <c r="D13" s="72">
        <v>42660</v>
      </c>
      <c r="E13" s="268">
        <v>0.48958333333333331</v>
      </c>
      <c r="F13" s="8">
        <v>8.27</v>
      </c>
      <c r="G13" s="112">
        <v>10.1</v>
      </c>
      <c r="H13" s="112">
        <v>20.6</v>
      </c>
      <c r="I13" s="112">
        <v>11.43</v>
      </c>
      <c r="J13" s="112">
        <v>1422</v>
      </c>
      <c r="K13" s="112">
        <v>0.43</v>
      </c>
      <c r="L13" s="269">
        <v>0.1</v>
      </c>
      <c r="M13" s="112" t="s">
        <v>116</v>
      </c>
    </row>
    <row r="14" spans="1:13" x14ac:dyDescent="0.25">
      <c r="A14" s="324"/>
      <c r="B14" s="324"/>
      <c r="C14" s="324"/>
      <c r="D14" s="72">
        <v>42709</v>
      </c>
      <c r="E14" s="268">
        <v>0.4826388888888889</v>
      </c>
      <c r="F14" s="8">
        <v>8.26</v>
      </c>
      <c r="G14" s="112">
        <v>0.5</v>
      </c>
      <c r="H14" s="112">
        <v>10.8</v>
      </c>
      <c r="I14" s="112">
        <v>15.69</v>
      </c>
      <c r="J14" s="112">
        <v>1474</v>
      </c>
      <c r="K14" s="112">
        <v>0.27</v>
      </c>
      <c r="L14" s="269">
        <v>0.1</v>
      </c>
      <c r="M14" s="112" t="s">
        <v>116</v>
      </c>
    </row>
    <row r="17" spans="1:7" ht="34" customHeight="1" x14ac:dyDescent="0.25">
      <c r="A17" s="270" t="s">
        <v>102</v>
      </c>
      <c r="B17" s="270" t="s">
        <v>103</v>
      </c>
      <c r="C17" s="271" t="s">
        <v>104</v>
      </c>
      <c r="D17" s="270" t="s">
        <v>3</v>
      </c>
      <c r="E17" s="200" t="s">
        <v>89</v>
      </c>
      <c r="F17" s="200" t="s">
        <v>145</v>
      </c>
    </row>
    <row r="18" spans="1:7" x14ac:dyDescent="0.25">
      <c r="A18" s="325" t="s">
        <v>113</v>
      </c>
      <c r="B18" s="326" t="s">
        <v>114</v>
      </c>
      <c r="C18" s="327" t="s">
        <v>115</v>
      </c>
      <c r="D18" s="226">
        <v>42422</v>
      </c>
      <c r="E18" s="272">
        <v>3256</v>
      </c>
      <c r="F18" s="273">
        <v>14</v>
      </c>
    </row>
    <row r="19" spans="1:7" x14ac:dyDescent="0.25">
      <c r="A19" s="325"/>
      <c r="B19" s="326"/>
      <c r="C19" s="327"/>
      <c r="D19" s="175">
        <v>42485</v>
      </c>
      <c r="E19" s="272">
        <v>1947</v>
      </c>
      <c r="F19" s="273">
        <v>21</v>
      </c>
    </row>
    <row r="20" spans="1:7" x14ac:dyDescent="0.25">
      <c r="A20" s="325"/>
      <c r="B20" s="326"/>
      <c r="C20" s="327"/>
      <c r="D20" s="175">
        <v>42541</v>
      </c>
      <c r="E20" s="272">
        <v>1162</v>
      </c>
      <c r="F20" s="273">
        <v>189</v>
      </c>
    </row>
    <row r="21" spans="1:7" x14ac:dyDescent="0.25">
      <c r="A21" s="325"/>
      <c r="B21" s="326"/>
      <c r="C21" s="327"/>
      <c r="D21" s="175">
        <v>42604</v>
      </c>
      <c r="E21" s="272">
        <v>1057</v>
      </c>
      <c r="F21" s="273">
        <v>98</v>
      </c>
    </row>
    <row r="22" spans="1:7" x14ac:dyDescent="0.25">
      <c r="A22" s="325"/>
      <c r="B22" s="326"/>
      <c r="C22" s="327"/>
      <c r="D22" s="175">
        <v>42660</v>
      </c>
      <c r="E22" s="272">
        <v>1936</v>
      </c>
      <c r="F22" s="273">
        <v>27</v>
      </c>
    </row>
    <row r="23" spans="1:7" x14ac:dyDescent="0.25">
      <c r="A23" s="325"/>
      <c r="B23" s="326"/>
      <c r="C23" s="327"/>
      <c r="D23" s="244">
        <v>42709</v>
      </c>
      <c r="E23" s="272">
        <v>3892</v>
      </c>
      <c r="F23" s="273">
        <v>18</v>
      </c>
    </row>
    <row r="24" spans="1:7" x14ac:dyDescent="0.25">
      <c r="A24" s="325"/>
      <c r="B24" s="326" t="s">
        <v>117</v>
      </c>
      <c r="C24" s="327" t="s">
        <v>118</v>
      </c>
      <c r="D24" s="226">
        <v>42422</v>
      </c>
      <c r="E24" s="272">
        <v>3201</v>
      </c>
      <c r="F24" s="273">
        <v>9</v>
      </c>
    </row>
    <row r="25" spans="1:7" x14ac:dyDescent="0.25">
      <c r="A25" s="325"/>
      <c r="B25" s="326"/>
      <c r="C25" s="327"/>
      <c r="D25" s="175">
        <v>42485</v>
      </c>
      <c r="E25" s="272">
        <v>1950</v>
      </c>
      <c r="F25" s="273">
        <v>31</v>
      </c>
    </row>
    <row r="26" spans="1:7" x14ac:dyDescent="0.25">
      <c r="A26" s="325"/>
      <c r="B26" s="326"/>
      <c r="C26" s="327"/>
      <c r="D26" s="175">
        <v>42541</v>
      </c>
      <c r="E26" s="272">
        <v>972</v>
      </c>
      <c r="F26" s="273">
        <v>156</v>
      </c>
    </row>
    <row r="27" spans="1:7" x14ac:dyDescent="0.25">
      <c r="A27" s="325"/>
      <c r="B27" s="326"/>
      <c r="C27" s="327"/>
      <c r="D27" s="175">
        <v>42604</v>
      </c>
      <c r="E27" s="272">
        <v>940</v>
      </c>
      <c r="F27" s="273">
        <v>77</v>
      </c>
    </row>
    <row r="28" spans="1:7" x14ac:dyDescent="0.25">
      <c r="A28" s="325"/>
      <c r="B28" s="326"/>
      <c r="C28" s="327"/>
      <c r="D28" s="175">
        <v>42660</v>
      </c>
      <c r="E28" s="272">
        <v>1705</v>
      </c>
      <c r="F28" s="273">
        <v>14</v>
      </c>
    </row>
    <row r="29" spans="1:7" x14ac:dyDescent="0.25">
      <c r="A29" s="325"/>
      <c r="B29" s="326"/>
      <c r="C29" s="327"/>
      <c r="D29" s="244">
        <v>42709</v>
      </c>
      <c r="E29" s="272">
        <v>3810</v>
      </c>
      <c r="F29" s="273">
        <v>23</v>
      </c>
    </row>
    <row r="31" spans="1:7" x14ac:dyDescent="0.25">
      <c r="B31">
        <v>60</v>
      </c>
      <c r="C31">
        <v>61</v>
      </c>
      <c r="D31">
        <v>61</v>
      </c>
      <c r="E31">
        <v>62</v>
      </c>
      <c r="F31">
        <v>61</v>
      </c>
      <c r="G31">
        <v>61</v>
      </c>
    </row>
    <row r="32" spans="1:7" x14ac:dyDescent="0.25">
      <c r="B32" t="s">
        <v>121</v>
      </c>
      <c r="C32" t="s">
        <v>122</v>
      </c>
      <c r="D32" t="s">
        <v>123</v>
      </c>
      <c r="E32" t="s">
        <v>124</v>
      </c>
      <c r="F32" t="s">
        <v>125</v>
      </c>
      <c r="G32" t="s">
        <v>126</v>
      </c>
    </row>
    <row r="33" spans="1:8" x14ac:dyDescent="0.25">
      <c r="B33" t="s">
        <v>76</v>
      </c>
    </row>
    <row r="34" spans="1:8" x14ac:dyDescent="0.25">
      <c r="A34" t="s">
        <v>96</v>
      </c>
      <c r="B34" s="89">
        <v>0.68899999999999995</v>
      </c>
      <c r="C34">
        <v>2.2999999999999998</v>
      </c>
      <c r="D34">
        <v>0.46</v>
      </c>
      <c r="E34">
        <v>0.74</v>
      </c>
      <c r="F34">
        <v>0.55000000000000004</v>
      </c>
      <c r="G34">
        <v>0.315</v>
      </c>
    </row>
    <row r="35" spans="1:8" x14ac:dyDescent="0.25">
      <c r="A35" t="s">
        <v>99</v>
      </c>
      <c r="B35" s="89">
        <v>0.69099999999999995</v>
      </c>
      <c r="C35">
        <v>1.9</v>
      </c>
      <c r="D35">
        <v>0.4</v>
      </c>
      <c r="E35">
        <v>0.56000000000000005</v>
      </c>
      <c r="F35">
        <v>0.43</v>
      </c>
      <c r="G35">
        <v>0.27</v>
      </c>
    </row>
    <row r="36" spans="1:8" x14ac:dyDescent="0.25">
      <c r="B36" t="s">
        <v>127</v>
      </c>
    </row>
    <row r="37" spans="1:8" x14ac:dyDescent="0.25">
      <c r="A37" t="s">
        <v>96</v>
      </c>
      <c r="B37" s="89">
        <v>1.366287</v>
      </c>
      <c r="C37" s="89">
        <v>4.5609000000000002</v>
      </c>
      <c r="D37" s="89">
        <v>0.9121800000000001</v>
      </c>
      <c r="E37" s="89">
        <v>1.4674199999999999</v>
      </c>
      <c r="F37" s="89">
        <v>1.0906500000000001</v>
      </c>
      <c r="G37" s="89">
        <v>0.62464500000000001</v>
      </c>
    </row>
    <row r="38" spans="1:8" x14ac:dyDescent="0.25">
      <c r="A38" t="s">
        <v>99</v>
      </c>
      <c r="B38" s="89">
        <v>1.3702529999999999</v>
      </c>
      <c r="C38" s="89">
        <v>3.7677</v>
      </c>
      <c r="D38" s="89">
        <v>0.79320000000000013</v>
      </c>
      <c r="E38" s="89">
        <v>1.1104800000000001</v>
      </c>
      <c r="F38" s="89">
        <v>0.85269000000000006</v>
      </c>
      <c r="G38" s="89">
        <v>0.53541000000000005</v>
      </c>
    </row>
    <row r="39" spans="1:8" x14ac:dyDescent="0.25">
      <c r="B39" t="s">
        <v>128</v>
      </c>
    </row>
    <row r="40" spans="1:8" x14ac:dyDescent="0.25">
      <c r="A40" t="s">
        <v>96</v>
      </c>
      <c r="B40" s="15">
        <v>81.977220000000003</v>
      </c>
      <c r="C40" s="15">
        <v>273.654</v>
      </c>
      <c r="D40" s="15">
        <v>54.730800000000009</v>
      </c>
      <c r="E40" s="15">
        <v>88.045199999999994</v>
      </c>
      <c r="F40" s="15">
        <v>65.439000000000007</v>
      </c>
      <c r="G40" s="15">
        <v>37.478700000000003</v>
      </c>
      <c r="H40" s="15">
        <v>601.32491999999991</v>
      </c>
    </row>
    <row r="41" spans="1:8" x14ac:dyDescent="0.25">
      <c r="A41" t="s">
        <v>99</v>
      </c>
      <c r="B41" s="15">
        <v>82.215180000000004</v>
      </c>
      <c r="C41" s="15">
        <v>229.8297</v>
      </c>
      <c r="D41" s="15">
        <v>48.385200000000005</v>
      </c>
      <c r="E41" s="15">
        <v>68.849760000000003</v>
      </c>
      <c r="F41" s="15">
        <v>52.014090000000003</v>
      </c>
      <c r="G41" s="15">
        <v>32.66001</v>
      </c>
      <c r="H41" s="15">
        <v>513.9539400000001</v>
      </c>
    </row>
    <row r="43" spans="1:8" x14ac:dyDescent="0.25">
      <c r="B43" t="s">
        <v>132</v>
      </c>
    </row>
    <row r="44" spans="1:8" x14ac:dyDescent="0.25">
      <c r="B44" t="s">
        <v>97</v>
      </c>
      <c r="C44" t="s">
        <v>89</v>
      </c>
      <c r="D44" t="s">
        <v>145</v>
      </c>
    </row>
    <row r="45" spans="1:8" x14ac:dyDescent="0.25">
      <c r="A45" t="s">
        <v>96</v>
      </c>
      <c r="B45" s="15">
        <v>601.32491999999991</v>
      </c>
      <c r="C45" s="15">
        <v>3624.4247492514605</v>
      </c>
      <c r="D45" s="15">
        <v>74.561665738140007</v>
      </c>
    </row>
    <row r="46" spans="1:8" x14ac:dyDescent="0.25">
      <c r="A46" t="s">
        <v>99</v>
      </c>
      <c r="B46" s="15">
        <v>513.9539400000001</v>
      </c>
      <c r="C46" s="15">
        <v>2821.5904534311903</v>
      </c>
      <c r="D46" s="15">
        <v>60.433057154190003</v>
      </c>
    </row>
    <row r="47" spans="1:8" x14ac:dyDescent="0.25">
      <c r="B47" t="s">
        <v>100</v>
      </c>
    </row>
    <row r="48" spans="1:8" x14ac:dyDescent="0.25">
      <c r="A48" t="s">
        <v>96</v>
      </c>
      <c r="C48" s="15">
        <v>604.07079154191013</v>
      </c>
      <c r="D48" s="15">
        <v>12.426944289690001</v>
      </c>
    </row>
    <row r="49" spans="1:4" x14ac:dyDescent="0.25">
      <c r="A49" t="s">
        <v>99</v>
      </c>
      <c r="C49" s="15">
        <v>470.26507557186505</v>
      </c>
      <c r="D49" s="15">
        <v>10.072176192365001</v>
      </c>
    </row>
  </sheetData>
  <mergeCells count="10">
    <mergeCell ref="A18:A29"/>
    <mergeCell ref="B18:B23"/>
    <mergeCell ref="C18:C23"/>
    <mergeCell ref="B24:B29"/>
    <mergeCell ref="C24:C29"/>
    <mergeCell ref="A3:A14"/>
    <mergeCell ref="B3:B8"/>
    <mergeCell ref="B9:B14"/>
    <mergeCell ref="C3:C8"/>
    <mergeCell ref="C9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2004 2012 Data</vt:lpstr>
      <vt:lpstr>Flow</vt:lpstr>
      <vt:lpstr>Load</vt:lpstr>
      <vt:lpstr>2013 </vt:lpstr>
      <vt:lpstr>2014</vt:lpstr>
      <vt:lpstr>2015</vt:lpstr>
      <vt:lpstr>2016</vt:lpstr>
      <vt:lpstr>Load!_Hlt465134152</vt:lpstr>
      <vt:lpstr>'2015'!Print_Area</vt:lpstr>
      <vt:lpstr>Load!Print_Area</vt:lpstr>
    </vt:vector>
  </TitlesOfParts>
  <Company>Zerbeclay,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N. Clayshulte</dc:creator>
  <cp:lastModifiedBy>RNC Consulting LLC</cp:lastModifiedBy>
  <cp:lastPrinted>2016-01-28T23:44:35Z</cp:lastPrinted>
  <dcterms:created xsi:type="dcterms:W3CDTF">2006-05-02T14:46:02Z</dcterms:created>
  <dcterms:modified xsi:type="dcterms:W3CDTF">2020-04-13T19:23:55Z</dcterms:modified>
</cp:coreProperties>
</file>