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4.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5.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drawings/drawing6.xml" ContentType="application/vnd.openxmlformats-officedocument.drawing+xml"/>
  <Override PartName="/xl/charts/chart23.xml" ContentType="application/vnd.openxmlformats-officedocument.drawingml.chart+xml"/>
  <Override PartName="/xl/drawings/drawing7.xml" ContentType="application/vnd.openxmlformats-officedocument.drawingml.chartshapes+xml"/>
  <Override PartName="/xl/charts/chart2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25.xml" ContentType="application/vnd.openxmlformats-officedocument.drawingml.chart+xml"/>
  <Override PartName="/xl/drawings/drawing10.xml" ContentType="application/vnd.openxmlformats-officedocument.drawingml.chartshapes+xml"/>
  <Override PartName="/xl/charts/chart26.xml" ContentType="application/vnd.openxmlformats-officedocument.drawingml.chart+xml"/>
  <Override PartName="/xl/drawings/drawing11.xml" ContentType="application/vnd.openxmlformats-officedocument.drawing+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drawings/drawing12.xml" ContentType="application/vnd.openxmlformats-officedocument.drawing+xml"/>
  <Override PartName="/xl/charts/chart32.xml" ContentType="application/vnd.openxmlformats-officedocument.drawingml.chart+xml"/>
  <Override PartName="/xl/charts/chart33.xml" ContentType="application/vnd.openxmlformats-officedocument.drawingml.chart+xml"/>
  <Override PartName="/xl/drawings/drawing13.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drawings/drawing14.xml" ContentType="application/vnd.openxmlformats-officedocument.drawing+xml"/>
  <Override PartName="/xl/charts/chart36.xml" ContentType="application/vnd.openxmlformats-officedocument.drawingml.chart+xml"/>
  <Override PartName="/xl/charts/chart37.xml" ContentType="application/vnd.openxmlformats-officedocument.drawingml.chart+xml"/>
  <Override PartName="/xl/drawings/drawing15.xml" ContentType="application/vnd.openxmlformats-officedocument.drawing+xml"/>
  <Override PartName="/xl/charts/chart38.xml" ContentType="application/vnd.openxmlformats-officedocument.drawingml.chart+xml"/>
  <Override PartName="/xl/charts/chart39.xml" ContentType="application/vnd.openxmlformats-officedocument.drawingml.chart+xml"/>
  <Override PartName="/xl/drawings/drawing16.xml" ContentType="application/vnd.openxmlformats-officedocument.drawing+xml"/>
  <Override PartName="/xl/charts/chart40.xml" ContentType="application/vnd.openxmlformats-officedocument.drawingml.chart+xml"/>
  <Override PartName="/xl/charts/chart41.xml" ContentType="application/vnd.openxmlformats-officedocument.drawingml.chart+xml"/>
  <Override PartName="/xl/drawings/drawing17.xml" ContentType="application/vnd.openxmlformats-officedocument.drawing+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drawings/drawing18.xml" ContentType="application/vnd.openxmlformats-officedocument.drawing+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drawings/drawing19.xml" ContentType="application/vnd.openxmlformats-officedocument.drawing+xml"/>
  <Override PartName="/xl/charts/chart49.xml" ContentType="application/vnd.openxmlformats-officedocument.drawingml.chart+xml"/>
  <Override PartName="/xl/drawings/drawing20.xml" ContentType="application/vnd.openxmlformats-officedocument.drawing+xml"/>
  <Override PartName="/xl/charts/chart50.xml" ContentType="application/vnd.openxmlformats-officedocument.drawingml.chart+xml"/>
  <Override PartName="/xl/charts/chart51.xml" ContentType="application/vnd.openxmlformats-officedocument.drawingml.chart+xml"/>
  <Override PartName="/xl/drawings/drawing21.xml" ContentType="application/vnd.openxmlformats-officedocument.drawing+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drawings/drawing22.xml" ContentType="application/vnd.openxmlformats-officedocument.drawing+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drawings/drawing23.xml" ContentType="application/vnd.openxmlformats-officedocument.drawing+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drawings/drawing24.xml" ContentType="application/vnd.openxmlformats-officedocument.drawing+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drawings/drawing25.xml" ContentType="application/vnd.openxmlformats-officedocument.drawing+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drawings/drawing26.xml" ContentType="application/vnd.openxmlformats-officedocument.drawing+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drawings/drawing27.xml" ContentType="application/vnd.openxmlformats-officedocument.drawing+xml"/>
  <Override PartName="/xl/charts/chart88.xml" ContentType="application/vnd.openxmlformats-officedocument.drawingml.chart+xml"/>
  <Override PartName="/xl/charts/chart8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430"/>
  <workbookPr codeName="ThisWorkbook" defaultThemeVersion="124226"/>
  <mc:AlternateContent xmlns:mc="http://schemas.openxmlformats.org/markup-compatibility/2006">
    <mc:Choice Requires="x15">
      <x15ac:absPath xmlns:x15ac="http://schemas.microsoft.com/office/spreadsheetml/2010/11/ac" url="C:\Users\RNC Consulting LLC\Documents\BCWA Working\BCWA Watershed Plan Working\MSD-Year P1 P4 Master Spreadsheets\"/>
    </mc:Choice>
  </mc:AlternateContent>
  <xr:revisionPtr revIDLastSave="0" documentId="13_ncr:1_{34F7425D-14C6-406D-A37F-CC6977888216}" xr6:coauthVersionLast="45" xr6:coauthVersionMax="45" xr10:uidLastSave="{00000000-0000-0000-0000-000000000000}"/>
  <bookViews>
    <workbookView xWindow="-110" yWindow="-110" windowWidth="19420" windowHeight="10420" tabRatio="930" firstSheet="16" activeTab="24" xr2:uid="{00000000-000D-0000-FFFF-FFFF00000000}"/>
  </bookViews>
  <sheets>
    <sheet name="Reservoir Sample Sites" sheetId="30" r:id="rId1"/>
    <sheet name="Reservoir Summary Stats" sheetId="19" r:id="rId2"/>
    <sheet name="Annual Reservoir Trends" sheetId="24" r:id="rId3"/>
    <sheet name="Nitrate Trends" sheetId="23" r:id="rId4"/>
    <sheet name="Phosphorus Trends" sheetId="22" r:id="rId5"/>
    <sheet name="Loading" sheetId="21" r:id="rId6"/>
    <sheet name="Carlson" sheetId="20" r:id="rId7"/>
    <sheet name="Walker" sheetId="25" r:id="rId8"/>
    <sheet name="Monthly Discharge" sheetId="26" r:id="rId9"/>
    <sheet name="Temperature" sheetId="13" r:id="rId10"/>
    <sheet name="Conductance" sheetId="1" r:id="rId11"/>
    <sheet name="pH" sheetId="7" r:id="rId12"/>
    <sheet name="Oxygen" sheetId="8" r:id="rId13"/>
    <sheet name="Temp DO Comp" sheetId="49" r:id="rId14"/>
    <sheet name="T &amp; Diss Phosphorus" sheetId="3" r:id="rId15"/>
    <sheet name="Nitrate &amp; T Nitrogen" sheetId="15" r:id="rId16"/>
    <sheet name="TSS" sheetId="12" r:id="rId17"/>
    <sheet name="Chlsecchi" sheetId="14" r:id="rId18"/>
    <sheet name="Phytoplankton" sheetId="18" r:id="rId19"/>
    <sheet name="Monthly Chemistry" sheetId="34" r:id="rId20"/>
    <sheet name="Reg 85 WWTF" sheetId="83" r:id="rId21"/>
    <sheet name="MWS 2013 chemistry" sheetId="56" r:id="rId22"/>
    <sheet name="MWS 2013 Field" sheetId="72" r:id="rId23"/>
    <sheet name="Flood Chemistry" sheetId="85" r:id="rId24"/>
    <sheet name="Evergreen Lake" sheetId="64" r:id="rId25"/>
    <sheet name="Mt Evans" sheetId="71" r:id="rId26"/>
    <sheet name="Coyote" sheetId="90" r:id="rId27"/>
    <sheet name="T Standards" sheetId="59" r:id="rId28"/>
    <sheet name="Rec Use" sheetId="60" r:id="rId29"/>
    <sheet name="303d List " sheetId="63" r:id="rId30"/>
    <sheet name="Field Sheet" sheetId="31" r:id="rId31"/>
    <sheet name="Horse Manure" sheetId="70" r:id="rId32"/>
    <sheet name="Monitoring Parametrs 2013" sheetId="77" r:id="rId33"/>
    <sheet name="2013 P3 Monitoring Sites" sheetId="74" r:id="rId34"/>
    <sheet name="2014 Monitoring " sheetId="86" r:id="rId35"/>
    <sheet name="WWTP" sheetId="76" r:id="rId36"/>
    <sheet name="Monitoring Costs" sheetId="78" r:id="rId37"/>
    <sheet name="Labratory" sheetId="79" r:id="rId38"/>
    <sheet name="Field WS" sheetId="80" r:id="rId39"/>
    <sheet name="Watershed 102 Topics" sheetId="81" r:id="rId40"/>
    <sheet name="Newsletter topics" sheetId="82" r:id="rId41"/>
    <sheet name="Data Summary" sheetId="87" r:id="rId42"/>
    <sheet name="Coyote Gulch" sheetId="88" r:id="rId43"/>
    <sheet name="Kerr Swede Lab" sheetId="89" r:id="rId44"/>
    <sheet name="E coli" sheetId="91" r:id="rId45"/>
  </sheets>
  <externalReferences>
    <externalReference r:id="rId46"/>
  </externalReferences>
  <definedNames>
    <definedName name="_xlnm.Print_Area" localSheetId="33">'2013 P3 Monitoring Sites'!$I$2:$R$21</definedName>
    <definedName name="_xlnm.Print_Area" localSheetId="6">Carlson!$M$52:$Y$93</definedName>
    <definedName name="_xlnm.Print_Area" localSheetId="17">Chlsecchi!$A$1:$P$62</definedName>
    <definedName name="_xlnm.Print_Area" localSheetId="10">Conductance!$A$1:$P$22</definedName>
    <definedName name="_xlnm.Print_Area" localSheetId="30">'Field Sheet'!$A$1:$I$55</definedName>
    <definedName name="_xlnm.Print_Area" localSheetId="38">'Field WS'!$A$61:$J$113</definedName>
    <definedName name="_xlnm.Print_Area" localSheetId="23">'Flood Chemistry'!$Q$1:$V$32</definedName>
    <definedName name="_xlnm.Print_Area" localSheetId="5">Loading!$A$81:$N$113</definedName>
    <definedName name="_xlnm.Print_Area" localSheetId="19">'Monthly Chemistry'!$A$2:$M$34</definedName>
    <definedName name="_xlnm.Print_Area" localSheetId="25">'Mt Evans'!$U$2:$AA$23</definedName>
    <definedName name="_xlnm.Print_Area" localSheetId="21">'MWS 2013 chemistry'!#REF!</definedName>
    <definedName name="_xlnm.Print_Area" localSheetId="15">'Nitrate &amp; T Nitrogen'!#REF!</definedName>
    <definedName name="_xlnm.Print_Area" localSheetId="12">Oxygen!$A$1:$Q$24</definedName>
    <definedName name="_xlnm.Print_Area" localSheetId="11">pH!$A$1:$Q$10</definedName>
    <definedName name="_xlnm.Print_Area" localSheetId="28">'Rec Use'!$R$1:$AE$40</definedName>
    <definedName name="_xlnm.Print_Area" localSheetId="14">'T &amp; Diss Phosphorus'!#REF!</definedName>
    <definedName name="_xlnm.Print_Area" localSheetId="13">'Temp DO Comp'!$S$1:$AJ$8</definedName>
    <definedName name="_xlnm.Print_Area" localSheetId="9">Temperature!$A$2:$T$74</definedName>
    <definedName name="_xlnm.Print_Area" localSheetId="16">TSS!$A$1:$U$21</definedName>
    <definedName name="_xlnm.Print_Area" localSheetId="7">Walker!$M$50:$AM$86</definedName>
    <definedName name="_xlnm.Print_Titles" localSheetId="18">Phytoplankton!#REF!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1" i="64" l="1"/>
  <c r="P126" i="21" l="1"/>
  <c r="H127" i="21" l="1"/>
  <c r="C120" i="21" l="1"/>
  <c r="D120" i="21" s="1"/>
  <c r="B122" i="21"/>
  <c r="BL47" i="85"/>
  <c r="BK47" i="85"/>
  <c r="BJ47" i="85"/>
  <c r="BI47" i="85"/>
  <c r="BL44" i="85"/>
  <c r="BK44" i="85"/>
  <c r="BJ44" i="85"/>
  <c r="BI44" i="85"/>
  <c r="BK26" i="85"/>
  <c r="BL26" i="85" s="1"/>
  <c r="BK25" i="85"/>
  <c r="BK35" i="85" s="1"/>
  <c r="BK38" i="85" s="1"/>
  <c r="BI26" i="85"/>
  <c r="BJ26" i="85" s="1"/>
  <c r="BI25" i="85"/>
  <c r="BJ25" i="85" s="1"/>
  <c r="BJ35" i="85" l="1"/>
  <c r="BJ38" i="85" s="1"/>
  <c r="BL25" i="85"/>
  <c r="BL35" i="85" s="1"/>
  <c r="BL38" i="85" s="1"/>
  <c r="C121" i="21"/>
  <c r="D121" i="21" s="1"/>
  <c r="E121" i="21" s="1"/>
  <c r="BI35" i="85"/>
  <c r="BI38" i="85" s="1"/>
  <c r="C122" i="21"/>
  <c r="E120" i="21"/>
  <c r="AI14" i="26"/>
  <c r="AI13" i="26"/>
  <c r="AI12" i="26"/>
  <c r="AI11" i="26"/>
  <c r="AI10" i="26"/>
  <c r="AI9" i="26"/>
  <c r="AI8" i="26"/>
  <c r="AI7" i="26"/>
  <c r="AI6" i="26"/>
  <c r="AI5" i="26"/>
  <c r="AI4" i="26"/>
  <c r="AI3" i="26"/>
  <c r="D122" i="21" l="1"/>
  <c r="E122" i="21" s="1"/>
  <c r="AP3" i="56"/>
  <c r="AQ3" i="56"/>
  <c r="AP4" i="56"/>
  <c r="AQ4" i="56"/>
  <c r="AP5" i="56"/>
  <c r="AQ5" i="56"/>
  <c r="AP6" i="56"/>
  <c r="AQ6" i="56"/>
  <c r="AP7" i="56"/>
  <c r="AQ7" i="56"/>
  <c r="AP8" i="56"/>
  <c r="AQ8" i="56"/>
  <c r="AP9" i="56"/>
  <c r="AQ9" i="56"/>
  <c r="AP10" i="56"/>
  <c r="AQ10" i="56"/>
  <c r="AP11" i="56"/>
  <c r="AQ11" i="56"/>
  <c r="AP12" i="56"/>
  <c r="AQ12" i="56"/>
  <c r="AP13" i="56"/>
  <c r="AQ13" i="56"/>
  <c r="AP14" i="56"/>
  <c r="AQ14" i="56"/>
  <c r="AP15" i="56"/>
  <c r="AQ15" i="56"/>
  <c r="AP16" i="56"/>
  <c r="AQ16" i="56"/>
  <c r="AP17" i="56"/>
  <c r="AQ17" i="56"/>
  <c r="AP18" i="56"/>
  <c r="AQ18" i="56"/>
  <c r="AP19" i="56"/>
  <c r="AQ19" i="56"/>
  <c r="AO4" i="56"/>
  <c r="AO5" i="56"/>
  <c r="AO6" i="56"/>
  <c r="AO7" i="56"/>
  <c r="AO8" i="56"/>
  <c r="AO9" i="56"/>
  <c r="AO10" i="56"/>
  <c r="AO11" i="56"/>
  <c r="AO12" i="56"/>
  <c r="AO13" i="56"/>
  <c r="AO14" i="56"/>
  <c r="AO15" i="56"/>
  <c r="AO16" i="56"/>
  <c r="AO17" i="56"/>
  <c r="AO18" i="56"/>
  <c r="AO19" i="56"/>
  <c r="AO3" i="56"/>
  <c r="AN4" i="56"/>
  <c r="AN5" i="56"/>
  <c r="AN6" i="56"/>
  <c r="AN7" i="56"/>
  <c r="AN8" i="56"/>
  <c r="AN9" i="56"/>
  <c r="AN10" i="56"/>
  <c r="AN11" i="56"/>
  <c r="AN12" i="56"/>
  <c r="AN13" i="56"/>
  <c r="AN14" i="56"/>
  <c r="AN15" i="56"/>
  <c r="AN16" i="56"/>
  <c r="AN17" i="56"/>
  <c r="AN18" i="56"/>
  <c r="AN19" i="56"/>
  <c r="AN3" i="56"/>
  <c r="M4" i="70"/>
  <c r="L4" i="70"/>
  <c r="K4" i="70"/>
  <c r="J4" i="70"/>
  <c r="I4" i="70"/>
  <c r="H4" i="70"/>
  <c r="G4" i="70"/>
  <c r="F4" i="70"/>
  <c r="E4" i="70"/>
  <c r="C4" i="70"/>
  <c r="J48" i="21"/>
  <c r="J44" i="21" s="1"/>
  <c r="Q52" i="3"/>
  <c r="P61" i="1"/>
  <c r="Q74" i="1"/>
  <c r="Q61" i="1"/>
  <c r="Q22" i="1"/>
  <c r="Q73" i="7"/>
  <c r="Q60" i="7"/>
  <c r="P73" i="7"/>
  <c r="P60" i="7"/>
  <c r="P49" i="7"/>
  <c r="P37" i="7"/>
  <c r="Q22" i="7"/>
  <c r="P22" i="7"/>
  <c r="Q73" i="8"/>
  <c r="P73" i="8"/>
  <c r="P60" i="8"/>
  <c r="P49" i="8"/>
  <c r="P50" i="8"/>
  <c r="P37" i="8"/>
  <c r="Q60" i="8"/>
  <c r="Q22" i="8"/>
  <c r="P22" i="8"/>
  <c r="O73" i="8"/>
  <c r="O60" i="8"/>
  <c r="O49" i="8"/>
  <c r="O37" i="8"/>
  <c r="O73" i="7"/>
  <c r="O60" i="7"/>
  <c r="O49" i="7"/>
  <c r="O37" i="7"/>
  <c r="O74" i="1"/>
  <c r="O61" i="1"/>
  <c r="O22" i="8"/>
  <c r="N22" i="8"/>
  <c r="M73" i="8"/>
  <c r="M60" i="8"/>
  <c r="M49" i="8"/>
  <c r="M37" i="8"/>
  <c r="M73" i="7"/>
  <c r="M60" i="7"/>
  <c r="M49" i="7"/>
  <c r="N22" i="7"/>
  <c r="M61" i="1"/>
  <c r="M37" i="1"/>
  <c r="M22" i="8"/>
  <c r="M22" i="7"/>
  <c r="L61" i="1"/>
  <c r="L73" i="7"/>
  <c r="L60" i="7"/>
  <c r="L49" i="7"/>
  <c r="L37" i="7"/>
  <c r="L73" i="8"/>
  <c r="L60" i="8"/>
  <c r="L49" i="8"/>
  <c r="L37" i="8"/>
  <c r="L22" i="8"/>
  <c r="L22" i="7"/>
  <c r="K61" i="1"/>
  <c r="K37" i="1"/>
  <c r="K73" i="7"/>
  <c r="K60" i="7"/>
  <c r="J49" i="7"/>
  <c r="K49" i="7"/>
  <c r="K37" i="7"/>
  <c r="K73" i="8"/>
  <c r="K60" i="8"/>
  <c r="K49" i="8"/>
  <c r="K37" i="8"/>
  <c r="K22" i="8"/>
  <c r="K22" i="7"/>
  <c r="K22" i="1"/>
  <c r="J74" i="1"/>
  <c r="J61" i="1"/>
  <c r="J37" i="1"/>
  <c r="J73" i="8"/>
  <c r="J60" i="8"/>
  <c r="J49" i="8"/>
  <c r="J37" i="8"/>
  <c r="J73" i="7"/>
  <c r="J60" i="7"/>
  <c r="J37" i="7"/>
  <c r="J22" i="7"/>
  <c r="J22" i="8"/>
  <c r="I73" i="8"/>
  <c r="I60" i="8"/>
  <c r="I49" i="8"/>
  <c r="I37" i="8"/>
  <c r="I73" i="7"/>
  <c r="I60" i="7"/>
  <c r="I49" i="7"/>
  <c r="I37" i="7"/>
  <c r="I74" i="1"/>
  <c r="I50" i="1"/>
  <c r="I22" i="7"/>
  <c r="I22" i="8"/>
  <c r="H73" i="8"/>
  <c r="G73" i="8"/>
  <c r="H60" i="8"/>
  <c r="H49" i="8"/>
  <c r="H37" i="8"/>
  <c r="H73" i="7"/>
  <c r="H60" i="7"/>
  <c r="T59" i="7"/>
  <c r="H49" i="7"/>
  <c r="H37" i="7"/>
  <c r="G74" i="1"/>
  <c r="H74" i="1"/>
  <c r="H37" i="1"/>
  <c r="T36" i="1"/>
  <c r="H22" i="8"/>
  <c r="H22" i="7"/>
  <c r="G60" i="8"/>
  <c r="G49" i="8"/>
  <c r="G37" i="8"/>
  <c r="G73" i="7"/>
  <c r="G49" i="7"/>
  <c r="G37" i="7"/>
  <c r="G61" i="1"/>
  <c r="G22" i="8"/>
  <c r="G22" i="7"/>
  <c r="G22" i="1"/>
  <c r="F74" i="1"/>
  <c r="F61" i="1"/>
  <c r="F50" i="1"/>
  <c r="F37" i="1"/>
  <c r="F73" i="8"/>
  <c r="F60" i="8"/>
  <c r="F49" i="8"/>
  <c r="F37" i="8"/>
  <c r="F73" i="7"/>
  <c r="F60" i="7"/>
  <c r="F49" i="7"/>
  <c r="F37" i="7"/>
  <c r="G10" i="18"/>
  <c r="G9" i="18"/>
  <c r="G8" i="18"/>
  <c r="C8" i="18"/>
  <c r="D8" i="18"/>
  <c r="E8" i="18"/>
  <c r="F8" i="18"/>
  <c r="F22" i="8"/>
  <c r="F22" i="1"/>
  <c r="F22" i="7"/>
  <c r="D22" i="1"/>
  <c r="E22" i="1"/>
  <c r="E22" i="7"/>
  <c r="E22" i="8"/>
  <c r="C73" i="7"/>
  <c r="D73" i="7"/>
  <c r="D60" i="7"/>
  <c r="D49" i="7"/>
  <c r="D37" i="7"/>
  <c r="D50" i="1"/>
  <c r="G50" i="1"/>
  <c r="H50" i="1"/>
  <c r="J50" i="1"/>
  <c r="K50" i="1"/>
  <c r="L50" i="1"/>
  <c r="M50" i="1"/>
  <c r="O50" i="1"/>
  <c r="P50" i="1"/>
  <c r="D73" i="8"/>
  <c r="D60" i="8"/>
  <c r="D49" i="8"/>
  <c r="D37" i="8"/>
  <c r="C22" i="8"/>
  <c r="D22" i="8"/>
  <c r="D22" i="7"/>
  <c r="C73" i="8"/>
  <c r="C60" i="8"/>
  <c r="C49" i="8"/>
  <c r="C37" i="8"/>
  <c r="C60" i="7"/>
  <c r="G60" i="7"/>
  <c r="C49" i="7"/>
  <c r="C37" i="7"/>
  <c r="M37" i="7"/>
  <c r="C75" i="1"/>
  <c r="D75" i="1"/>
  <c r="F75" i="1"/>
  <c r="G75" i="1"/>
  <c r="H75" i="1"/>
  <c r="I75" i="1"/>
  <c r="J75" i="1"/>
  <c r="K75" i="1"/>
  <c r="L75" i="1"/>
  <c r="M75" i="1"/>
  <c r="O75" i="1"/>
  <c r="P75" i="1"/>
  <c r="Q75" i="1"/>
  <c r="C74" i="1"/>
  <c r="D74" i="1"/>
  <c r="K74" i="1"/>
  <c r="L74" i="1"/>
  <c r="M74" i="1"/>
  <c r="P74" i="1"/>
  <c r="C61" i="1"/>
  <c r="D61" i="1"/>
  <c r="H61" i="1"/>
  <c r="I61" i="1"/>
  <c r="C51" i="1"/>
  <c r="D51" i="1"/>
  <c r="F51" i="1"/>
  <c r="G51" i="1"/>
  <c r="H51" i="1"/>
  <c r="I51" i="1"/>
  <c r="J51" i="1"/>
  <c r="K51" i="1"/>
  <c r="L51" i="1"/>
  <c r="M51" i="1"/>
  <c r="O51" i="1"/>
  <c r="P51" i="1"/>
  <c r="C50" i="1"/>
  <c r="C37" i="1"/>
  <c r="D37" i="1"/>
  <c r="G37" i="1"/>
  <c r="I37" i="1"/>
  <c r="L37" i="1"/>
  <c r="O37" i="1"/>
  <c r="P37" i="1"/>
  <c r="C22" i="7"/>
  <c r="O22" i="7"/>
  <c r="B22" i="7"/>
  <c r="C22" i="1"/>
  <c r="H22" i="1"/>
  <c r="I22" i="1"/>
  <c r="J22" i="1"/>
  <c r="L22" i="1"/>
  <c r="M22" i="1"/>
  <c r="N22" i="1"/>
  <c r="O22" i="1"/>
  <c r="P22" i="1"/>
  <c r="B73" i="8"/>
  <c r="B60" i="8"/>
  <c r="C50" i="8"/>
  <c r="D50" i="8"/>
  <c r="F50" i="8"/>
  <c r="G50" i="8"/>
  <c r="H50" i="8"/>
  <c r="I50" i="8"/>
  <c r="J50" i="8"/>
  <c r="K50" i="8"/>
  <c r="L50" i="8"/>
  <c r="M50" i="8"/>
  <c r="O50" i="8"/>
  <c r="B49" i="8"/>
  <c r="B37" i="8"/>
  <c r="B73" i="7"/>
  <c r="C61" i="7"/>
  <c r="D61" i="7"/>
  <c r="F61" i="7"/>
  <c r="G61" i="7"/>
  <c r="H61" i="7"/>
  <c r="I61" i="7"/>
  <c r="J61" i="7"/>
  <c r="K61" i="7"/>
  <c r="L61" i="7"/>
  <c r="M61" i="7"/>
  <c r="O61" i="7"/>
  <c r="P61" i="7"/>
  <c r="Q61" i="7"/>
  <c r="B60" i="7"/>
  <c r="C50" i="7"/>
  <c r="D50" i="7"/>
  <c r="F50" i="7"/>
  <c r="G50" i="7"/>
  <c r="H50" i="7"/>
  <c r="I50" i="7"/>
  <c r="J50" i="7"/>
  <c r="K50" i="7"/>
  <c r="L50" i="7"/>
  <c r="M50" i="7"/>
  <c r="O50" i="7"/>
  <c r="P50" i="7"/>
  <c r="C38" i="7"/>
  <c r="D38" i="7"/>
  <c r="F38" i="7"/>
  <c r="G38" i="7"/>
  <c r="H38" i="7"/>
  <c r="I38" i="7"/>
  <c r="J38" i="7"/>
  <c r="K38" i="7"/>
  <c r="L38" i="7"/>
  <c r="M38" i="7"/>
  <c r="O38" i="7"/>
  <c r="P38" i="7"/>
  <c r="B37" i="7"/>
  <c r="B49" i="7"/>
  <c r="B61" i="1"/>
  <c r="B37" i="1"/>
  <c r="R60" i="1"/>
  <c r="S60" i="1"/>
  <c r="C23" i="8"/>
  <c r="D23" i="8"/>
  <c r="E23" i="8"/>
  <c r="F23" i="8"/>
  <c r="G23" i="8"/>
  <c r="H23" i="8"/>
  <c r="I23" i="8"/>
  <c r="J23" i="8"/>
  <c r="K23" i="8"/>
  <c r="L23" i="8"/>
  <c r="M23" i="8"/>
  <c r="N23" i="8"/>
  <c r="O23" i="8"/>
  <c r="P23" i="8"/>
  <c r="Q23" i="8"/>
  <c r="B23" i="8"/>
  <c r="B22" i="8"/>
  <c r="C37" i="13"/>
  <c r="D37" i="13"/>
  <c r="F37" i="13"/>
  <c r="G37" i="13"/>
  <c r="H37" i="13"/>
  <c r="I37" i="13"/>
  <c r="J37" i="13"/>
  <c r="K37" i="13"/>
  <c r="L37" i="13"/>
  <c r="M37" i="13"/>
  <c r="O37" i="13"/>
  <c r="P37" i="13"/>
  <c r="B37" i="13"/>
  <c r="B49" i="13"/>
  <c r="C60" i="13"/>
  <c r="D60" i="13"/>
  <c r="F60" i="13"/>
  <c r="G60" i="13"/>
  <c r="H60" i="13"/>
  <c r="I60" i="13"/>
  <c r="J60" i="13"/>
  <c r="K60" i="13"/>
  <c r="L60" i="13"/>
  <c r="M60" i="13"/>
  <c r="O60" i="13"/>
  <c r="P60" i="13"/>
  <c r="Q60" i="13"/>
  <c r="B60" i="13"/>
  <c r="C73" i="13"/>
  <c r="D73" i="13"/>
  <c r="F73" i="13"/>
  <c r="G73" i="13"/>
  <c r="H73" i="13"/>
  <c r="I73" i="13"/>
  <c r="J73" i="13"/>
  <c r="K73" i="13"/>
  <c r="L73" i="13"/>
  <c r="M73" i="13"/>
  <c r="O73" i="13"/>
  <c r="P73" i="13"/>
  <c r="Q73" i="13"/>
  <c r="B73" i="13"/>
  <c r="C49" i="13"/>
  <c r="D49" i="13"/>
  <c r="F49" i="13"/>
  <c r="G49" i="13"/>
  <c r="H49" i="13"/>
  <c r="I49" i="13"/>
  <c r="J49" i="13"/>
  <c r="K49" i="13"/>
  <c r="L49" i="13"/>
  <c r="M49" i="13"/>
  <c r="O49" i="13"/>
  <c r="P49" i="13"/>
  <c r="C23" i="13"/>
  <c r="D23" i="13"/>
  <c r="E23" i="13"/>
  <c r="F23" i="13"/>
  <c r="G23" i="13"/>
  <c r="H23" i="13"/>
  <c r="I23" i="13"/>
  <c r="J23" i="13"/>
  <c r="K23" i="13"/>
  <c r="L23" i="13"/>
  <c r="M23" i="13"/>
  <c r="N23" i="13"/>
  <c r="O23" i="13"/>
  <c r="P23" i="13"/>
  <c r="Q23" i="13"/>
  <c r="C22" i="13"/>
  <c r="D22" i="13"/>
  <c r="E22" i="13"/>
  <c r="F22" i="13"/>
  <c r="G22" i="13"/>
  <c r="H22" i="13"/>
  <c r="I22" i="13"/>
  <c r="J22" i="13"/>
  <c r="K22" i="13"/>
  <c r="L22" i="13"/>
  <c r="M22" i="13"/>
  <c r="N22" i="13"/>
  <c r="O22" i="13"/>
  <c r="P22" i="13"/>
  <c r="Q22" i="13"/>
  <c r="E61" i="90"/>
  <c r="E60" i="90"/>
  <c r="N4" i="70" l="1"/>
  <c r="E58" i="90"/>
  <c r="E57" i="90"/>
  <c r="G45" i="90"/>
  <c r="H45" i="90"/>
  <c r="I45" i="90"/>
  <c r="G53" i="90"/>
  <c r="H53" i="90"/>
  <c r="I53" i="90"/>
  <c r="G51" i="90"/>
  <c r="H51" i="90"/>
  <c r="I51" i="90"/>
  <c r="G50" i="90"/>
  <c r="H50" i="90"/>
  <c r="I50" i="90"/>
  <c r="G49" i="90"/>
  <c r="H49" i="90"/>
  <c r="I49" i="90"/>
  <c r="F53" i="90"/>
  <c r="F50" i="90"/>
  <c r="F51" i="90"/>
  <c r="F49" i="90"/>
  <c r="G48" i="90"/>
  <c r="H48" i="90"/>
  <c r="I48" i="90"/>
  <c r="F48" i="90"/>
  <c r="G47" i="90"/>
  <c r="H47" i="90"/>
  <c r="I47" i="90"/>
  <c r="G44" i="90"/>
  <c r="H44" i="90"/>
  <c r="I44" i="90"/>
  <c r="F44" i="90"/>
  <c r="G43" i="90"/>
  <c r="H43" i="90"/>
  <c r="I43" i="90"/>
  <c r="F43" i="90"/>
  <c r="F45" i="90"/>
  <c r="F47" i="90"/>
  <c r="H42" i="90"/>
  <c r="G42" i="90"/>
  <c r="I42" i="90"/>
  <c r="F42" i="90"/>
  <c r="E37" i="90"/>
  <c r="I37" i="90"/>
  <c r="E36" i="90"/>
  <c r="F36" i="90"/>
  <c r="E34" i="90"/>
  <c r="F34" i="90"/>
  <c r="F37" i="90" s="1"/>
  <c r="G34" i="90"/>
  <c r="G37" i="90" s="1"/>
  <c r="H34" i="90"/>
  <c r="I34" i="90"/>
  <c r="E33" i="90"/>
  <c r="F33" i="90"/>
  <c r="G33" i="90"/>
  <c r="G36" i="90" s="1"/>
  <c r="H33" i="90"/>
  <c r="H36" i="90" s="1"/>
  <c r="I33" i="90"/>
  <c r="I36" i="90" s="1"/>
  <c r="D34" i="90"/>
  <c r="D37" i="90" s="1"/>
  <c r="D33" i="90"/>
  <c r="D36" i="90" s="1"/>
  <c r="J36" i="90" s="1"/>
  <c r="R3" i="90"/>
  <c r="S3" i="90" s="1"/>
  <c r="R4" i="90"/>
  <c r="S4" i="90" s="1"/>
  <c r="R5" i="90"/>
  <c r="S5" i="90" s="1"/>
  <c r="R3" i="72"/>
  <c r="J37" i="90" l="1"/>
  <c r="G60" i="90"/>
  <c r="F58" i="90"/>
  <c r="F61" i="90"/>
  <c r="H60" i="90"/>
  <c r="I58" i="90"/>
  <c r="I61" i="90"/>
  <c r="F60" i="90"/>
  <c r="H58" i="90"/>
  <c r="H61" i="90"/>
  <c r="I57" i="90"/>
  <c r="I60" i="90"/>
  <c r="G58" i="90"/>
  <c r="G61" i="90"/>
  <c r="G57" i="90"/>
  <c r="H57" i="90"/>
  <c r="F57" i="90"/>
  <c r="S6" i="90"/>
  <c r="R4" i="72"/>
  <c r="R9" i="72"/>
  <c r="R5" i="72"/>
  <c r="R13" i="72"/>
  <c r="S4" i="72" l="1"/>
  <c r="S5" i="72"/>
  <c r="S3" i="72"/>
  <c r="R11" i="72"/>
  <c r="S11" i="72" s="1"/>
  <c r="R12" i="72"/>
  <c r="S12" i="72" s="1"/>
  <c r="R6" i="72"/>
  <c r="S6" i="72" s="1"/>
  <c r="R7" i="72"/>
  <c r="S7" i="72" s="1"/>
  <c r="R8" i="72"/>
  <c r="S8" i="72" s="1"/>
  <c r="S9" i="72"/>
  <c r="R10" i="72"/>
  <c r="S10" i="72" s="1"/>
  <c r="S13" i="72"/>
  <c r="R14" i="72"/>
  <c r="S14" i="72" s="1"/>
  <c r="R15" i="72"/>
  <c r="S15" i="72" s="1"/>
  <c r="R16" i="72"/>
  <c r="S16" i="72" s="1"/>
  <c r="R17" i="72"/>
  <c r="S17" i="72" s="1"/>
  <c r="T8" i="60"/>
  <c r="U8" i="60"/>
  <c r="V8" i="60"/>
  <c r="W8" i="60"/>
  <c r="X8" i="60"/>
  <c r="Y8" i="60"/>
  <c r="Z8" i="60"/>
  <c r="AA8" i="60"/>
  <c r="AB8" i="60"/>
  <c r="AC8" i="60"/>
  <c r="AD8" i="60"/>
  <c r="S8" i="60"/>
  <c r="AA4" i="60"/>
  <c r="AA5" i="60"/>
  <c r="AA6" i="60"/>
  <c r="AA7" i="60"/>
  <c r="AA9" i="60"/>
  <c r="AA11" i="60"/>
  <c r="AA12" i="60"/>
  <c r="AA13" i="60"/>
  <c r="AA14" i="60"/>
  <c r="AA15" i="60"/>
  <c r="AA16" i="60"/>
  <c r="AA3" i="60"/>
  <c r="D10" i="64"/>
  <c r="E10" i="64"/>
  <c r="F10" i="64"/>
  <c r="G10" i="64"/>
  <c r="H10" i="64"/>
  <c r="I10" i="64"/>
  <c r="C10" i="64"/>
  <c r="J5" i="64"/>
  <c r="J6" i="64"/>
  <c r="J7" i="64"/>
  <c r="J8" i="64"/>
  <c r="J9" i="64"/>
  <c r="J11" i="64"/>
  <c r="J12" i="64"/>
  <c r="J13" i="64"/>
  <c r="J14" i="64"/>
  <c r="J15" i="64"/>
  <c r="J16" i="64"/>
  <c r="J17" i="64"/>
  <c r="J18" i="64"/>
  <c r="J4" i="64"/>
  <c r="T80" i="64"/>
  <c r="I23" i="64" s="1"/>
  <c r="T79" i="64"/>
  <c r="I22" i="64" s="1"/>
  <c r="T78" i="64"/>
  <c r="I21" i="64" s="1"/>
  <c r="T77" i="64"/>
  <c r="I20" i="64" s="1"/>
  <c r="T68" i="64"/>
  <c r="H23" i="64" s="1"/>
  <c r="T67" i="64"/>
  <c r="H22" i="64" s="1"/>
  <c r="T66" i="64"/>
  <c r="H21" i="64" s="1"/>
  <c r="T65" i="64"/>
  <c r="H20" i="64" s="1"/>
  <c r="T56" i="64"/>
  <c r="G23" i="64" s="1"/>
  <c r="T55" i="64"/>
  <c r="G22" i="64" s="1"/>
  <c r="T54" i="64"/>
  <c r="G21" i="64" s="1"/>
  <c r="T53" i="64"/>
  <c r="G20" i="64" s="1"/>
  <c r="T44" i="64"/>
  <c r="F23" i="64" s="1"/>
  <c r="T43" i="64"/>
  <c r="F22" i="64" s="1"/>
  <c r="T42" i="64"/>
  <c r="F21" i="64" s="1"/>
  <c r="T41" i="64"/>
  <c r="F20" i="64" s="1"/>
  <c r="Y21" i="24"/>
  <c r="Y17" i="24"/>
  <c r="Y13" i="24"/>
  <c r="Y9" i="24"/>
  <c r="Y6" i="24"/>
  <c r="AY26" i="25"/>
  <c r="AY27" i="25" s="1"/>
  <c r="AY23" i="25"/>
  <c r="AY24" i="25"/>
  <c r="AY20" i="25"/>
  <c r="AY21" i="25" s="1"/>
  <c r="AY17" i="25"/>
  <c r="AY18" i="25" s="1"/>
  <c r="AY9" i="25"/>
  <c r="AY10" i="25" s="1"/>
  <c r="AY6" i="25"/>
  <c r="AY7" i="25" s="1"/>
  <c r="AY3" i="25"/>
  <c r="AY4" i="25" s="1"/>
  <c r="Y19" i="20"/>
  <c r="Y20" i="20" s="1"/>
  <c r="Y22" i="20"/>
  <c r="Y23" i="20" s="1"/>
  <c r="Y25" i="20"/>
  <c r="Y26" i="20" s="1"/>
  <c r="Y30" i="20"/>
  <c r="Y31" i="20" s="1"/>
  <c r="Y33" i="20"/>
  <c r="Y34" i="20" s="1"/>
  <c r="Y36" i="20"/>
  <c r="Y37" i="20" s="1"/>
  <c r="C61" i="21"/>
  <c r="D61" i="21"/>
  <c r="E61" i="21"/>
  <c r="F61" i="21"/>
  <c r="G61" i="21"/>
  <c r="H61" i="21"/>
  <c r="I61" i="21"/>
  <c r="J61" i="21"/>
  <c r="K61" i="21"/>
  <c r="L61" i="21"/>
  <c r="M61" i="21"/>
  <c r="B61" i="21"/>
  <c r="C59" i="21"/>
  <c r="D59" i="21"/>
  <c r="E59" i="21"/>
  <c r="F59" i="21"/>
  <c r="G59" i="21"/>
  <c r="H59" i="21"/>
  <c r="I59" i="21"/>
  <c r="J59" i="21"/>
  <c r="K59" i="21"/>
  <c r="L59" i="21"/>
  <c r="M59" i="21"/>
  <c r="B59" i="21"/>
  <c r="C58" i="21"/>
  <c r="D58" i="21"/>
  <c r="E58" i="21"/>
  <c r="F58" i="21"/>
  <c r="G58" i="21"/>
  <c r="H58" i="21"/>
  <c r="I58" i="21"/>
  <c r="J58" i="21"/>
  <c r="K58" i="21"/>
  <c r="L58" i="21"/>
  <c r="M58" i="21"/>
  <c r="B58" i="21"/>
  <c r="C44" i="21"/>
  <c r="D44" i="21"/>
  <c r="E44" i="21"/>
  <c r="F44" i="21"/>
  <c r="G44" i="21"/>
  <c r="H44" i="21"/>
  <c r="I44" i="21"/>
  <c r="K44" i="21"/>
  <c r="L44" i="21"/>
  <c r="M44" i="21"/>
  <c r="C43" i="21"/>
  <c r="D43" i="21"/>
  <c r="E43" i="21"/>
  <c r="F43" i="21"/>
  <c r="G43" i="21"/>
  <c r="H43" i="21"/>
  <c r="I43" i="21"/>
  <c r="J43" i="21"/>
  <c r="J45" i="21" s="1"/>
  <c r="K43" i="21"/>
  <c r="L43" i="21"/>
  <c r="M43" i="21"/>
  <c r="B43" i="21"/>
  <c r="B44" i="21"/>
  <c r="B46" i="21"/>
  <c r="C46" i="21"/>
  <c r="D46" i="21"/>
  <c r="E46" i="21"/>
  <c r="F46" i="21"/>
  <c r="G46" i="21"/>
  <c r="H46" i="21"/>
  <c r="I46" i="21"/>
  <c r="J46" i="21"/>
  <c r="K46" i="21"/>
  <c r="L46" i="21"/>
  <c r="M46" i="21"/>
  <c r="C33" i="21"/>
  <c r="D33" i="21"/>
  <c r="E33" i="21"/>
  <c r="F33" i="21"/>
  <c r="G33" i="21"/>
  <c r="H33" i="21"/>
  <c r="I33" i="21"/>
  <c r="J33" i="21"/>
  <c r="K33" i="21"/>
  <c r="L33" i="21"/>
  <c r="M33" i="21"/>
  <c r="B33" i="21"/>
  <c r="C30" i="21"/>
  <c r="D30" i="21"/>
  <c r="E30" i="21"/>
  <c r="F30" i="21"/>
  <c r="G30" i="21"/>
  <c r="H30" i="21"/>
  <c r="I30" i="21"/>
  <c r="J30" i="21"/>
  <c r="K30" i="21"/>
  <c r="L30" i="21"/>
  <c r="M30" i="21"/>
  <c r="B30" i="21"/>
  <c r="C31" i="21"/>
  <c r="D31" i="21"/>
  <c r="E31" i="21"/>
  <c r="F31" i="21"/>
  <c r="G31" i="21"/>
  <c r="H31" i="21"/>
  <c r="I31" i="21"/>
  <c r="J31" i="21"/>
  <c r="K31" i="21"/>
  <c r="L31" i="21"/>
  <c r="M31" i="21"/>
  <c r="B31" i="21"/>
  <c r="C20" i="21"/>
  <c r="D20" i="21"/>
  <c r="E20" i="21"/>
  <c r="F20" i="21"/>
  <c r="G20" i="21"/>
  <c r="H20" i="21"/>
  <c r="I20" i="21"/>
  <c r="J20" i="21"/>
  <c r="K20" i="21"/>
  <c r="L20" i="21"/>
  <c r="M20" i="21"/>
  <c r="C18" i="21"/>
  <c r="D18" i="21"/>
  <c r="E18" i="21"/>
  <c r="F18" i="21"/>
  <c r="G18" i="21"/>
  <c r="H18" i="21"/>
  <c r="I18" i="21"/>
  <c r="J18" i="21"/>
  <c r="K18" i="21"/>
  <c r="L18" i="21"/>
  <c r="M18" i="21"/>
  <c r="C17" i="21"/>
  <c r="D17" i="21"/>
  <c r="E17" i="21"/>
  <c r="F17" i="21"/>
  <c r="G17" i="21"/>
  <c r="H17" i="21"/>
  <c r="I17" i="21"/>
  <c r="J17" i="21"/>
  <c r="K17" i="21"/>
  <c r="L17" i="21"/>
  <c r="M17" i="21"/>
  <c r="M14" i="15"/>
  <c r="M15" i="15"/>
  <c r="M16" i="15"/>
  <c r="M17" i="15"/>
  <c r="M13" i="15"/>
  <c r="L14" i="15"/>
  <c r="L15" i="15"/>
  <c r="L16" i="15"/>
  <c r="L17" i="15"/>
  <c r="L13" i="15"/>
  <c r="K14" i="15"/>
  <c r="K15" i="15"/>
  <c r="K16" i="15"/>
  <c r="K17" i="15"/>
  <c r="K13" i="15"/>
  <c r="G99" i="22"/>
  <c r="G124" i="22" s="1"/>
  <c r="C124" i="23"/>
  <c r="G123" i="23" s="1"/>
  <c r="S34" i="34"/>
  <c r="M17" i="12"/>
  <c r="M18" i="12"/>
  <c r="M19" i="12"/>
  <c r="M20" i="12"/>
  <c r="M21" i="12" s="1"/>
  <c r="M16" i="12"/>
  <c r="L17" i="12"/>
  <c r="L18" i="12"/>
  <c r="L19" i="12"/>
  <c r="L20" i="12"/>
  <c r="L16" i="12"/>
  <c r="C11" i="12"/>
  <c r="D11" i="12"/>
  <c r="E11" i="12"/>
  <c r="F11" i="12"/>
  <c r="G11" i="12"/>
  <c r="H11" i="12"/>
  <c r="I11" i="12"/>
  <c r="J11" i="12"/>
  <c r="K11" i="12"/>
  <c r="L11" i="12"/>
  <c r="M11" i="12"/>
  <c r="N11" i="12"/>
  <c r="O11" i="12"/>
  <c r="P11" i="12"/>
  <c r="Q11" i="12"/>
  <c r="B11" i="12"/>
  <c r="K17" i="12"/>
  <c r="K18" i="12"/>
  <c r="K19" i="12"/>
  <c r="K16" i="12"/>
  <c r="Q27" i="15"/>
  <c r="Q10" i="15"/>
  <c r="M18" i="15" s="1"/>
  <c r="K31" i="15"/>
  <c r="K32" i="15"/>
  <c r="K33" i="15"/>
  <c r="K34" i="15"/>
  <c r="K30" i="15"/>
  <c r="B10" i="3"/>
  <c r="M16" i="3"/>
  <c r="M17" i="3"/>
  <c r="M18" i="3"/>
  <c r="M19" i="3"/>
  <c r="M15" i="3"/>
  <c r="Q10" i="3"/>
  <c r="M20" i="3" s="1"/>
  <c r="L16" i="3"/>
  <c r="L17" i="3"/>
  <c r="L18" i="3"/>
  <c r="L19" i="3"/>
  <c r="L15" i="3"/>
  <c r="K16" i="3"/>
  <c r="K17" i="3"/>
  <c r="K18" i="3"/>
  <c r="K19" i="3"/>
  <c r="K15" i="3"/>
  <c r="Z5" i="24"/>
  <c r="Z7" i="24"/>
  <c r="Z8" i="24"/>
  <c r="Z10" i="24"/>
  <c r="Z11" i="24"/>
  <c r="Z12" i="24"/>
  <c r="Z22" i="24"/>
  <c r="AA5" i="24"/>
  <c r="AA7" i="24"/>
  <c r="AA8" i="24"/>
  <c r="AA10" i="24"/>
  <c r="AA11" i="24"/>
  <c r="AA12" i="24"/>
  <c r="AA22" i="24"/>
  <c r="AA4" i="24"/>
  <c r="Z4" i="24"/>
  <c r="C6" i="70"/>
  <c r="D6" i="70"/>
  <c r="E6" i="70"/>
  <c r="F6" i="70"/>
  <c r="G6" i="70"/>
  <c r="H6" i="70"/>
  <c r="I6" i="70"/>
  <c r="J6" i="70"/>
  <c r="K6" i="70"/>
  <c r="L6" i="70"/>
  <c r="M6" i="70"/>
  <c r="B6" i="70"/>
  <c r="M20" i="14"/>
  <c r="L20" i="14"/>
  <c r="J20" i="14"/>
  <c r="J5" i="14"/>
  <c r="I5" i="14"/>
  <c r="H5" i="14"/>
  <c r="F5" i="14"/>
  <c r="E5" i="14"/>
  <c r="D5" i="14"/>
  <c r="S11" i="12" l="1"/>
  <c r="T11" i="12"/>
  <c r="R11" i="12"/>
  <c r="AY12" i="25"/>
  <c r="J10" i="64"/>
  <c r="L21" i="12"/>
  <c r="J35" i="21"/>
  <c r="N44" i="21"/>
  <c r="S18" i="72"/>
  <c r="T24" i="34"/>
  <c r="S24" i="34"/>
  <c r="T18" i="34"/>
  <c r="S18" i="34"/>
  <c r="AW93" i="85"/>
  <c r="AX93" i="85" s="1"/>
  <c r="AY93" i="85" s="1"/>
  <c r="AV93" i="85"/>
  <c r="BD93" i="85" s="1"/>
  <c r="AW92" i="85"/>
  <c r="AX92" i="85" s="1"/>
  <c r="AY92" i="85" s="1"/>
  <c r="AV92" i="85"/>
  <c r="BD92" i="85" s="1"/>
  <c r="AW91" i="85"/>
  <c r="AX91" i="85" s="1"/>
  <c r="AY91" i="85" s="1"/>
  <c r="AV91" i="85"/>
  <c r="BD91" i="85" s="1"/>
  <c r="AW90" i="85"/>
  <c r="AX90" i="85" s="1"/>
  <c r="AY90" i="85" s="1"/>
  <c r="AV90" i="85"/>
  <c r="BD90" i="85" s="1"/>
  <c r="AW89" i="85"/>
  <c r="AX89" i="85" s="1"/>
  <c r="AY89" i="85" s="1"/>
  <c r="AV89" i="85"/>
  <c r="BD89" i="85" s="1"/>
  <c r="AX88" i="85"/>
  <c r="AY88" i="85" s="1"/>
  <c r="AW88" i="85"/>
  <c r="AV88" i="85"/>
  <c r="BD88" i="85" s="1"/>
  <c r="AX87" i="85"/>
  <c r="AY87" i="85" s="1"/>
  <c r="AW87" i="85"/>
  <c r="AV87" i="85"/>
  <c r="BD87" i="85" s="1"/>
  <c r="AX86" i="85"/>
  <c r="AY86" i="85" s="1"/>
  <c r="AW86" i="85"/>
  <c r="AV86" i="85"/>
  <c r="BD86" i="85" s="1"/>
  <c r="AW85" i="85"/>
  <c r="AX85" i="85" s="1"/>
  <c r="AY85" i="85" s="1"/>
  <c r="AV85" i="85"/>
  <c r="BD85" i="85" s="1"/>
  <c r="AW84" i="85"/>
  <c r="AX84" i="85" s="1"/>
  <c r="AY84" i="85" s="1"/>
  <c r="AV84" i="85"/>
  <c r="BD84" i="85" s="1"/>
  <c r="BD83" i="85"/>
  <c r="AX83" i="85"/>
  <c r="AY83" i="85" s="1"/>
  <c r="AW83" i="85"/>
  <c r="AW82" i="85"/>
  <c r="AX82" i="85" s="1"/>
  <c r="AY82" i="85" s="1"/>
  <c r="AV82" i="85"/>
  <c r="BD82" i="85" s="1"/>
  <c r="AW81" i="85"/>
  <c r="AX81" i="85" s="1"/>
  <c r="AY81" i="85" s="1"/>
  <c r="AV81" i="85"/>
  <c r="BD81" i="85" s="1"/>
  <c r="AW80" i="85"/>
  <c r="AX80" i="85" s="1"/>
  <c r="AY80" i="85" s="1"/>
  <c r="AV80" i="85"/>
  <c r="BD80" i="85" s="1"/>
  <c r="AX79" i="85"/>
  <c r="AY79" i="85" s="1"/>
  <c r="AW79" i="85"/>
  <c r="AV79" i="85"/>
  <c r="BD79" i="85" s="1"/>
  <c r="AX78" i="85"/>
  <c r="AY78" i="85" s="1"/>
  <c r="AW78" i="85"/>
  <c r="AV78" i="85"/>
  <c r="BD78" i="85" s="1"/>
  <c r="AX77" i="85"/>
  <c r="AY77" i="85" s="1"/>
  <c r="AW77" i="85"/>
  <c r="AV77" i="85"/>
  <c r="BD77" i="85" s="1"/>
  <c r="AW76" i="85"/>
  <c r="AX76" i="85" s="1"/>
  <c r="AY76" i="85" s="1"/>
  <c r="AV76" i="85"/>
  <c r="BD76" i="85" s="1"/>
  <c r="AW75" i="85"/>
  <c r="AX75" i="85" s="1"/>
  <c r="AY75" i="85" s="1"/>
  <c r="AV75" i="85"/>
  <c r="BD75" i="85" s="1"/>
  <c r="AW74" i="85"/>
  <c r="AX74" i="85" s="1"/>
  <c r="AY74" i="85" s="1"/>
  <c r="AV74" i="85"/>
  <c r="BD74" i="85" s="1"/>
  <c r="AW73" i="85"/>
  <c r="AX73" i="85" s="1"/>
  <c r="AY73" i="85" s="1"/>
  <c r="AV73" i="85"/>
  <c r="BD73" i="85" s="1"/>
  <c r="AW72" i="85"/>
  <c r="AX72" i="85" s="1"/>
  <c r="AY72" i="85" s="1"/>
  <c r="AV72" i="85"/>
  <c r="BD72" i="85" s="1"/>
  <c r="AW71" i="85"/>
  <c r="AX71" i="85" s="1"/>
  <c r="AY71" i="85" s="1"/>
  <c r="AV71" i="85"/>
  <c r="BD71" i="85" s="1"/>
  <c r="AX70" i="85"/>
  <c r="AY70" i="85" s="1"/>
  <c r="AW70" i="85"/>
  <c r="AV70" i="85"/>
  <c r="BD70" i="85" s="1"/>
  <c r="AX69" i="85"/>
  <c r="AY69" i="85" s="1"/>
  <c r="AW69" i="85"/>
  <c r="AV69" i="85"/>
  <c r="BD69" i="85" s="1"/>
  <c r="AW68" i="85"/>
  <c r="AX68" i="85" s="1"/>
  <c r="AY68" i="85" s="1"/>
  <c r="AV68" i="85"/>
  <c r="BD68" i="85" s="1"/>
  <c r="AW67" i="85"/>
  <c r="AX67" i="85" s="1"/>
  <c r="AY67" i="85" s="1"/>
  <c r="AV67" i="85"/>
  <c r="BD67" i="85" s="1"/>
  <c r="AX66" i="85"/>
  <c r="AY66" i="85" s="1"/>
  <c r="AW66" i="85"/>
  <c r="AV66" i="85"/>
  <c r="BD66" i="85" s="1"/>
  <c r="AY65" i="85"/>
  <c r="AX65" i="85"/>
  <c r="AW65" i="85"/>
  <c r="AV65" i="85"/>
  <c r="BD65" i="85" s="1"/>
  <c r="AW64" i="85"/>
  <c r="AX64" i="85" s="1"/>
  <c r="AY64" i="85" s="1"/>
  <c r="AV64" i="85"/>
  <c r="BD64" i="85" s="1"/>
  <c r="AW63" i="85"/>
  <c r="AX63" i="85" s="1"/>
  <c r="AY63" i="85" s="1"/>
  <c r="AV63" i="85"/>
  <c r="BD63" i="85" s="1"/>
  <c r="AX62" i="85"/>
  <c r="AY62" i="85" s="1"/>
  <c r="AW62" i="85"/>
  <c r="AV62" i="85"/>
  <c r="BD62" i="85" s="1"/>
  <c r="AX61" i="85"/>
  <c r="AY61" i="85" s="1"/>
  <c r="AW61" i="85"/>
  <c r="AV61" i="85"/>
  <c r="BD61" i="85" s="1"/>
  <c r="AW60" i="85"/>
  <c r="AX60" i="85" s="1"/>
  <c r="AY60" i="85" s="1"/>
  <c r="AV60" i="85"/>
  <c r="BD60" i="85" s="1"/>
  <c r="K60" i="85"/>
  <c r="AW59" i="85"/>
  <c r="AX59" i="85" s="1"/>
  <c r="AY59" i="85" s="1"/>
  <c r="AV59" i="85"/>
  <c r="BD59" i="85" s="1"/>
  <c r="AX58" i="85"/>
  <c r="AY58" i="85" s="1"/>
  <c r="AW58" i="85"/>
  <c r="AV58" i="85"/>
  <c r="BD58" i="85" s="1"/>
  <c r="AW57" i="85"/>
  <c r="AX57" i="85" s="1"/>
  <c r="AY57" i="85" s="1"/>
  <c r="AV57" i="85"/>
  <c r="BD57" i="85" s="1"/>
  <c r="BD56" i="85"/>
  <c r="AW56" i="85"/>
  <c r="AX56" i="85" s="1"/>
  <c r="AY56" i="85" s="1"/>
  <c r="AW55" i="85"/>
  <c r="AX55" i="85" s="1"/>
  <c r="AY55" i="85" s="1"/>
  <c r="AV55" i="85"/>
  <c r="BD55" i="85" s="1"/>
  <c r="AW54" i="85"/>
  <c r="AX54" i="85" s="1"/>
  <c r="AY54" i="85" s="1"/>
  <c r="AV54" i="85"/>
  <c r="BD54" i="85" s="1"/>
  <c r="AW53" i="85"/>
  <c r="AX53" i="85" s="1"/>
  <c r="AY53" i="85" s="1"/>
  <c r="AV53" i="85"/>
  <c r="BD53" i="85" s="1"/>
  <c r="AW52" i="85"/>
  <c r="AX52" i="85" s="1"/>
  <c r="AY52" i="85" s="1"/>
  <c r="AV52" i="85"/>
  <c r="BD52" i="85" s="1"/>
  <c r="AW51" i="85"/>
  <c r="AX51" i="85" s="1"/>
  <c r="AY51" i="85" s="1"/>
  <c r="AV51" i="85"/>
  <c r="BD51" i="85" s="1"/>
  <c r="AW50" i="85"/>
  <c r="AX50" i="85" s="1"/>
  <c r="AY50" i="85" s="1"/>
  <c r="AV50" i="85"/>
  <c r="BD50" i="85" s="1"/>
  <c r="AX49" i="85"/>
  <c r="AY49" i="85" s="1"/>
  <c r="AW49" i="85"/>
  <c r="AV49" i="85"/>
  <c r="BD49" i="85" s="1"/>
  <c r="AW48" i="85"/>
  <c r="AX48" i="85" s="1"/>
  <c r="AY48" i="85" s="1"/>
  <c r="AV48" i="85"/>
  <c r="BD48" i="85" s="1"/>
  <c r="AW47" i="85"/>
  <c r="AX47" i="85" s="1"/>
  <c r="AY47" i="85" s="1"/>
  <c r="AV47" i="85"/>
  <c r="BD47" i="85" s="1"/>
  <c r="AW46" i="85"/>
  <c r="AX46" i="85" s="1"/>
  <c r="AY46" i="85" s="1"/>
  <c r="AV46" i="85"/>
  <c r="BD46" i="85" s="1"/>
  <c r="AW45" i="85"/>
  <c r="AX45" i="85" s="1"/>
  <c r="AY45" i="85" s="1"/>
  <c r="AV45" i="85"/>
  <c r="BD45" i="85" s="1"/>
  <c r="AW44" i="85"/>
  <c r="AX44" i="85" s="1"/>
  <c r="AY44" i="85" s="1"/>
  <c r="AV44" i="85"/>
  <c r="BD44" i="85" s="1"/>
  <c r="AW43" i="85"/>
  <c r="AX43" i="85" s="1"/>
  <c r="AY43" i="85" s="1"/>
  <c r="AV43" i="85"/>
  <c r="BD43" i="85" s="1"/>
  <c r="AW42" i="85"/>
  <c r="AX42" i="85" s="1"/>
  <c r="AY42" i="85" s="1"/>
  <c r="AV42" i="85"/>
  <c r="BD42" i="85" s="1"/>
  <c r="AX41" i="85"/>
  <c r="AY41" i="85" s="1"/>
  <c r="AW41" i="85"/>
  <c r="AV41" i="85"/>
  <c r="BD41" i="85" s="1"/>
  <c r="AW40" i="85"/>
  <c r="AX40" i="85" s="1"/>
  <c r="AY40" i="85" s="1"/>
  <c r="AV40" i="85"/>
  <c r="BD40" i="85" s="1"/>
  <c r="AW39" i="85"/>
  <c r="AX39" i="85" s="1"/>
  <c r="AY39" i="85" s="1"/>
  <c r="AV39" i="85"/>
  <c r="BD39" i="85" s="1"/>
  <c r="AW38" i="85"/>
  <c r="AX38" i="85" s="1"/>
  <c r="AY38" i="85" s="1"/>
  <c r="AV38" i="85"/>
  <c r="BD38" i="85" s="1"/>
  <c r="AW37" i="85"/>
  <c r="AX37" i="85" s="1"/>
  <c r="AY37" i="85" s="1"/>
  <c r="AV37" i="85"/>
  <c r="BD37" i="85" s="1"/>
  <c r="AW36" i="85"/>
  <c r="AX36" i="85" s="1"/>
  <c r="AY36" i="85" s="1"/>
  <c r="AV36" i="85"/>
  <c r="BD36" i="85" s="1"/>
  <c r="AW35" i="85"/>
  <c r="AX35" i="85" s="1"/>
  <c r="AY35" i="85" s="1"/>
  <c r="AV35" i="85"/>
  <c r="BD35" i="85" s="1"/>
  <c r="AW34" i="85"/>
  <c r="AX34" i="85" s="1"/>
  <c r="AY34" i="85" s="1"/>
  <c r="AV34" i="85"/>
  <c r="BD34" i="85" s="1"/>
  <c r="AX33" i="85"/>
  <c r="AY33" i="85" s="1"/>
  <c r="AW33" i="85"/>
  <c r="AV33" i="85"/>
  <c r="BD33" i="85" s="1"/>
  <c r="AW32" i="85"/>
  <c r="AX32" i="85" s="1"/>
  <c r="AY32" i="85" s="1"/>
  <c r="AV32" i="85"/>
  <c r="BD32" i="85" s="1"/>
  <c r="AW31" i="85"/>
  <c r="AX31" i="85" s="1"/>
  <c r="AY31" i="85" s="1"/>
  <c r="AV31" i="85"/>
  <c r="BD31" i="85" s="1"/>
  <c r="AW30" i="85"/>
  <c r="AX30" i="85" s="1"/>
  <c r="AY30" i="85" s="1"/>
  <c r="AV30" i="85"/>
  <c r="BD30" i="85" s="1"/>
  <c r="AW29" i="85"/>
  <c r="AX29" i="85" s="1"/>
  <c r="AY29" i="85" s="1"/>
  <c r="AV29" i="85"/>
  <c r="BD29" i="85" s="1"/>
  <c r="AW28" i="85"/>
  <c r="AX28" i="85" s="1"/>
  <c r="AY28" i="85" s="1"/>
  <c r="AV28" i="85"/>
  <c r="BD28" i="85" s="1"/>
  <c r="BD27" i="85"/>
  <c r="AW27" i="85"/>
  <c r="AX27" i="85" s="1"/>
  <c r="AY27" i="85" s="1"/>
  <c r="AW26" i="85"/>
  <c r="AX26" i="85" s="1"/>
  <c r="AY26" i="85" s="1"/>
  <c r="AV26" i="85"/>
  <c r="BD26" i="85" s="1"/>
  <c r="AW25" i="85"/>
  <c r="AX25" i="85" s="1"/>
  <c r="AY25" i="85" s="1"/>
  <c r="AV25" i="85"/>
  <c r="BD25" i="85" s="1"/>
  <c r="AX24" i="85"/>
  <c r="AY24" i="85" s="1"/>
  <c r="AW24" i="85"/>
  <c r="AV24" i="85"/>
  <c r="BD24" i="85" s="1"/>
  <c r="AW23" i="85"/>
  <c r="AX23" i="85" s="1"/>
  <c r="AY23" i="85" s="1"/>
  <c r="AV23" i="85"/>
  <c r="BD23" i="85" s="1"/>
  <c r="AW22" i="85"/>
  <c r="AX22" i="85" s="1"/>
  <c r="AY22" i="85" s="1"/>
  <c r="AV22" i="85"/>
  <c r="BD22" i="85" s="1"/>
  <c r="AW21" i="85"/>
  <c r="AX21" i="85" s="1"/>
  <c r="AY21" i="85" s="1"/>
  <c r="AV21" i="85"/>
  <c r="BD21" i="85" s="1"/>
  <c r="AW20" i="85"/>
  <c r="AX20" i="85" s="1"/>
  <c r="AY20" i="85" s="1"/>
  <c r="AV20" i="85"/>
  <c r="BD20" i="85" s="1"/>
  <c r="AW19" i="85"/>
  <c r="AX19" i="85" s="1"/>
  <c r="AY19" i="85" s="1"/>
  <c r="AV19" i="85"/>
  <c r="BD19" i="85" s="1"/>
  <c r="AW18" i="85"/>
  <c r="AX18" i="85" s="1"/>
  <c r="AY18" i="85" s="1"/>
  <c r="AV18" i="85"/>
  <c r="BD18" i="85" s="1"/>
  <c r="AW17" i="85"/>
  <c r="AX17" i="85" s="1"/>
  <c r="AY17" i="85" s="1"/>
  <c r="AV17" i="85"/>
  <c r="BD17" i="85" s="1"/>
  <c r="AX16" i="85"/>
  <c r="AY16" i="85" s="1"/>
  <c r="AW16" i="85"/>
  <c r="AV16" i="85"/>
  <c r="BD16" i="85" s="1"/>
  <c r="AW15" i="85"/>
  <c r="AX15" i="85" s="1"/>
  <c r="AY15" i="85" s="1"/>
  <c r="AV15" i="85"/>
  <c r="BD15" i="85" s="1"/>
  <c r="AW14" i="85"/>
  <c r="AX14" i="85" s="1"/>
  <c r="AY14" i="85" s="1"/>
  <c r="AV14" i="85"/>
  <c r="BD14" i="85" s="1"/>
  <c r="AW13" i="85"/>
  <c r="AX13" i="85" s="1"/>
  <c r="AY13" i="85" s="1"/>
  <c r="AV13" i="85"/>
  <c r="BD13" i="85" s="1"/>
  <c r="BG12" i="85"/>
  <c r="AW12" i="85"/>
  <c r="AX12" i="85" s="1"/>
  <c r="AY12" i="85" s="1"/>
  <c r="AV12" i="85"/>
  <c r="BD12" i="85" s="1"/>
  <c r="BG11" i="85"/>
  <c r="AW11" i="85"/>
  <c r="AX11" i="85" s="1"/>
  <c r="AY11" i="85" s="1"/>
  <c r="AV11" i="85"/>
  <c r="BD11" i="85" s="1"/>
  <c r="BK10" i="85"/>
  <c r="BG10" i="85"/>
  <c r="AW10" i="85"/>
  <c r="AX10" i="85" s="1"/>
  <c r="AY10" i="85" s="1"/>
  <c r="AV10" i="85"/>
  <c r="BD10" i="85" s="1"/>
  <c r="BK9" i="85"/>
  <c r="BG9" i="85"/>
  <c r="AW9" i="85"/>
  <c r="AX9" i="85" s="1"/>
  <c r="AY9" i="85" s="1"/>
  <c r="AV9" i="85"/>
  <c r="BD9" i="85" s="1"/>
  <c r="O9" i="85"/>
  <c r="BK8" i="85"/>
  <c r="AX8" i="85"/>
  <c r="AY8" i="85" s="1"/>
  <c r="AW8" i="85"/>
  <c r="AV8" i="85"/>
  <c r="BD8" i="85" s="1"/>
  <c r="BK7" i="85"/>
  <c r="AW7" i="85"/>
  <c r="AX7" i="85" s="1"/>
  <c r="AY7" i="85" s="1"/>
  <c r="AV7" i="85"/>
  <c r="BD7" i="85" s="1"/>
  <c r="AW6" i="85"/>
  <c r="AX6" i="85" s="1"/>
  <c r="AY6" i="85" s="1"/>
  <c r="AV6" i="85"/>
  <c r="AW5" i="85"/>
  <c r="AX5" i="85" s="1"/>
  <c r="AY5" i="85" s="1"/>
  <c r="AV5" i="85"/>
  <c r="AW4" i="85"/>
  <c r="AX4" i="85" s="1"/>
  <c r="AY4" i="85" s="1"/>
  <c r="AV4" i="85"/>
  <c r="BD4" i="85" s="1"/>
  <c r="AW3" i="85"/>
  <c r="AX3" i="85" s="1"/>
  <c r="AY3" i="85" s="1"/>
  <c r="AV3" i="85"/>
  <c r="BD3" i="85" s="1"/>
  <c r="BF3" i="85" l="1"/>
  <c r="BA4" i="85"/>
  <c r="BB4" i="85" s="1"/>
  <c r="BA3" i="85"/>
  <c r="BB3" i="85" s="1"/>
  <c r="BF4" i="85"/>
  <c r="BJ4" i="85"/>
  <c r="BG3" i="85"/>
  <c r="BK4" i="85"/>
  <c r="BJ15" i="85" s="1"/>
  <c r="BD5" i="85"/>
  <c r="BD6" i="85"/>
  <c r="AW2" i="85"/>
  <c r="AX2" i="85" s="1"/>
  <c r="AY2" i="85" s="1"/>
  <c r="BA2" i="85" s="1"/>
  <c r="BB2" i="85" s="1"/>
  <c r="AV2" i="85"/>
  <c r="BD2" i="85" s="1"/>
  <c r="D16" i="81"/>
  <c r="E15" i="81" s="1"/>
  <c r="D15" i="81"/>
  <c r="D14" i="81"/>
  <c r="E14" i="81" s="1"/>
  <c r="D13" i="81"/>
  <c r="E13" i="81" s="1"/>
  <c r="D12" i="81"/>
  <c r="E12" i="81" s="1"/>
  <c r="D11" i="81"/>
  <c r="D10" i="81"/>
  <c r="D9" i="81"/>
  <c r="D8" i="81"/>
  <c r="D7" i="81"/>
  <c r="E7" i="81" s="1"/>
  <c r="D6" i="81"/>
  <c r="E6" i="81" s="1"/>
  <c r="D5" i="81"/>
  <c r="E5" i="81" s="1"/>
  <c r="D4" i="81"/>
  <c r="E4" i="81" s="1"/>
  <c r="D3" i="81"/>
  <c r="BF2" i="85" l="1"/>
  <c r="E9" i="81"/>
  <c r="E10" i="81"/>
  <c r="E8" i="81"/>
  <c r="D17" i="81"/>
  <c r="BJ3" i="85"/>
  <c r="BK3" i="85" s="1"/>
  <c r="BG2" i="85"/>
  <c r="BG4" i="85"/>
  <c r="BJ5" i="85"/>
  <c r="BK5" i="85" s="1"/>
  <c r="E3" i="81"/>
  <c r="E11" i="81"/>
  <c r="E16" i="81"/>
  <c r="H19" i="78"/>
  <c r="I19" i="78" s="1"/>
  <c r="H18" i="78"/>
  <c r="H17" i="78"/>
  <c r="H16" i="78"/>
  <c r="I15" i="78" s="1"/>
  <c r="H15" i="78"/>
  <c r="H14" i="78"/>
  <c r="H13" i="78"/>
  <c r="H12" i="78"/>
  <c r="H11" i="78"/>
  <c r="H10" i="78"/>
  <c r="I10" i="78" s="1"/>
  <c r="H9" i="78"/>
  <c r="I9" i="78" s="1"/>
  <c r="H8" i="78"/>
  <c r="I8" i="78" s="1"/>
  <c r="H7" i="78"/>
  <c r="I6" i="78" s="1"/>
  <c r="H6" i="78"/>
  <c r="H5" i="78"/>
  <c r="S4" i="78"/>
  <c r="H4" i="78"/>
  <c r="R3" i="78"/>
  <c r="R4" i="78" s="1"/>
  <c r="Q4" i="78" s="1"/>
  <c r="Q3" i="78"/>
  <c r="P3" i="78"/>
  <c r="P4" i="78" s="1"/>
  <c r="O4" i="78" s="1"/>
  <c r="O3" i="78"/>
  <c r="N3" i="78"/>
  <c r="N4" i="78" s="1"/>
  <c r="M4" i="78" s="1"/>
  <c r="M3" i="78"/>
  <c r="L3" i="78"/>
  <c r="L4" i="78" s="1"/>
  <c r="I16" i="78" l="1"/>
  <c r="H20" i="78"/>
  <c r="L5" i="78"/>
  <c r="I5" i="78" s="1"/>
  <c r="I4" i="78"/>
  <c r="I13" i="78"/>
  <c r="I17" i="78"/>
  <c r="I7" i="78"/>
  <c r="I11" i="78"/>
  <c r="I14" i="78"/>
  <c r="I18" i="78"/>
  <c r="I12" i="78"/>
  <c r="Z29" i="71"/>
  <c r="Z39" i="71" s="1"/>
  <c r="Y29" i="71"/>
  <c r="Y39" i="71" s="1"/>
  <c r="X29" i="71"/>
  <c r="X44" i="71" s="1"/>
  <c r="W29" i="71"/>
  <c r="W44" i="71" s="1"/>
  <c r="AA29" i="71" l="1"/>
  <c r="W34" i="71"/>
  <c r="W39" i="71"/>
  <c r="Y44" i="71"/>
  <c r="AA44" i="71" s="1"/>
  <c r="X34" i="71"/>
  <c r="X39" i="71"/>
  <c r="Z44" i="71"/>
  <c r="Y34" i="71"/>
  <c r="I20" i="78"/>
  <c r="Z34" i="71"/>
  <c r="Z27" i="71"/>
  <c r="Y27" i="71"/>
  <c r="X27" i="71"/>
  <c r="W27" i="71"/>
  <c r="Z26" i="71"/>
  <c r="Y26" i="71"/>
  <c r="X26" i="71"/>
  <c r="W26" i="71"/>
  <c r="Z25" i="71"/>
  <c r="Y25" i="71"/>
  <c r="X25" i="71"/>
  <c r="W25" i="71"/>
  <c r="AA22" i="71"/>
  <c r="AA21" i="71"/>
  <c r="AA20" i="71"/>
  <c r="AA19" i="71"/>
  <c r="AA18" i="71"/>
  <c r="AA17" i="71"/>
  <c r="AA15" i="71"/>
  <c r="AA14" i="71"/>
  <c r="AA13" i="71"/>
  <c r="AA12" i="71"/>
  <c r="AA11" i="71"/>
  <c r="AA10" i="71"/>
  <c r="AA9" i="71"/>
  <c r="AA8" i="71"/>
  <c r="Y41" i="71" l="1"/>
  <c r="Y36" i="71"/>
  <c r="Y31" i="71"/>
  <c r="Y42" i="71"/>
  <c r="Y37" i="71"/>
  <c r="Y32" i="71"/>
  <c r="AA34" i="71"/>
  <c r="Z41" i="71"/>
  <c r="Z36" i="71"/>
  <c r="Z31" i="71"/>
  <c r="Z42" i="71"/>
  <c r="Z37" i="71"/>
  <c r="Z32" i="71"/>
  <c r="W46" i="71"/>
  <c r="W31" i="71"/>
  <c r="W41" i="71"/>
  <c r="W36" i="71"/>
  <c r="AA25" i="71"/>
  <c r="W42" i="71"/>
  <c r="W37" i="71"/>
  <c r="W32" i="71"/>
  <c r="W47" i="71"/>
  <c r="AA26" i="71"/>
  <c r="W28" i="71"/>
  <c r="X41" i="71"/>
  <c r="X36" i="71"/>
  <c r="X31" i="71"/>
  <c r="X42" i="71"/>
  <c r="X37" i="71"/>
  <c r="X32" i="71"/>
  <c r="AA39" i="71"/>
  <c r="AA7" i="71"/>
  <c r="AA6" i="71"/>
  <c r="AA5" i="71"/>
  <c r="AA4" i="71"/>
  <c r="M21" i="70"/>
  <c r="L21" i="70"/>
  <c r="K21" i="70"/>
  <c r="J21" i="70"/>
  <c r="I21" i="70"/>
  <c r="H21" i="70"/>
  <c r="G21" i="70"/>
  <c r="F21" i="70"/>
  <c r="E21" i="70"/>
  <c r="D21" i="70"/>
  <c r="C21" i="70"/>
  <c r="B21" i="70"/>
  <c r="AA42" i="71" l="1"/>
  <c r="AA27" i="71"/>
  <c r="W43" i="71"/>
  <c r="W38" i="71"/>
  <c r="W33" i="71"/>
  <c r="W48" i="71"/>
  <c r="AA37" i="71"/>
  <c r="AA41" i="71"/>
  <c r="AA31" i="71"/>
  <c r="AA32" i="71"/>
  <c r="AA36" i="71"/>
  <c r="N21" i="70"/>
  <c r="M20" i="70"/>
  <c r="L20" i="70"/>
  <c r="K20" i="70"/>
  <c r="J20" i="70"/>
  <c r="I20" i="70"/>
  <c r="H20" i="70"/>
  <c r="G20" i="70"/>
  <c r="F20" i="70"/>
  <c r="E20" i="70"/>
  <c r="D20" i="70"/>
  <c r="C20" i="70"/>
  <c r="B20" i="70"/>
  <c r="M19" i="70"/>
  <c r="L19" i="70"/>
  <c r="K19" i="70"/>
  <c r="J19" i="70"/>
  <c r="I19" i="70"/>
  <c r="H19" i="70"/>
  <c r="G19" i="70"/>
  <c r="F19" i="70"/>
  <c r="E19" i="70"/>
  <c r="D19" i="70"/>
  <c r="C19" i="70"/>
  <c r="B19" i="70"/>
  <c r="N20" i="70" l="1"/>
  <c r="N19" i="70"/>
  <c r="M11" i="70"/>
  <c r="M15" i="70" s="1"/>
  <c r="L11" i="70"/>
  <c r="L15" i="70" s="1"/>
  <c r="K11" i="70"/>
  <c r="K15" i="70" s="1"/>
  <c r="J11" i="70"/>
  <c r="J14" i="70" s="1"/>
  <c r="I11" i="70"/>
  <c r="I15" i="70" s="1"/>
  <c r="H11" i="70"/>
  <c r="H14" i="70" s="1"/>
  <c r="G11" i="70"/>
  <c r="G15" i="70" s="1"/>
  <c r="F11" i="70"/>
  <c r="F14" i="70" s="1"/>
  <c r="E11" i="70"/>
  <c r="E15" i="70" s="1"/>
  <c r="D11" i="70"/>
  <c r="D15" i="70" s="1"/>
  <c r="C11" i="70"/>
  <c r="C15" i="70" s="1"/>
  <c r="B11" i="70"/>
  <c r="B15" i="70" s="1"/>
  <c r="N6" i="70"/>
  <c r="R8" i="70" s="1"/>
  <c r="M12" i="70" l="1"/>
  <c r="M13" i="70"/>
  <c r="M14" i="70"/>
  <c r="B12" i="70"/>
  <c r="B13" i="70"/>
  <c r="B14" i="70"/>
  <c r="C12" i="70"/>
  <c r="C13" i="70"/>
  <c r="C14" i="70"/>
  <c r="D12" i="70"/>
  <c r="D13" i="70"/>
  <c r="D14" i="70"/>
  <c r="L12" i="70"/>
  <c r="L14" i="70"/>
  <c r="L13" i="70"/>
  <c r="K12" i="70"/>
  <c r="K13" i="70"/>
  <c r="K14" i="70"/>
  <c r="N11" i="70"/>
  <c r="E12" i="70"/>
  <c r="G12" i="70"/>
  <c r="I12" i="70"/>
  <c r="F13" i="70"/>
  <c r="H13" i="70"/>
  <c r="J13" i="70"/>
  <c r="E14" i="70"/>
  <c r="G14" i="70"/>
  <c r="I14" i="70"/>
  <c r="F15" i="70"/>
  <c r="H15" i="70"/>
  <c r="J15" i="70"/>
  <c r="F12" i="70"/>
  <c r="H12" i="70"/>
  <c r="J12" i="70"/>
  <c r="E13" i="70"/>
  <c r="G13" i="70"/>
  <c r="I13" i="70"/>
  <c r="V8" i="70"/>
  <c r="U8" i="70" s="1"/>
  <c r="S8" i="70"/>
  <c r="T8" i="70"/>
  <c r="N5" i="70"/>
  <c r="R7" i="70" s="1"/>
  <c r="V7" i="70" s="1"/>
  <c r="R6" i="70"/>
  <c r="N15" i="70" l="1"/>
  <c r="N14" i="70"/>
  <c r="N12" i="70"/>
  <c r="N13" i="70"/>
  <c r="V6" i="70"/>
  <c r="U6" i="70" s="1"/>
  <c r="S6" i="70"/>
  <c r="T6" i="70"/>
  <c r="T7" i="70"/>
  <c r="U7" i="70"/>
  <c r="S7" i="70"/>
  <c r="AD16" i="60" l="1"/>
  <c r="AC16" i="60"/>
  <c r="AB16" i="60"/>
  <c r="Z16" i="60"/>
  <c r="Y16" i="60"/>
  <c r="X16" i="60"/>
  <c r="W16" i="60"/>
  <c r="V16" i="60"/>
  <c r="U16" i="60"/>
  <c r="T16" i="60"/>
  <c r="S16" i="60"/>
  <c r="P16" i="60"/>
  <c r="AD15" i="60"/>
  <c r="AC15" i="60"/>
  <c r="AB15" i="60"/>
  <c r="Z15" i="60"/>
  <c r="Y15" i="60"/>
  <c r="X15" i="60"/>
  <c r="W15" i="60"/>
  <c r="V15" i="60"/>
  <c r="U15" i="60"/>
  <c r="T15" i="60"/>
  <c r="S15" i="60"/>
  <c r="P15" i="60"/>
  <c r="AD14" i="60"/>
  <c r="AC14" i="60"/>
  <c r="AB14" i="60"/>
  <c r="Z14" i="60"/>
  <c r="Y14" i="60"/>
  <c r="X14" i="60"/>
  <c r="W14" i="60"/>
  <c r="V14" i="60"/>
  <c r="U14" i="60"/>
  <c r="T14" i="60"/>
  <c r="S14" i="60"/>
  <c r="P14" i="60"/>
  <c r="AD13" i="60"/>
  <c r="AC13" i="60"/>
  <c r="AB13" i="60"/>
  <c r="Z13" i="60"/>
  <c r="Y13" i="60"/>
  <c r="X13" i="60"/>
  <c r="W13" i="60"/>
  <c r="V13" i="60"/>
  <c r="U13" i="60"/>
  <c r="T13" i="60"/>
  <c r="S13" i="60"/>
  <c r="P13" i="60"/>
  <c r="AD12" i="60"/>
  <c r="AC12" i="60"/>
  <c r="AB12" i="60"/>
  <c r="Z12" i="60"/>
  <c r="Y12" i="60"/>
  <c r="X12" i="60"/>
  <c r="W12" i="60"/>
  <c r="V12" i="60"/>
  <c r="U12" i="60"/>
  <c r="T12" i="60"/>
  <c r="S12" i="60"/>
  <c r="P12" i="60"/>
  <c r="AD11" i="60"/>
  <c r="AC11" i="60"/>
  <c r="AB11" i="60"/>
  <c r="Z11" i="60"/>
  <c r="Y11" i="60"/>
  <c r="X11" i="60"/>
  <c r="W11" i="60"/>
  <c r="V11" i="60"/>
  <c r="U11" i="60"/>
  <c r="T11" i="60"/>
  <c r="S11" i="60"/>
  <c r="P11" i="60"/>
  <c r="AE16" i="60" l="1"/>
  <c r="AE14" i="60"/>
  <c r="AE15" i="60"/>
  <c r="AE12" i="60"/>
  <c r="AE13" i="60"/>
  <c r="AE11" i="60"/>
  <c r="O10" i="60"/>
  <c r="AD10" i="60" s="1"/>
  <c r="N10" i="60"/>
  <c r="AC10" i="60" s="1"/>
  <c r="M10" i="60"/>
  <c r="AB10" i="60" s="1"/>
  <c r="L10" i="60"/>
  <c r="AA10" i="60" s="1"/>
  <c r="K10" i="60"/>
  <c r="J10" i="60"/>
  <c r="I10" i="60"/>
  <c r="H10" i="60"/>
  <c r="G10" i="60"/>
  <c r="X10" i="60" s="1"/>
  <c r="F10" i="60"/>
  <c r="W10" i="60" s="1"/>
  <c r="E10" i="60"/>
  <c r="V10" i="60" s="1"/>
  <c r="D10" i="60"/>
  <c r="U10" i="60" s="1"/>
  <c r="Z10" i="60" l="1"/>
  <c r="Y10" i="60"/>
  <c r="C10" i="60"/>
  <c r="B10" i="60"/>
  <c r="S10" i="60" s="1"/>
  <c r="AD9" i="60"/>
  <c r="AC9" i="60"/>
  <c r="AB9" i="60"/>
  <c r="Z9" i="60"/>
  <c r="Y9" i="60"/>
  <c r="X9" i="60"/>
  <c r="W9" i="60"/>
  <c r="V9" i="60"/>
  <c r="U9" i="60"/>
  <c r="T9" i="60"/>
  <c r="S9" i="60"/>
  <c r="P9" i="60"/>
  <c r="P8" i="60"/>
  <c r="AD7" i="60"/>
  <c r="AC7" i="60"/>
  <c r="AB7" i="60"/>
  <c r="Z7" i="60"/>
  <c r="Y7" i="60"/>
  <c r="X7" i="60"/>
  <c r="W7" i="60"/>
  <c r="V7" i="60"/>
  <c r="U7" i="60"/>
  <c r="T7" i="60"/>
  <c r="S7" i="60"/>
  <c r="P7" i="60"/>
  <c r="AE9" i="60" l="1"/>
  <c r="AE8" i="60"/>
  <c r="AE7" i="60"/>
  <c r="T10" i="60"/>
  <c r="AE10" i="60" s="1"/>
  <c r="P10" i="60"/>
  <c r="AD6" i="60"/>
  <c r="AC6" i="60"/>
  <c r="AB6" i="60"/>
  <c r="Z6" i="60"/>
  <c r="Y6" i="60"/>
  <c r="X6" i="60"/>
  <c r="W6" i="60"/>
  <c r="V6" i="60"/>
  <c r="U6" i="60"/>
  <c r="T6" i="60"/>
  <c r="S6" i="60"/>
  <c r="AE6" i="60" l="1"/>
  <c r="P6" i="60"/>
  <c r="AD5" i="60"/>
  <c r="AC5" i="60"/>
  <c r="AB5" i="60"/>
  <c r="Z5" i="60"/>
  <c r="Y5" i="60"/>
  <c r="X5" i="60"/>
  <c r="W5" i="60"/>
  <c r="V5" i="60"/>
  <c r="U5" i="60"/>
  <c r="T5" i="60"/>
  <c r="S5" i="60"/>
  <c r="P5" i="60"/>
  <c r="AD4" i="60"/>
  <c r="AC4" i="60"/>
  <c r="AB4" i="60"/>
  <c r="Z4" i="60"/>
  <c r="Y4" i="60"/>
  <c r="X4" i="60"/>
  <c r="W4" i="60"/>
  <c r="V4" i="60"/>
  <c r="U4" i="60"/>
  <c r="T4" i="60"/>
  <c r="S4" i="60"/>
  <c r="P4" i="60"/>
  <c r="AD3" i="60"/>
  <c r="AC3" i="60"/>
  <c r="AB3" i="60"/>
  <c r="Z3" i="60"/>
  <c r="Y3" i="60"/>
  <c r="X3" i="60"/>
  <c r="W3" i="60"/>
  <c r="V3" i="60"/>
  <c r="U3" i="60"/>
  <c r="T3" i="60"/>
  <c r="S3" i="60"/>
  <c r="P3" i="60"/>
  <c r="AE4" i="60" l="1"/>
  <c r="AE5" i="60"/>
  <c r="AE3" i="60"/>
  <c r="T32" i="64"/>
  <c r="E23" i="64" s="1"/>
  <c r="T31" i="64"/>
  <c r="E22" i="64" s="1"/>
  <c r="T30" i="64"/>
  <c r="E21" i="64" s="1"/>
  <c r="T29" i="64"/>
  <c r="E20" i="64" s="1"/>
  <c r="T20" i="64"/>
  <c r="D23" i="64" s="1"/>
  <c r="T19" i="64"/>
  <c r="D22" i="64" s="1"/>
  <c r="T18" i="64"/>
  <c r="D21" i="64" s="1"/>
  <c r="T17" i="64"/>
  <c r="D20" i="64" s="1"/>
  <c r="T7" i="64"/>
  <c r="C23" i="64" s="1"/>
  <c r="T6" i="64"/>
  <c r="C22" i="64" s="1"/>
  <c r="T5" i="64"/>
  <c r="C21" i="64" s="1"/>
  <c r="T4" i="64"/>
  <c r="C20" i="64" s="1"/>
  <c r="T33" i="34"/>
  <c r="S33" i="34"/>
  <c r="T32" i="34"/>
  <c r="S32" i="34"/>
  <c r="T31" i="34"/>
  <c r="S31" i="34"/>
  <c r="T30" i="34"/>
  <c r="S30" i="34"/>
  <c r="T29" i="34"/>
  <c r="S29" i="34"/>
  <c r="T28" i="34"/>
  <c r="S28" i="34"/>
  <c r="T27" i="34"/>
  <c r="S27" i="34"/>
  <c r="T26" i="34"/>
  <c r="S26" i="34"/>
  <c r="T25" i="34"/>
  <c r="S25" i="34"/>
  <c r="T23" i="34"/>
  <c r="S23" i="34"/>
  <c r="T22" i="34"/>
  <c r="S22" i="34"/>
  <c r="T21" i="34"/>
  <c r="S21" i="34"/>
  <c r="T20" i="34"/>
  <c r="S20" i="34"/>
  <c r="T19" i="34"/>
  <c r="S19" i="34"/>
  <c r="T17" i="34"/>
  <c r="S17" i="34"/>
  <c r="T16" i="34"/>
  <c r="S16" i="34"/>
  <c r="K15" i="34"/>
  <c r="J15" i="34"/>
  <c r="I15" i="34"/>
  <c r="G15" i="34"/>
  <c r="F15" i="34"/>
  <c r="E15" i="34"/>
  <c r="T14" i="34"/>
  <c r="S14" i="34"/>
  <c r="T13" i="34"/>
  <c r="S13" i="34"/>
  <c r="T12" i="34"/>
  <c r="S12" i="34"/>
  <c r="T11" i="34"/>
  <c r="S11" i="34"/>
  <c r="T10" i="34"/>
  <c r="S10" i="34"/>
  <c r="T9" i="34"/>
  <c r="S9" i="34"/>
  <c r="T8" i="34"/>
  <c r="S8" i="34"/>
  <c r="T7" i="34"/>
  <c r="S7" i="34"/>
  <c r="T6" i="34"/>
  <c r="S6" i="34"/>
  <c r="T5" i="34"/>
  <c r="S5" i="34"/>
  <c r="T4" i="34"/>
  <c r="S4" i="34"/>
  <c r="T3" i="34"/>
  <c r="S3" i="34"/>
  <c r="F10" i="18"/>
  <c r="E10" i="18"/>
  <c r="D10" i="18"/>
  <c r="C10" i="18"/>
  <c r="B10" i="18"/>
  <c r="F9" i="18"/>
  <c r="E9" i="18"/>
  <c r="D9" i="18"/>
  <c r="C9" i="18"/>
  <c r="B9" i="18"/>
  <c r="B8" i="18"/>
  <c r="S15" i="34" l="1"/>
  <c r="T15" i="34"/>
  <c r="K20" i="14"/>
  <c r="I20" i="14" l="1"/>
  <c r="H20" i="14"/>
  <c r="G20" i="14"/>
  <c r="F20" i="14"/>
  <c r="E20" i="14"/>
  <c r="D20" i="14"/>
  <c r="C20" i="14"/>
  <c r="B20" i="14"/>
  <c r="S14" i="14"/>
  <c r="Q14" i="14"/>
  <c r="P14" i="14"/>
  <c r="O14" i="14"/>
  <c r="O15" i="14" s="1"/>
  <c r="N14" i="14"/>
  <c r="N15" i="14" s="1"/>
  <c r="M14" i="14"/>
  <c r="M15" i="14" s="1"/>
  <c r="L14" i="14"/>
  <c r="L15" i="14" s="1"/>
  <c r="J21" i="14" s="1"/>
  <c r="K14" i="14"/>
  <c r="K15" i="14" s="1"/>
  <c r="J14" i="14"/>
  <c r="J15" i="14" s="1"/>
  <c r="I14" i="14"/>
  <c r="I15" i="14" s="1"/>
  <c r="H14" i="14"/>
  <c r="H15" i="14" s="1"/>
  <c r="H21" i="14" s="1"/>
  <c r="G14" i="14"/>
  <c r="G15" i="14" s="1"/>
  <c r="G21" i="14" s="1"/>
  <c r="F14" i="14"/>
  <c r="F15" i="14" s="1"/>
  <c r="F21" i="14" s="1"/>
  <c r="E14" i="14"/>
  <c r="E15" i="14" s="1"/>
  <c r="E21" i="14" s="1"/>
  <c r="D14" i="14"/>
  <c r="D15" i="14" s="1"/>
  <c r="D21" i="14" s="1"/>
  <c r="C14" i="14"/>
  <c r="C15" i="14" s="1"/>
  <c r="C21" i="14" s="1"/>
  <c r="B14" i="14"/>
  <c r="B15" i="14" s="1"/>
  <c r="B21" i="14" s="1"/>
  <c r="U13" i="14"/>
  <c r="T13" i="14"/>
  <c r="S13" i="14"/>
  <c r="U12" i="14"/>
  <c r="T12" i="14"/>
  <c r="S12" i="14"/>
  <c r="U11" i="14"/>
  <c r="T11" i="14"/>
  <c r="S11" i="14"/>
  <c r="U10" i="14"/>
  <c r="T10" i="14"/>
  <c r="S10" i="14"/>
  <c r="U9" i="14"/>
  <c r="T9" i="14"/>
  <c r="S9" i="14"/>
  <c r="U5" i="14"/>
  <c r="T5" i="14"/>
  <c r="S5" i="14"/>
  <c r="K20" i="12"/>
  <c r="K21" i="12" s="1"/>
  <c r="J20" i="12"/>
  <c r="I20" i="12"/>
  <c r="H20" i="12"/>
  <c r="G20" i="12"/>
  <c r="F20" i="12"/>
  <c r="E20" i="12"/>
  <c r="D20" i="12"/>
  <c r="C20" i="12"/>
  <c r="B20" i="12"/>
  <c r="J19" i="12"/>
  <c r="I19" i="12"/>
  <c r="I21" i="12" s="1"/>
  <c r="H19" i="12"/>
  <c r="H21" i="12" s="1"/>
  <c r="G19" i="12"/>
  <c r="F19" i="12"/>
  <c r="E19" i="12"/>
  <c r="E21" i="12" s="1"/>
  <c r="D19" i="12"/>
  <c r="D21" i="12" s="1"/>
  <c r="C19" i="12"/>
  <c r="B19" i="12"/>
  <c r="B21" i="12" s="1"/>
  <c r="J18" i="12"/>
  <c r="I18" i="12"/>
  <c r="H18" i="12"/>
  <c r="G18" i="12"/>
  <c r="F18" i="12"/>
  <c r="E18" i="12"/>
  <c r="D18" i="12"/>
  <c r="C18" i="12"/>
  <c r="B18" i="12"/>
  <c r="J17" i="12"/>
  <c r="I17" i="12"/>
  <c r="H17" i="12"/>
  <c r="G17" i="12"/>
  <c r="F17" i="12"/>
  <c r="E17" i="12"/>
  <c r="D17" i="12"/>
  <c r="C17" i="12"/>
  <c r="B17" i="12"/>
  <c r="J16" i="12"/>
  <c r="I16" i="12"/>
  <c r="H16" i="12"/>
  <c r="G16" i="12"/>
  <c r="F16" i="12"/>
  <c r="E16" i="12"/>
  <c r="D16" i="12"/>
  <c r="C16" i="12"/>
  <c r="B16" i="12"/>
  <c r="T10" i="12"/>
  <c r="S10" i="12"/>
  <c r="R10" i="12"/>
  <c r="T9" i="12"/>
  <c r="S9" i="12"/>
  <c r="R9" i="12"/>
  <c r="T8" i="12"/>
  <c r="S8" i="12"/>
  <c r="R8" i="12"/>
  <c r="T7" i="12"/>
  <c r="S7" i="12"/>
  <c r="R7" i="12"/>
  <c r="V6" i="12"/>
  <c r="U6" i="12"/>
  <c r="T6" i="12"/>
  <c r="S6" i="12"/>
  <c r="R6" i="12"/>
  <c r="M34" i="15"/>
  <c r="L34" i="15"/>
  <c r="J34" i="15"/>
  <c r="I34" i="15"/>
  <c r="H34" i="15"/>
  <c r="G34" i="15"/>
  <c r="F34" i="15"/>
  <c r="E34" i="15"/>
  <c r="D34" i="15"/>
  <c r="C34" i="15"/>
  <c r="B34" i="15"/>
  <c r="M33" i="15"/>
  <c r="L33" i="15"/>
  <c r="J33" i="15"/>
  <c r="I33" i="15"/>
  <c r="H33" i="15"/>
  <c r="G33" i="15"/>
  <c r="F33" i="15"/>
  <c r="E33" i="15"/>
  <c r="D33" i="15"/>
  <c r="C33" i="15"/>
  <c r="B33" i="15"/>
  <c r="M32" i="15"/>
  <c r="L32" i="15"/>
  <c r="J32" i="15"/>
  <c r="I32" i="15"/>
  <c r="H32" i="15"/>
  <c r="G32" i="15"/>
  <c r="F32" i="15"/>
  <c r="E32" i="15"/>
  <c r="D32" i="15"/>
  <c r="C32" i="15"/>
  <c r="B32" i="15"/>
  <c r="M31" i="15"/>
  <c r="L31" i="15"/>
  <c r="J31" i="15"/>
  <c r="I31" i="15"/>
  <c r="H31" i="15"/>
  <c r="G31" i="15"/>
  <c r="F31" i="15"/>
  <c r="E31" i="15"/>
  <c r="D31" i="15"/>
  <c r="C31" i="15"/>
  <c r="B31" i="15"/>
  <c r="M30" i="15"/>
  <c r="L30" i="15"/>
  <c r="J30" i="15"/>
  <c r="I30" i="15"/>
  <c r="H30" i="15"/>
  <c r="G30" i="15"/>
  <c r="F30" i="15"/>
  <c r="E30" i="15"/>
  <c r="D30" i="15"/>
  <c r="C30" i="15"/>
  <c r="B30" i="15"/>
  <c r="P27" i="15"/>
  <c r="O27" i="15"/>
  <c r="N27" i="15"/>
  <c r="M27" i="15"/>
  <c r="L27" i="15"/>
  <c r="K27" i="15"/>
  <c r="J35" i="15" s="1"/>
  <c r="J27" i="15"/>
  <c r="I27" i="15"/>
  <c r="H35" i="15" s="1"/>
  <c r="H27" i="15"/>
  <c r="G27" i="15"/>
  <c r="G35" i="15" s="1"/>
  <c r="F27" i="15"/>
  <c r="F35" i="15" s="1"/>
  <c r="E27" i="15"/>
  <c r="E35" i="15" s="1"/>
  <c r="D27" i="15"/>
  <c r="D35" i="15" s="1"/>
  <c r="C27" i="15"/>
  <c r="C35" i="15" s="1"/>
  <c r="B27" i="15"/>
  <c r="B35" i="15" s="1"/>
  <c r="T26" i="15"/>
  <c r="S26" i="15"/>
  <c r="R26" i="15"/>
  <c r="T25" i="15"/>
  <c r="S25" i="15"/>
  <c r="R25" i="15"/>
  <c r="T24" i="15"/>
  <c r="S24" i="15"/>
  <c r="R24" i="15"/>
  <c r="T23" i="15"/>
  <c r="S23" i="15"/>
  <c r="R23" i="15"/>
  <c r="V22" i="15"/>
  <c r="U22" i="15"/>
  <c r="T22" i="15"/>
  <c r="S22" i="15"/>
  <c r="R22" i="15"/>
  <c r="J17" i="15"/>
  <c r="I17" i="15"/>
  <c r="H17" i="15"/>
  <c r="G17" i="15"/>
  <c r="F17" i="15"/>
  <c r="E17" i="15"/>
  <c r="D17" i="15"/>
  <c r="C17" i="15"/>
  <c r="B17" i="15"/>
  <c r="J16" i="15"/>
  <c r="I16" i="15"/>
  <c r="H16" i="15"/>
  <c r="G16" i="15"/>
  <c r="F16" i="15"/>
  <c r="E16" i="15"/>
  <c r="D16" i="15"/>
  <c r="C16" i="15"/>
  <c r="B16" i="15"/>
  <c r="J15" i="15"/>
  <c r="I15" i="15"/>
  <c r="H15" i="15"/>
  <c r="G15" i="15"/>
  <c r="F15" i="15"/>
  <c r="E15" i="15"/>
  <c r="D15" i="15"/>
  <c r="C15" i="15"/>
  <c r="B15" i="15"/>
  <c r="J14" i="15"/>
  <c r="I14" i="15"/>
  <c r="H14" i="15"/>
  <c r="G14" i="15"/>
  <c r="F14" i="15"/>
  <c r="E14" i="15"/>
  <c r="D14" i="15"/>
  <c r="C14" i="15"/>
  <c r="B14" i="15"/>
  <c r="J13" i="15"/>
  <c r="I13" i="15"/>
  <c r="H13" i="15"/>
  <c r="G13" i="15"/>
  <c r="F13" i="15"/>
  <c r="E13" i="15"/>
  <c r="D13" i="15"/>
  <c r="C13" i="15"/>
  <c r="B13" i="15"/>
  <c r="P10" i="15"/>
  <c r="L18" i="15" s="1"/>
  <c r="O10" i="15"/>
  <c r="N10" i="15"/>
  <c r="M10" i="15"/>
  <c r="L10" i="15"/>
  <c r="K10" i="15"/>
  <c r="J10" i="15"/>
  <c r="I10" i="15"/>
  <c r="H10" i="15"/>
  <c r="G10" i="15"/>
  <c r="F10" i="15"/>
  <c r="E10" i="15"/>
  <c r="D10" i="15"/>
  <c r="C10" i="15"/>
  <c r="B10" i="15"/>
  <c r="T9" i="15"/>
  <c r="S9" i="15"/>
  <c r="R9" i="15"/>
  <c r="T8" i="15"/>
  <c r="S8" i="15"/>
  <c r="R8" i="15"/>
  <c r="T7" i="15"/>
  <c r="S7" i="15"/>
  <c r="R7" i="15"/>
  <c r="T6" i="15"/>
  <c r="S6" i="15"/>
  <c r="R6" i="15"/>
  <c r="V5" i="15"/>
  <c r="U5" i="15"/>
  <c r="T5" i="15"/>
  <c r="S5" i="15"/>
  <c r="R5" i="15"/>
  <c r="M59" i="3"/>
  <c r="L59" i="3"/>
  <c r="K59" i="3"/>
  <c r="J59" i="3"/>
  <c r="I59" i="3"/>
  <c r="H59" i="3"/>
  <c r="G59" i="3"/>
  <c r="F59" i="3"/>
  <c r="E59" i="3"/>
  <c r="D59" i="3"/>
  <c r="C59" i="3"/>
  <c r="B59" i="3"/>
  <c r="M58" i="3"/>
  <c r="L58" i="3"/>
  <c r="K58" i="3"/>
  <c r="J58" i="3"/>
  <c r="I58" i="3"/>
  <c r="H58" i="3"/>
  <c r="G58" i="3"/>
  <c r="F58" i="3"/>
  <c r="E58" i="3"/>
  <c r="D58" i="3"/>
  <c r="C58" i="3"/>
  <c r="B58" i="3"/>
  <c r="M57" i="3"/>
  <c r="L57" i="3"/>
  <c r="K57" i="3"/>
  <c r="J57" i="3"/>
  <c r="I57" i="3"/>
  <c r="H57" i="3"/>
  <c r="G57" i="3"/>
  <c r="F57" i="3"/>
  <c r="E57" i="3"/>
  <c r="D57" i="3"/>
  <c r="C57" i="3"/>
  <c r="B57" i="3"/>
  <c r="M56" i="3"/>
  <c r="L56" i="3"/>
  <c r="K56" i="3"/>
  <c r="J56" i="3"/>
  <c r="I56" i="3"/>
  <c r="H56" i="3"/>
  <c r="G56" i="3"/>
  <c r="F56" i="3"/>
  <c r="E56" i="3"/>
  <c r="D56" i="3"/>
  <c r="C56" i="3"/>
  <c r="B56" i="3"/>
  <c r="M55" i="3"/>
  <c r="L55" i="3"/>
  <c r="K55" i="3"/>
  <c r="J55" i="3"/>
  <c r="I55" i="3"/>
  <c r="H55" i="3"/>
  <c r="G55" i="3"/>
  <c r="F55" i="3"/>
  <c r="E55" i="3"/>
  <c r="D55" i="3"/>
  <c r="C55" i="3"/>
  <c r="B55" i="3"/>
  <c r="P52" i="3"/>
  <c r="O52" i="3"/>
  <c r="N52" i="3"/>
  <c r="M52" i="3"/>
  <c r="L52" i="3"/>
  <c r="K52" i="3"/>
  <c r="J52" i="3"/>
  <c r="I52" i="3"/>
  <c r="H52" i="3"/>
  <c r="G52" i="3"/>
  <c r="G60" i="3" s="1"/>
  <c r="F52" i="3"/>
  <c r="F60" i="3" s="1"/>
  <c r="E52" i="3"/>
  <c r="E60" i="3" s="1"/>
  <c r="D52" i="3"/>
  <c r="D60" i="3" s="1"/>
  <c r="C52" i="3"/>
  <c r="C60" i="3" s="1"/>
  <c r="B52" i="3"/>
  <c r="T51" i="3"/>
  <c r="S51" i="3"/>
  <c r="R51" i="3"/>
  <c r="T50" i="3"/>
  <c r="S50" i="3"/>
  <c r="R50" i="3"/>
  <c r="T49" i="3"/>
  <c r="S49" i="3"/>
  <c r="R49" i="3"/>
  <c r="T48" i="3"/>
  <c r="S48" i="3"/>
  <c r="R48" i="3"/>
  <c r="V47" i="3"/>
  <c r="U47" i="3"/>
  <c r="T47" i="3"/>
  <c r="S47" i="3"/>
  <c r="R47" i="3"/>
  <c r="J19" i="3"/>
  <c r="I19" i="3"/>
  <c r="H19" i="3"/>
  <c r="G19" i="3"/>
  <c r="F19" i="3"/>
  <c r="E19" i="3"/>
  <c r="D19" i="3"/>
  <c r="C19" i="3"/>
  <c r="B19" i="3"/>
  <c r="J18" i="3"/>
  <c r="I18" i="3"/>
  <c r="H18" i="3"/>
  <c r="G18" i="3"/>
  <c r="F18" i="3"/>
  <c r="E18" i="3"/>
  <c r="D18" i="3"/>
  <c r="C18" i="3"/>
  <c r="B18" i="3"/>
  <c r="J17" i="3"/>
  <c r="I17" i="3"/>
  <c r="H17" i="3"/>
  <c r="G17" i="3"/>
  <c r="F17" i="3"/>
  <c r="E17" i="3"/>
  <c r="D17" i="3"/>
  <c r="C17" i="3"/>
  <c r="B17" i="3"/>
  <c r="J16" i="3"/>
  <c r="I16" i="3"/>
  <c r="H16" i="3"/>
  <c r="G16" i="3"/>
  <c r="F16" i="3"/>
  <c r="E16" i="3"/>
  <c r="D16" i="3"/>
  <c r="C16" i="3"/>
  <c r="B16" i="3"/>
  <c r="J15" i="3"/>
  <c r="I15" i="3"/>
  <c r="H15" i="3"/>
  <c r="G15" i="3"/>
  <c r="F15" i="3"/>
  <c r="E15" i="3"/>
  <c r="D15" i="3"/>
  <c r="C15" i="3"/>
  <c r="B15" i="3"/>
  <c r="P10" i="3"/>
  <c r="L20" i="3" s="1"/>
  <c r="O10" i="3"/>
  <c r="N10" i="3"/>
  <c r="M10" i="3"/>
  <c r="L10" i="3"/>
  <c r="K10" i="3"/>
  <c r="J10" i="3"/>
  <c r="I10" i="3"/>
  <c r="H10" i="3"/>
  <c r="G10" i="3"/>
  <c r="G20" i="3" s="1"/>
  <c r="F10" i="3"/>
  <c r="F20" i="3" s="1"/>
  <c r="E10" i="3"/>
  <c r="E20" i="3" s="1"/>
  <c r="D10" i="3"/>
  <c r="D20" i="3" s="1"/>
  <c r="C10" i="3"/>
  <c r="B20" i="3"/>
  <c r="T9" i="3"/>
  <c r="S9" i="3"/>
  <c r="R9" i="3"/>
  <c r="T8" i="3"/>
  <c r="S8" i="3"/>
  <c r="R8" i="3"/>
  <c r="T7" i="3"/>
  <c r="S7" i="3"/>
  <c r="R7" i="3"/>
  <c r="T6" i="3"/>
  <c r="S6" i="3"/>
  <c r="R6" i="3"/>
  <c r="V5" i="3"/>
  <c r="U5" i="3"/>
  <c r="T5" i="3"/>
  <c r="S5" i="3"/>
  <c r="R5" i="3"/>
  <c r="Q74" i="8"/>
  <c r="P74" i="8"/>
  <c r="O74" i="8"/>
  <c r="M74" i="8"/>
  <c r="L74" i="8"/>
  <c r="K74" i="8"/>
  <c r="J74" i="8"/>
  <c r="I74" i="8"/>
  <c r="H74" i="8"/>
  <c r="G74" i="8"/>
  <c r="F74" i="8"/>
  <c r="D74" i="8"/>
  <c r="C74" i="8"/>
  <c r="B74" i="8"/>
  <c r="T72" i="8"/>
  <c r="S72" i="8"/>
  <c r="R72" i="8"/>
  <c r="T71" i="8"/>
  <c r="S71" i="8"/>
  <c r="R71" i="8"/>
  <c r="T70" i="8"/>
  <c r="S70" i="8"/>
  <c r="R70" i="8"/>
  <c r="T69" i="8"/>
  <c r="S69" i="8"/>
  <c r="R69" i="8"/>
  <c r="T68" i="8"/>
  <c r="S68" i="8"/>
  <c r="R68" i="8"/>
  <c r="T67" i="8"/>
  <c r="S67" i="8"/>
  <c r="R67" i="8"/>
  <c r="T66" i="8"/>
  <c r="S66" i="8"/>
  <c r="R66" i="8"/>
  <c r="T65" i="8"/>
  <c r="S65" i="8"/>
  <c r="R65" i="8"/>
  <c r="T64" i="8"/>
  <c r="S64" i="8"/>
  <c r="R64" i="8"/>
  <c r="T63" i="8"/>
  <c r="S63" i="8"/>
  <c r="R63" i="8"/>
  <c r="Q61" i="8"/>
  <c r="P61" i="8"/>
  <c r="O61" i="8"/>
  <c r="M61" i="8"/>
  <c r="L61" i="8"/>
  <c r="K61" i="8"/>
  <c r="J61" i="8"/>
  <c r="I61" i="8"/>
  <c r="H61" i="8"/>
  <c r="G61" i="8"/>
  <c r="F61" i="8"/>
  <c r="D61" i="8"/>
  <c r="C61" i="8"/>
  <c r="B61" i="8"/>
  <c r="T59" i="8"/>
  <c r="S59" i="8"/>
  <c r="R59" i="8"/>
  <c r="T58" i="8"/>
  <c r="S58" i="8"/>
  <c r="R58" i="8"/>
  <c r="T57" i="8"/>
  <c r="S57" i="8"/>
  <c r="R57" i="8"/>
  <c r="T56" i="8"/>
  <c r="S56" i="8"/>
  <c r="R56" i="8"/>
  <c r="T55" i="8"/>
  <c r="S55" i="8"/>
  <c r="R55" i="8"/>
  <c r="T54" i="8"/>
  <c r="S54" i="8"/>
  <c r="R54" i="8"/>
  <c r="T53" i="8"/>
  <c r="S53" i="8"/>
  <c r="R53" i="8"/>
  <c r="T52" i="8"/>
  <c r="S52" i="8"/>
  <c r="R52" i="8"/>
  <c r="B50" i="8"/>
  <c r="T48" i="8"/>
  <c r="S48" i="8"/>
  <c r="R48" i="8"/>
  <c r="T47" i="8"/>
  <c r="S47" i="8"/>
  <c r="R47" i="8"/>
  <c r="T46" i="8"/>
  <c r="S46" i="8"/>
  <c r="R46" i="8"/>
  <c r="T45" i="8"/>
  <c r="S45" i="8"/>
  <c r="R45" i="8"/>
  <c r="T44" i="8"/>
  <c r="S44" i="8"/>
  <c r="R44" i="8"/>
  <c r="T43" i="8"/>
  <c r="S43" i="8"/>
  <c r="R43" i="8"/>
  <c r="T42" i="8"/>
  <c r="S42" i="8"/>
  <c r="R42" i="8"/>
  <c r="T41" i="8"/>
  <c r="S41" i="8"/>
  <c r="R41" i="8"/>
  <c r="T40" i="8"/>
  <c r="S40" i="8"/>
  <c r="R40" i="8"/>
  <c r="P38" i="8"/>
  <c r="O38" i="8"/>
  <c r="M38" i="8"/>
  <c r="L38" i="8"/>
  <c r="K38" i="8"/>
  <c r="J38" i="8"/>
  <c r="I38" i="8"/>
  <c r="H38" i="8"/>
  <c r="G38" i="8"/>
  <c r="F38" i="8"/>
  <c r="D38" i="8"/>
  <c r="C38" i="8"/>
  <c r="B38" i="8"/>
  <c r="T36" i="8"/>
  <c r="S36" i="8"/>
  <c r="R36" i="8"/>
  <c r="T35" i="8"/>
  <c r="S35" i="8"/>
  <c r="R35" i="8"/>
  <c r="T34" i="8"/>
  <c r="S34" i="8"/>
  <c r="R34" i="8"/>
  <c r="T33" i="8"/>
  <c r="S33" i="8"/>
  <c r="R33" i="8"/>
  <c r="T32" i="8"/>
  <c r="S32" i="8"/>
  <c r="R32" i="8"/>
  <c r="T31" i="8"/>
  <c r="S31" i="8"/>
  <c r="R31" i="8"/>
  <c r="T30" i="8"/>
  <c r="S30" i="8"/>
  <c r="R30" i="8"/>
  <c r="T29" i="8"/>
  <c r="S29" i="8"/>
  <c r="R29" i="8"/>
  <c r="T28" i="8"/>
  <c r="S28" i="8"/>
  <c r="R28" i="8"/>
  <c r="T27" i="8"/>
  <c r="S27" i="8"/>
  <c r="R27" i="8"/>
  <c r="T26" i="8"/>
  <c r="S26" i="8"/>
  <c r="R26" i="8"/>
  <c r="T25" i="8"/>
  <c r="S25" i="8"/>
  <c r="R25" i="8"/>
  <c r="T21" i="8"/>
  <c r="S21" i="8"/>
  <c r="R21" i="8"/>
  <c r="T20" i="8"/>
  <c r="S20" i="8"/>
  <c r="R20" i="8"/>
  <c r="T19" i="8"/>
  <c r="S19" i="8"/>
  <c r="R19" i="8"/>
  <c r="T18" i="8"/>
  <c r="S18" i="8"/>
  <c r="R18" i="8"/>
  <c r="T17" i="8"/>
  <c r="S17" i="8"/>
  <c r="R17" i="8"/>
  <c r="T16" i="8"/>
  <c r="S16" i="8"/>
  <c r="R16" i="8"/>
  <c r="T15" i="8"/>
  <c r="S15" i="8"/>
  <c r="R15" i="8"/>
  <c r="T14" i="8"/>
  <c r="S14" i="8"/>
  <c r="R14" i="8"/>
  <c r="T13" i="8"/>
  <c r="S13" i="8"/>
  <c r="R13" i="8"/>
  <c r="T12" i="8"/>
  <c r="S12" i="8"/>
  <c r="R12" i="8"/>
  <c r="T11" i="8"/>
  <c r="S11" i="8"/>
  <c r="R11" i="8"/>
  <c r="T10" i="8"/>
  <c r="S10" i="8"/>
  <c r="R10" i="8"/>
  <c r="T9" i="8"/>
  <c r="S9" i="8"/>
  <c r="R9" i="8"/>
  <c r="T8" i="8"/>
  <c r="S8" i="8"/>
  <c r="R8" i="8"/>
  <c r="T7" i="8"/>
  <c r="S7" i="8"/>
  <c r="R7" i="8"/>
  <c r="T5" i="8"/>
  <c r="S5" i="8"/>
  <c r="R5" i="8"/>
  <c r="T4" i="8"/>
  <c r="S4" i="8"/>
  <c r="R4" i="8"/>
  <c r="T3" i="8"/>
  <c r="S3" i="8"/>
  <c r="R3" i="8"/>
  <c r="Q74" i="7"/>
  <c r="P74" i="7"/>
  <c r="O74" i="7"/>
  <c r="M74" i="7"/>
  <c r="L74" i="7"/>
  <c r="K74" i="7"/>
  <c r="J74" i="7"/>
  <c r="I74" i="7"/>
  <c r="H74" i="7"/>
  <c r="G74" i="7"/>
  <c r="F74" i="7"/>
  <c r="D74" i="7"/>
  <c r="C74" i="7"/>
  <c r="B74" i="7"/>
  <c r="T72" i="7"/>
  <c r="S72" i="7"/>
  <c r="R72" i="7"/>
  <c r="T71" i="7"/>
  <c r="S71" i="7"/>
  <c r="R71" i="7"/>
  <c r="T70" i="7"/>
  <c r="S70" i="7"/>
  <c r="R70" i="7"/>
  <c r="T69" i="7"/>
  <c r="S69" i="7"/>
  <c r="R69" i="7"/>
  <c r="T68" i="7"/>
  <c r="S68" i="7"/>
  <c r="R68" i="7"/>
  <c r="T67" i="7"/>
  <c r="S67" i="7"/>
  <c r="R67" i="7"/>
  <c r="T66" i="7"/>
  <c r="S66" i="7"/>
  <c r="R66" i="7"/>
  <c r="T65" i="7"/>
  <c r="S65" i="7"/>
  <c r="R65" i="7"/>
  <c r="T64" i="7"/>
  <c r="S64" i="7"/>
  <c r="R64" i="7"/>
  <c r="T63" i="7"/>
  <c r="S63" i="7"/>
  <c r="R63" i="7"/>
  <c r="B61" i="7"/>
  <c r="S59" i="7"/>
  <c r="R59" i="7"/>
  <c r="T58" i="7"/>
  <c r="S58" i="7"/>
  <c r="R58" i="7"/>
  <c r="T57" i="7"/>
  <c r="S57" i="7"/>
  <c r="R57" i="7"/>
  <c r="T56" i="7"/>
  <c r="S56" i="7"/>
  <c r="R56" i="7"/>
  <c r="T55" i="7"/>
  <c r="S55" i="7"/>
  <c r="R55" i="7"/>
  <c r="T54" i="7"/>
  <c r="S54" i="7"/>
  <c r="R54" i="7"/>
  <c r="T53" i="7"/>
  <c r="S53" i="7"/>
  <c r="R53" i="7"/>
  <c r="T52" i="7"/>
  <c r="S52" i="7"/>
  <c r="R52" i="7"/>
  <c r="B50" i="7"/>
  <c r="T48" i="7"/>
  <c r="S48" i="7"/>
  <c r="R48" i="7"/>
  <c r="T47" i="7"/>
  <c r="S47" i="7"/>
  <c r="R47" i="7"/>
  <c r="T46" i="7"/>
  <c r="S46" i="7"/>
  <c r="R46" i="7"/>
  <c r="T45" i="7"/>
  <c r="S45" i="7"/>
  <c r="R45" i="7"/>
  <c r="T44" i="7"/>
  <c r="S44" i="7"/>
  <c r="R44" i="7"/>
  <c r="T43" i="7"/>
  <c r="S43" i="7"/>
  <c r="R43" i="7"/>
  <c r="T42" i="7"/>
  <c r="S42" i="7"/>
  <c r="R42" i="7"/>
  <c r="T41" i="7"/>
  <c r="S41" i="7"/>
  <c r="R41" i="7"/>
  <c r="T40" i="7"/>
  <c r="S40" i="7"/>
  <c r="R40" i="7"/>
  <c r="B38" i="7"/>
  <c r="T36" i="7"/>
  <c r="S36" i="7"/>
  <c r="R36" i="7"/>
  <c r="T35" i="7"/>
  <c r="S35" i="7"/>
  <c r="R35" i="7"/>
  <c r="T34" i="7"/>
  <c r="S34" i="7"/>
  <c r="R34" i="7"/>
  <c r="T33" i="7"/>
  <c r="S33" i="7"/>
  <c r="R33" i="7"/>
  <c r="T32" i="7"/>
  <c r="S32" i="7"/>
  <c r="R32" i="7"/>
  <c r="T31" i="7"/>
  <c r="S31" i="7"/>
  <c r="R31" i="7"/>
  <c r="T30" i="7"/>
  <c r="S30" i="7"/>
  <c r="R30" i="7"/>
  <c r="T29" i="7"/>
  <c r="S29" i="7"/>
  <c r="R29" i="7"/>
  <c r="T28" i="7"/>
  <c r="S28" i="7"/>
  <c r="R28" i="7"/>
  <c r="T27" i="7"/>
  <c r="S27" i="7"/>
  <c r="R27" i="7"/>
  <c r="T26" i="7"/>
  <c r="S26" i="7"/>
  <c r="R26" i="7"/>
  <c r="T25" i="7"/>
  <c r="S25" i="7"/>
  <c r="R25" i="7"/>
  <c r="Q23" i="7"/>
  <c r="P23" i="7"/>
  <c r="O23" i="7"/>
  <c r="N23" i="7"/>
  <c r="M23" i="7"/>
  <c r="L23" i="7"/>
  <c r="K23" i="7"/>
  <c r="J23" i="7"/>
  <c r="I23" i="7"/>
  <c r="H23" i="7"/>
  <c r="G23" i="7"/>
  <c r="F23" i="7"/>
  <c r="E23" i="7"/>
  <c r="D23" i="7"/>
  <c r="C23" i="7"/>
  <c r="B23" i="7"/>
  <c r="T21" i="7"/>
  <c r="S21" i="7"/>
  <c r="R21" i="7"/>
  <c r="T20" i="7"/>
  <c r="S20" i="7"/>
  <c r="R20" i="7"/>
  <c r="T19" i="7"/>
  <c r="S19" i="7"/>
  <c r="R19" i="7"/>
  <c r="T18" i="7"/>
  <c r="S18" i="7"/>
  <c r="R18" i="7"/>
  <c r="T17" i="7"/>
  <c r="S17" i="7"/>
  <c r="R17" i="7"/>
  <c r="T16" i="7"/>
  <c r="S16" i="7"/>
  <c r="R16" i="7"/>
  <c r="T15" i="7"/>
  <c r="S15" i="7"/>
  <c r="R15" i="7"/>
  <c r="T14" i="7"/>
  <c r="S14" i="7"/>
  <c r="R14" i="7"/>
  <c r="T13" i="7"/>
  <c r="S13" i="7"/>
  <c r="R13" i="7"/>
  <c r="T12" i="7"/>
  <c r="S12" i="7"/>
  <c r="R12" i="7"/>
  <c r="T11" i="7"/>
  <c r="S11" i="7"/>
  <c r="R11" i="7"/>
  <c r="T10" i="7"/>
  <c r="S10" i="7"/>
  <c r="R10" i="7"/>
  <c r="T9" i="7"/>
  <c r="S9" i="7"/>
  <c r="R9" i="7"/>
  <c r="T8" i="7"/>
  <c r="S8" i="7"/>
  <c r="R8" i="7"/>
  <c r="T7" i="7"/>
  <c r="S7" i="7"/>
  <c r="R7" i="7"/>
  <c r="T5" i="7"/>
  <c r="S5" i="7"/>
  <c r="R5" i="7"/>
  <c r="T4" i="7"/>
  <c r="S4" i="7"/>
  <c r="R4" i="7"/>
  <c r="T3" i="7"/>
  <c r="S3" i="7"/>
  <c r="R3" i="7"/>
  <c r="B75" i="1"/>
  <c r="B74" i="1"/>
  <c r="T73" i="1"/>
  <c r="S73" i="1"/>
  <c r="R73" i="1"/>
  <c r="T72" i="1"/>
  <c r="S72" i="1"/>
  <c r="R72" i="1"/>
  <c r="T71" i="1"/>
  <c r="S71" i="1"/>
  <c r="R71" i="1"/>
  <c r="T70" i="1"/>
  <c r="S70" i="1"/>
  <c r="R70" i="1"/>
  <c r="T69" i="1"/>
  <c r="S69" i="1"/>
  <c r="R69" i="1"/>
  <c r="T68" i="1"/>
  <c r="S68" i="1"/>
  <c r="R68" i="1"/>
  <c r="T67" i="1"/>
  <c r="S67" i="1"/>
  <c r="R67" i="1"/>
  <c r="T66" i="1"/>
  <c r="S66" i="1"/>
  <c r="R66" i="1"/>
  <c r="T65" i="1"/>
  <c r="S65" i="1"/>
  <c r="R65" i="1"/>
  <c r="T64" i="1"/>
  <c r="S64" i="1"/>
  <c r="R64" i="1"/>
  <c r="Q62" i="1"/>
  <c r="P62" i="1"/>
  <c r="O62" i="1"/>
  <c r="M62" i="1"/>
  <c r="L62" i="1"/>
  <c r="K62" i="1"/>
  <c r="J62" i="1"/>
  <c r="I62" i="1"/>
  <c r="H62" i="1"/>
  <c r="G62" i="1"/>
  <c r="F62" i="1"/>
  <c r="D62" i="1"/>
  <c r="C62" i="1"/>
  <c r="B62" i="1"/>
  <c r="T60" i="1"/>
  <c r="T59" i="1"/>
  <c r="S59" i="1"/>
  <c r="R59" i="1"/>
  <c r="T58" i="1"/>
  <c r="S58" i="1"/>
  <c r="R58" i="1"/>
  <c r="T57" i="1"/>
  <c r="S57" i="1"/>
  <c r="R57" i="1"/>
  <c r="T56" i="1"/>
  <c r="S56" i="1"/>
  <c r="R56" i="1"/>
  <c r="T55" i="1"/>
  <c r="S55" i="1"/>
  <c r="R55" i="1"/>
  <c r="T54" i="1"/>
  <c r="S54" i="1"/>
  <c r="R54" i="1"/>
  <c r="T53" i="1"/>
  <c r="S53" i="1"/>
  <c r="R53" i="1"/>
  <c r="B51" i="1"/>
  <c r="B50" i="1"/>
  <c r="T48" i="1"/>
  <c r="S48" i="1"/>
  <c r="R48" i="1"/>
  <c r="T47" i="1"/>
  <c r="S47" i="1"/>
  <c r="R47" i="1"/>
  <c r="T46" i="1"/>
  <c r="S46" i="1"/>
  <c r="R46" i="1"/>
  <c r="T45" i="1"/>
  <c r="S45" i="1"/>
  <c r="R45" i="1"/>
  <c r="T44" i="1"/>
  <c r="S44" i="1"/>
  <c r="R44" i="1"/>
  <c r="T43" i="1"/>
  <c r="S43" i="1"/>
  <c r="R43" i="1"/>
  <c r="T42" i="1"/>
  <c r="S42" i="1"/>
  <c r="R42" i="1"/>
  <c r="T41" i="1"/>
  <c r="S41" i="1"/>
  <c r="R41" i="1"/>
  <c r="T40" i="1"/>
  <c r="S40" i="1"/>
  <c r="R40" i="1"/>
  <c r="P38" i="1"/>
  <c r="O38" i="1"/>
  <c r="M38" i="1"/>
  <c r="L38" i="1"/>
  <c r="K38" i="1"/>
  <c r="J38" i="1"/>
  <c r="I38" i="1"/>
  <c r="H38" i="1"/>
  <c r="G38" i="1"/>
  <c r="F38" i="1"/>
  <c r="D38" i="1"/>
  <c r="C38" i="1"/>
  <c r="B38" i="1"/>
  <c r="S36" i="1"/>
  <c r="R36" i="1"/>
  <c r="T35" i="1"/>
  <c r="S35" i="1"/>
  <c r="R35" i="1"/>
  <c r="T34" i="1"/>
  <c r="S34" i="1"/>
  <c r="R34" i="1"/>
  <c r="T33" i="1"/>
  <c r="S33" i="1"/>
  <c r="R33" i="1"/>
  <c r="T32" i="1"/>
  <c r="S32" i="1"/>
  <c r="R32" i="1"/>
  <c r="T31" i="1"/>
  <c r="S31" i="1"/>
  <c r="R31" i="1"/>
  <c r="T30" i="1"/>
  <c r="S30" i="1"/>
  <c r="R30" i="1"/>
  <c r="T29" i="1"/>
  <c r="S29" i="1"/>
  <c r="R29" i="1"/>
  <c r="T28" i="1"/>
  <c r="S28" i="1"/>
  <c r="R28" i="1"/>
  <c r="T27" i="1"/>
  <c r="S27" i="1"/>
  <c r="R27" i="1"/>
  <c r="T26" i="1"/>
  <c r="S26" i="1"/>
  <c r="R26" i="1"/>
  <c r="T25" i="1"/>
  <c r="S25" i="1"/>
  <c r="R25" i="1"/>
  <c r="Q23" i="1"/>
  <c r="P23" i="1"/>
  <c r="O23" i="1"/>
  <c r="N23" i="1"/>
  <c r="M23" i="1"/>
  <c r="L23" i="1"/>
  <c r="K23" i="1"/>
  <c r="J23" i="1"/>
  <c r="I23" i="1"/>
  <c r="H23" i="1"/>
  <c r="G23" i="1"/>
  <c r="F23" i="1"/>
  <c r="E23" i="1"/>
  <c r="D23" i="1"/>
  <c r="C23" i="1"/>
  <c r="B23" i="1"/>
  <c r="B22" i="1"/>
  <c r="T21" i="1"/>
  <c r="T20" i="1"/>
  <c r="S20" i="1"/>
  <c r="R20" i="1"/>
  <c r="T19" i="1"/>
  <c r="S19" i="1"/>
  <c r="R19" i="1"/>
  <c r="T18" i="1"/>
  <c r="S18" i="1"/>
  <c r="R18" i="1"/>
  <c r="T17" i="1"/>
  <c r="S17" i="1"/>
  <c r="R17" i="1"/>
  <c r="T16" i="1"/>
  <c r="S16" i="1"/>
  <c r="R16" i="1"/>
  <c r="T15" i="1"/>
  <c r="S15" i="1"/>
  <c r="R15" i="1"/>
  <c r="T14" i="1"/>
  <c r="S14" i="1"/>
  <c r="R14" i="1"/>
  <c r="T13" i="1"/>
  <c r="S13" i="1"/>
  <c r="R13" i="1"/>
  <c r="T12" i="1"/>
  <c r="S12" i="1"/>
  <c r="R12" i="1"/>
  <c r="T11" i="1"/>
  <c r="S11" i="1"/>
  <c r="R11" i="1"/>
  <c r="T10" i="1"/>
  <c r="S10" i="1"/>
  <c r="R10" i="1"/>
  <c r="T9" i="1"/>
  <c r="S9" i="1"/>
  <c r="R9" i="1"/>
  <c r="T8" i="1"/>
  <c r="S8" i="1"/>
  <c r="R8" i="1"/>
  <c r="T7" i="1"/>
  <c r="S7" i="1"/>
  <c r="R7" i="1"/>
  <c r="T5" i="1"/>
  <c r="R5" i="1"/>
  <c r="S5" i="1" s="1"/>
  <c r="T4" i="1"/>
  <c r="R4" i="1"/>
  <c r="S4" i="1" s="1"/>
  <c r="T3" i="1"/>
  <c r="S3" i="1"/>
  <c r="R3" i="1"/>
  <c r="Q74" i="13"/>
  <c r="P74" i="13"/>
  <c r="O74" i="13"/>
  <c r="M74" i="13"/>
  <c r="L74" i="13"/>
  <c r="K74" i="13"/>
  <c r="J74" i="13"/>
  <c r="I74" i="13"/>
  <c r="H74" i="13"/>
  <c r="G74" i="13"/>
  <c r="F74" i="13"/>
  <c r="D74" i="13"/>
  <c r="C74" i="13"/>
  <c r="B74" i="13"/>
  <c r="T72" i="13"/>
  <c r="S72" i="13"/>
  <c r="R72" i="13"/>
  <c r="T71" i="13"/>
  <c r="S71" i="13"/>
  <c r="R71" i="13"/>
  <c r="T70" i="13"/>
  <c r="S70" i="13"/>
  <c r="R70" i="13"/>
  <c r="T69" i="13"/>
  <c r="S69" i="13"/>
  <c r="R69" i="13"/>
  <c r="T68" i="13"/>
  <c r="S68" i="13"/>
  <c r="R68" i="13"/>
  <c r="T67" i="13"/>
  <c r="S67" i="13"/>
  <c r="R67" i="13"/>
  <c r="T66" i="13"/>
  <c r="S66" i="13"/>
  <c r="R66" i="13"/>
  <c r="T65" i="13"/>
  <c r="S65" i="13"/>
  <c r="R65" i="13"/>
  <c r="T64" i="13"/>
  <c r="S64" i="13"/>
  <c r="R64" i="13"/>
  <c r="T63" i="13"/>
  <c r="S63" i="13"/>
  <c r="R63" i="13"/>
  <c r="Q61" i="13"/>
  <c r="P61" i="13"/>
  <c r="O61" i="13"/>
  <c r="M61" i="13"/>
  <c r="L61" i="13"/>
  <c r="K61" i="13"/>
  <c r="J61" i="13"/>
  <c r="I61" i="13"/>
  <c r="H61" i="13"/>
  <c r="G61" i="13"/>
  <c r="F61" i="13"/>
  <c r="D61" i="13"/>
  <c r="C61" i="13"/>
  <c r="B61" i="13"/>
  <c r="T59" i="13"/>
  <c r="S59" i="13"/>
  <c r="R59" i="13"/>
  <c r="T58" i="13"/>
  <c r="S58" i="13"/>
  <c r="R58" i="13"/>
  <c r="T57" i="13"/>
  <c r="S57" i="13"/>
  <c r="R57" i="13"/>
  <c r="T56" i="13"/>
  <c r="S56" i="13"/>
  <c r="R56" i="13"/>
  <c r="T55" i="13"/>
  <c r="S55" i="13"/>
  <c r="R55" i="13"/>
  <c r="T54" i="13"/>
  <c r="S54" i="13"/>
  <c r="R54" i="13"/>
  <c r="T53" i="13"/>
  <c r="S53" i="13"/>
  <c r="R53" i="13"/>
  <c r="T52" i="13"/>
  <c r="S52" i="13"/>
  <c r="R52" i="13"/>
  <c r="P50" i="13"/>
  <c r="O50" i="13"/>
  <c r="M50" i="13"/>
  <c r="L50" i="13"/>
  <c r="K50" i="13"/>
  <c r="J50" i="13"/>
  <c r="I50" i="13"/>
  <c r="H50" i="13"/>
  <c r="G50" i="13"/>
  <c r="F50" i="13"/>
  <c r="D50" i="13"/>
  <c r="C50" i="13"/>
  <c r="B50" i="13"/>
  <c r="T48" i="13"/>
  <c r="S48" i="13"/>
  <c r="R48" i="13"/>
  <c r="T47" i="13"/>
  <c r="S47" i="13"/>
  <c r="R47" i="13"/>
  <c r="T46" i="13"/>
  <c r="S46" i="13"/>
  <c r="R46" i="13"/>
  <c r="T45" i="13"/>
  <c r="S45" i="13"/>
  <c r="R45" i="13"/>
  <c r="T44" i="13"/>
  <c r="S44" i="13"/>
  <c r="R44" i="13"/>
  <c r="T43" i="13"/>
  <c r="S43" i="13"/>
  <c r="R43" i="13"/>
  <c r="T42" i="13"/>
  <c r="S42" i="13"/>
  <c r="R42" i="13"/>
  <c r="T41" i="13"/>
  <c r="S41" i="13"/>
  <c r="R41" i="13"/>
  <c r="T40" i="13"/>
  <c r="S40" i="13"/>
  <c r="R40" i="13"/>
  <c r="P38" i="13"/>
  <c r="O38" i="13"/>
  <c r="M38" i="13"/>
  <c r="L38" i="13"/>
  <c r="K38" i="13"/>
  <c r="J38" i="13"/>
  <c r="I38" i="13"/>
  <c r="H38" i="13"/>
  <c r="G38" i="13"/>
  <c r="F38" i="13"/>
  <c r="D38" i="13"/>
  <c r="C38" i="13"/>
  <c r="B38" i="13"/>
  <c r="T36" i="13"/>
  <c r="S36" i="13"/>
  <c r="R36" i="13"/>
  <c r="T35" i="13"/>
  <c r="S35" i="13"/>
  <c r="R35" i="13"/>
  <c r="T34" i="13"/>
  <c r="S34" i="13"/>
  <c r="R34" i="13"/>
  <c r="T33" i="13"/>
  <c r="S33" i="13"/>
  <c r="R33" i="13"/>
  <c r="T32" i="13"/>
  <c r="S32" i="13"/>
  <c r="R32" i="13"/>
  <c r="T31" i="13"/>
  <c r="S31" i="13"/>
  <c r="R31" i="13"/>
  <c r="T30" i="13"/>
  <c r="S30" i="13"/>
  <c r="R30" i="13"/>
  <c r="T29" i="13"/>
  <c r="S29" i="13"/>
  <c r="R29" i="13"/>
  <c r="T28" i="13"/>
  <c r="S28" i="13"/>
  <c r="R28" i="13"/>
  <c r="T27" i="13"/>
  <c r="S27" i="13"/>
  <c r="R27" i="13"/>
  <c r="T26" i="13"/>
  <c r="S26" i="13"/>
  <c r="R26" i="13"/>
  <c r="T25" i="13"/>
  <c r="S25" i="13"/>
  <c r="R25" i="13"/>
  <c r="B23" i="13"/>
  <c r="B22" i="13"/>
  <c r="T21" i="13"/>
  <c r="S21" i="13"/>
  <c r="R21" i="13"/>
  <c r="T20" i="13"/>
  <c r="S20" i="13"/>
  <c r="R20" i="13"/>
  <c r="T19" i="13"/>
  <c r="S19" i="13"/>
  <c r="R19" i="13"/>
  <c r="T18" i="13"/>
  <c r="S18" i="13"/>
  <c r="R18" i="13"/>
  <c r="T17" i="13"/>
  <c r="S17" i="13"/>
  <c r="R17" i="13"/>
  <c r="T16" i="13"/>
  <c r="S16" i="13"/>
  <c r="R16" i="13"/>
  <c r="T15" i="13"/>
  <c r="S15" i="13"/>
  <c r="R15" i="13"/>
  <c r="T14" i="13"/>
  <c r="S14" i="13"/>
  <c r="R14" i="13"/>
  <c r="T13" i="13"/>
  <c r="S13" i="13"/>
  <c r="R13" i="13"/>
  <c r="T12" i="13"/>
  <c r="S12" i="13"/>
  <c r="R12" i="13"/>
  <c r="T11" i="13"/>
  <c r="S11" i="13"/>
  <c r="R11" i="13"/>
  <c r="T10" i="13"/>
  <c r="S10" i="13"/>
  <c r="R10" i="13"/>
  <c r="T9" i="13"/>
  <c r="S9" i="13"/>
  <c r="R9" i="13"/>
  <c r="T8" i="13"/>
  <c r="S8" i="13"/>
  <c r="R8" i="13"/>
  <c r="T7" i="13"/>
  <c r="S7" i="13"/>
  <c r="R7" i="13"/>
  <c r="T5" i="13"/>
  <c r="S5" i="13"/>
  <c r="R5" i="13"/>
  <c r="T4" i="13"/>
  <c r="S4" i="13"/>
  <c r="R4" i="13"/>
  <c r="T3" i="13"/>
  <c r="S3" i="13"/>
  <c r="R3" i="13"/>
  <c r="D462" i="26"/>
  <c r="D432" i="26"/>
  <c r="D401" i="26"/>
  <c r="D370" i="26"/>
  <c r="D340" i="26"/>
  <c r="D309" i="26"/>
  <c r="D279" i="26"/>
  <c r="D268" i="26"/>
  <c r="D220" i="26"/>
  <c r="C185" i="26"/>
  <c r="F144" i="26"/>
  <c r="G143" i="26"/>
  <c r="G142" i="26"/>
  <c r="G141" i="26"/>
  <c r="G140" i="26"/>
  <c r="G139" i="26"/>
  <c r="G138" i="26"/>
  <c r="G137" i="26"/>
  <c r="G136" i="26"/>
  <c r="G135" i="26"/>
  <c r="G134" i="26"/>
  <c r="G133" i="26"/>
  <c r="G132" i="26"/>
  <c r="G131" i="26"/>
  <c r="G130" i="26"/>
  <c r="G129" i="26"/>
  <c r="G128" i="26"/>
  <c r="G127" i="26"/>
  <c r="G126" i="26"/>
  <c r="G125" i="26"/>
  <c r="G124" i="26"/>
  <c r="G123" i="26"/>
  <c r="G122" i="26"/>
  <c r="G121" i="26"/>
  <c r="G120" i="26"/>
  <c r="G119" i="26"/>
  <c r="G118" i="26"/>
  <c r="G117" i="26"/>
  <c r="G116" i="26"/>
  <c r="G115" i="26"/>
  <c r="G114" i="26"/>
  <c r="G113" i="26"/>
  <c r="G112" i="26"/>
  <c r="G111" i="26"/>
  <c r="T50" i="8" l="1"/>
  <c r="T52" i="3"/>
  <c r="T10" i="15"/>
  <c r="T22" i="8"/>
  <c r="S10" i="15"/>
  <c r="I18" i="15"/>
  <c r="C21" i="12"/>
  <c r="G21" i="12"/>
  <c r="K20" i="3"/>
  <c r="T27" i="15"/>
  <c r="C20" i="3"/>
  <c r="R10" i="3"/>
  <c r="S10" i="3"/>
  <c r="B60" i="3"/>
  <c r="R52" i="3"/>
  <c r="S52" i="3"/>
  <c r="G144" i="26"/>
  <c r="T10" i="3"/>
  <c r="K18" i="15"/>
  <c r="S27" i="15"/>
  <c r="R27" i="15"/>
  <c r="F21" i="12"/>
  <c r="J21" i="12"/>
  <c r="T51" i="1"/>
  <c r="T38" i="7"/>
  <c r="T38" i="1"/>
  <c r="T22" i="1"/>
  <c r="T74" i="8"/>
  <c r="T61" i="8"/>
  <c r="T38" i="8"/>
  <c r="T73" i="7"/>
  <c r="T60" i="7"/>
  <c r="T50" i="7"/>
  <c r="T74" i="1"/>
  <c r="T75" i="1"/>
  <c r="T61" i="1"/>
  <c r="T23" i="7"/>
  <c r="T22" i="7"/>
  <c r="R74" i="8"/>
  <c r="R50" i="8"/>
  <c r="R73" i="7"/>
  <c r="S61" i="7"/>
  <c r="S50" i="7"/>
  <c r="R74" i="1"/>
  <c r="S51" i="1"/>
  <c r="R51" i="1"/>
  <c r="S23" i="1"/>
  <c r="S74" i="7"/>
  <c r="R60" i="7"/>
  <c r="R50" i="7"/>
  <c r="S38" i="7"/>
  <c r="R38" i="7"/>
  <c r="R61" i="1"/>
  <c r="S75" i="1"/>
  <c r="R75" i="1"/>
  <c r="S62" i="1"/>
  <c r="S38" i="1"/>
  <c r="R38" i="1"/>
  <c r="S73" i="8"/>
  <c r="S60" i="8"/>
  <c r="R61" i="8"/>
  <c r="S50" i="8"/>
  <c r="S38" i="8"/>
  <c r="R38" i="8"/>
  <c r="S23" i="8"/>
  <c r="R22" i="8"/>
  <c r="R73" i="8"/>
  <c r="T73" i="8"/>
  <c r="S74" i="8"/>
  <c r="R60" i="8"/>
  <c r="T60" i="8"/>
  <c r="S61" i="8"/>
  <c r="S49" i="8"/>
  <c r="R49" i="8"/>
  <c r="T49" i="8"/>
  <c r="R37" i="8"/>
  <c r="T37" i="8"/>
  <c r="S37" i="8"/>
  <c r="S22" i="8"/>
  <c r="R23" i="8"/>
  <c r="T23" i="8"/>
  <c r="R22" i="1"/>
  <c r="S22" i="7"/>
  <c r="R22" i="7"/>
  <c r="R23" i="7"/>
  <c r="S23" i="7"/>
  <c r="S73" i="7"/>
  <c r="R74" i="7"/>
  <c r="T74" i="7"/>
  <c r="S60" i="7"/>
  <c r="R61" i="7"/>
  <c r="T61" i="7"/>
  <c r="S49" i="7"/>
  <c r="R49" i="7"/>
  <c r="T49" i="7"/>
  <c r="R37" i="7"/>
  <c r="T37" i="7"/>
  <c r="S37" i="7"/>
  <c r="S74" i="1"/>
  <c r="S61" i="1"/>
  <c r="R62" i="1"/>
  <c r="T62" i="1"/>
  <c r="R50" i="1"/>
  <c r="T50" i="1"/>
  <c r="S50" i="1"/>
  <c r="S37" i="1"/>
  <c r="R37" i="1"/>
  <c r="T37" i="1"/>
  <c r="S22" i="1"/>
  <c r="R23" i="1"/>
  <c r="T23" i="1"/>
  <c r="R10" i="15"/>
  <c r="H18" i="15"/>
  <c r="G18" i="15" s="1"/>
  <c r="F18" i="15" s="1"/>
  <c r="E18" i="15" s="1"/>
  <c r="D18" i="15" s="1"/>
  <c r="C18" i="15" s="1"/>
  <c r="B18" i="15" s="1"/>
  <c r="J18" i="15"/>
  <c r="I35" i="15"/>
  <c r="M35" i="15"/>
  <c r="L35" i="15" s="1"/>
  <c r="K35" i="15" s="1"/>
  <c r="I60" i="3"/>
  <c r="M60" i="3"/>
  <c r="H60" i="3"/>
  <c r="I20" i="3"/>
  <c r="H20" i="3"/>
  <c r="I21" i="14"/>
  <c r="T14" i="14"/>
  <c r="Q15" i="14"/>
  <c r="J20" i="3"/>
  <c r="L60" i="3"/>
  <c r="K60" i="3" s="1"/>
  <c r="J60" i="3" s="1"/>
  <c r="P15" i="14" l="1"/>
  <c r="L21" i="14" s="1"/>
  <c r="K21" i="14" s="1"/>
  <c r="M21" i="14"/>
  <c r="W18" i="26"/>
  <c r="X18" i="26" s="1"/>
  <c r="W17" i="26"/>
  <c r="X17" i="26" s="1"/>
  <c r="W16" i="26"/>
  <c r="X16" i="26" s="1"/>
  <c r="W15" i="26"/>
  <c r="X15" i="26" s="1"/>
  <c r="L15" i="26"/>
  <c r="W14" i="26"/>
  <c r="X14" i="26" s="1"/>
  <c r="W13" i="26" l="1"/>
  <c r="X13" i="26" s="1"/>
  <c r="W12" i="26"/>
  <c r="W11" i="26"/>
  <c r="X11" i="26" s="1"/>
  <c r="M15" i="26"/>
  <c r="K11" i="26"/>
  <c r="K15" i="26" s="1"/>
  <c r="J15" i="26" s="1"/>
  <c r="J11" i="26"/>
  <c r="I11" i="26"/>
  <c r="H11" i="26"/>
  <c r="G11" i="26"/>
  <c r="G15" i="26" s="1"/>
  <c r="F11" i="26"/>
  <c r="F15" i="26" s="1"/>
  <c r="E11" i="26"/>
  <c r="E15" i="26" s="1"/>
  <c r="D11" i="26"/>
  <c r="D15" i="26" s="1"/>
  <c r="C11" i="26"/>
  <c r="C15" i="26" s="1"/>
  <c r="B15" i="26" s="1"/>
  <c r="B11" i="26"/>
  <c r="W10" i="26"/>
  <c r="X10" i="26" s="1"/>
  <c r="M10" i="26"/>
  <c r="M14" i="26" s="1"/>
  <c r="L10" i="26"/>
  <c r="L14" i="26" s="1"/>
  <c r="K10" i="26"/>
  <c r="K14" i="26" s="1"/>
  <c r="J10" i="26"/>
  <c r="J14" i="26" s="1"/>
  <c r="I10" i="26"/>
  <c r="H10" i="26"/>
  <c r="G10" i="26"/>
  <c r="G14" i="26" s="1"/>
  <c r="F10" i="26"/>
  <c r="F14" i="26" s="1"/>
  <c r="E10" i="26"/>
  <c r="E14" i="26" s="1"/>
  <c r="D10" i="26"/>
  <c r="D14" i="26" s="1"/>
  <c r="C10" i="26"/>
  <c r="C14" i="26" s="1"/>
  <c r="I14" i="26" l="1"/>
  <c r="I15" i="26"/>
  <c r="H15" i="26" s="1"/>
  <c r="H14" i="26"/>
  <c r="X12" i="26"/>
  <c r="B10" i="26"/>
  <c r="B14" i="26" s="1"/>
  <c r="W9" i="26"/>
  <c r="X9" i="26" s="1"/>
  <c r="M9" i="26"/>
  <c r="M13" i="26" s="1"/>
  <c r="L9" i="26"/>
  <c r="L13" i="26" s="1"/>
  <c r="K9" i="26"/>
  <c r="K13" i="26" s="1"/>
  <c r="J9" i="26"/>
  <c r="I9" i="26"/>
  <c r="H9" i="26"/>
  <c r="G9" i="26"/>
  <c r="G13" i="26" s="1"/>
  <c r="F9" i="26"/>
  <c r="F13" i="26" s="1"/>
  <c r="E9" i="26"/>
  <c r="E13" i="26" s="1"/>
  <c r="D9" i="26"/>
  <c r="D13" i="26" s="1"/>
  <c r="C13" i="26" s="1"/>
  <c r="C9" i="26"/>
  <c r="B9" i="26"/>
  <c r="W8" i="26"/>
  <c r="X8" i="26" s="1"/>
  <c r="X7" i="26"/>
  <c r="W7" i="26"/>
  <c r="W6" i="26"/>
  <c r="X6" i="26" s="1"/>
  <c r="W5" i="26"/>
  <c r="X5" i="26" s="1"/>
  <c r="W4" i="26"/>
  <c r="X4" i="26" s="1"/>
  <c r="AX26" i="25"/>
  <c r="AW26" i="25"/>
  <c r="AW27" i="25" s="1"/>
  <c r="J13" i="26" l="1"/>
  <c r="B13" i="26"/>
  <c r="I13" i="26"/>
  <c r="H13" i="26" s="1"/>
  <c r="X19" i="26"/>
  <c r="AV26" i="25"/>
  <c r="AV27" i="25" s="1"/>
  <c r="AU27" i="25" s="1"/>
  <c r="AU26" i="25"/>
  <c r="AT26" i="25"/>
  <c r="AS26" i="25"/>
  <c r="AR26" i="25"/>
  <c r="AQ26" i="25"/>
  <c r="AP26" i="25"/>
  <c r="AO26" i="25"/>
  <c r="AN26" i="25"/>
  <c r="AM26" i="25"/>
  <c r="AL26" i="25"/>
  <c r="AK26" i="25"/>
  <c r="AJ26" i="25"/>
  <c r="AI26" i="25"/>
  <c r="AH26" i="25"/>
  <c r="AG26" i="25"/>
  <c r="AF26" i="25"/>
  <c r="AE26" i="25"/>
  <c r="AD26" i="25"/>
  <c r="AC26" i="25"/>
  <c r="AX24" i="25" s="1"/>
  <c r="AW24" i="25" s="1"/>
  <c r="AV24" i="25" s="1"/>
  <c r="AX23" i="25"/>
  <c r="AW23" i="25"/>
  <c r="AV23" i="25"/>
  <c r="AU23" i="25"/>
  <c r="AT23" i="25"/>
  <c r="AS23" i="25"/>
  <c r="AR23" i="25"/>
  <c r="AQ23" i="25"/>
  <c r="AP23" i="25"/>
  <c r="AO23" i="25"/>
  <c r="AN23" i="25"/>
  <c r="AM23" i="25"/>
  <c r="AL23" i="25"/>
  <c r="AK23" i="25"/>
  <c r="AJ23" i="25"/>
  <c r="AI23" i="25"/>
  <c r="AH23" i="25"/>
  <c r="AG23" i="25"/>
  <c r="AF23" i="25"/>
  <c r="AE23" i="25"/>
  <c r="AD23" i="25"/>
  <c r="AC23" i="25"/>
  <c r="AX20" i="25"/>
  <c r="AW20" i="25"/>
  <c r="AV20" i="25"/>
  <c r="AU20" i="25"/>
  <c r="AT20" i="25"/>
  <c r="AS20" i="25"/>
  <c r="AR20" i="25"/>
  <c r="AQ20" i="25"/>
  <c r="AP20" i="25"/>
  <c r="AO20" i="25"/>
  <c r="AN20" i="25"/>
  <c r="AM20" i="25"/>
  <c r="AL20" i="25"/>
  <c r="AK20" i="25"/>
  <c r="AJ20" i="25"/>
  <c r="AI20" i="25"/>
  <c r="AH20" i="25"/>
  <c r="AG20" i="25"/>
  <c r="AF20" i="25"/>
  <c r="AE20" i="25"/>
  <c r="AD20" i="25"/>
  <c r="AC20" i="25"/>
  <c r="AX18" i="25" s="1"/>
  <c r="AW18" i="25" s="1"/>
  <c r="AV18" i="25" s="1"/>
  <c r="AX17" i="25"/>
  <c r="AW17" i="25"/>
  <c r="AV17" i="25"/>
  <c r="AU17" i="25"/>
  <c r="AT17" i="25"/>
  <c r="AS17" i="25"/>
  <c r="AR17" i="25"/>
  <c r="AQ17" i="25"/>
  <c r="AP17" i="25"/>
  <c r="AO17" i="25"/>
  <c r="AN17" i="25"/>
  <c r="AM17" i="25"/>
  <c r="AL17" i="25"/>
  <c r="AK17" i="25"/>
  <c r="AJ17" i="25"/>
  <c r="AI17" i="25"/>
  <c r="AH17" i="25"/>
  <c r="AG17" i="25"/>
  <c r="AF17" i="25"/>
  <c r="AE17" i="25"/>
  <c r="AD17" i="25"/>
  <c r="AC17" i="25"/>
  <c r="AX9" i="25"/>
  <c r="AW9" i="25"/>
  <c r="AV9" i="25"/>
  <c r="AU9" i="25"/>
  <c r="AT9" i="25"/>
  <c r="AS9" i="25"/>
  <c r="AR9" i="25"/>
  <c r="AQ9" i="25"/>
  <c r="AP9" i="25"/>
  <c r="AO9" i="25"/>
  <c r="AN9" i="25"/>
  <c r="AM9" i="25"/>
  <c r="AL9" i="25"/>
  <c r="AK9" i="25"/>
  <c r="AJ9" i="25"/>
  <c r="AI9" i="25"/>
  <c r="AH9" i="25"/>
  <c r="AG9" i="25"/>
  <c r="AF9" i="25"/>
  <c r="AE9" i="25"/>
  <c r="AD9" i="25"/>
  <c r="AC9" i="25"/>
  <c r="AB9" i="25"/>
  <c r="AX7" i="25" s="1"/>
  <c r="AX6" i="25"/>
  <c r="AW6" i="25"/>
  <c r="AV6" i="25"/>
  <c r="AU6" i="25"/>
  <c r="AT6" i="25"/>
  <c r="AS6" i="25"/>
  <c r="AR6" i="25"/>
  <c r="AQ6" i="25"/>
  <c r="AP6" i="25"/>
  <c r="AO6" i="25"/>
  <c r="AN6" i="25"/>
  <c r="AM6" i="25"/>
  <c r="AL6" i="25"/>
  <c r="AK6" i="25"/>
  <c r="AJ6" i="25"/>
  <c r="AI6" i="25"/>
  <c r="AH6" i="25"/>
  <c r="AG6" i="25"/>
  <c r="AF6" i="25"/>
  <c r="AE6" i="25"/>
  <c r="AD6" i="25"/>
  <c r="AC6" i="25"/>
  <c r="AB6" i="25"/>
  <c r="AX3" i="25"/>
  <c r="AW3" i="25"/>
  <c r="AV3" i="25"/>
  <c r="AU3" i="25"/>
  <c r="AT3" i="25"/>
  <c r="AS3" i="25"/>
  <c r="AR3" i="25"/>
  <c r="AQ3" i="25"/>
  <c r="AP3" i="25"/>
  <c r="AO3" i="25"/>
  <c r="AN3" i="25"/>
  <c r="AM3" i="25"/>
  <c r="AL3" i="25"/>
  <c r="AK3" i="25"/>
  <c r="AJ3" i="25"/>
  <c r="AI3" i="25"/>
  <c r="AH3" i="25"/>
  <c r="AG3" i="25"/>
  <c r="AF3" i="25"/>
  <c r="AE3" i="25"/>
  <c r="AD3" i="25"/>
  <c r="AC3" i="25"/>
  <c r="AB3" i="25"/>
  <c r="X36" i="20"/>
  <c r="W36" i="20"/>
  <c r="W37" i="20" s="1"/>
  <c r="V37" i="20" s="1"/>
  <c r="V36" i="20"/>
  <c r="U36" i="20"/>
  <c r="T36" i="20"/>
  <c r="S36" i="20"/>
  <c r="R36" i="20"/>
  <c r="Q36" i="20"/>
  <c r="P36" i="20"/>
  <c r="O36" i="20"/>
  <c r="N36" i="20"/>
  <c r="M36" i="20"/>
  <c r="L36" i="20"/>
  <c r="K36" i="20"/>
  <c r="J36" i="20"/>
  <c r="I36" i="20"/>
  <c r="H36" i="20"/>
  <c r="G36" i="20"/>
  <c r="F36" i="20"/>
  <c r="E36" i="20"/>
  <c r="D36" i="20"/>
  <c r="C36" i="20"/>
  <c r="X34" i="20" s="1"/>
  <c r="X33" i="20"/>
  <c r="W33" i="20"/>
  <c r="W34" i="20" s="1"/>
  <c r="V33" i="20"/>
  <c r="U33" i="20"/>
  <c r="T33" i="20"/>
  <c r="S33" i="20"/>
  <c r="R33" i="20"/>
  <c r="Q33" i="20"/>
  <c r="P33" i="20"/>
  <c r="O33" i="20"/>
  <c r="N33" i="20"/>
  <c r="M33" i="20"/>
  <c r="L33" i="20"/>
  <c r="K33" i="20"/>
  <c r="J33" i="20"/>
  <c r="I33" i="20"/>
  <c r="H33" i="20"/>
  <c r="G33" i="20"/>
  <c r="F33" i="20"/>
  <c r="E33" i="20"/>
  <c r="D33" i="20"/>
  <c r="C33" i="20"/>
  <c r="X31" i="20" s="1"/>
  <c r="W31" i="20"/>
  <c r="X30" i="20"/>
  <c r="W30" i="20"/>
  <c r="V30" i="20"/>
  <c r="U30" i="20"/>
  <c r="T30" i="20"/>
  <c r="S30" i="20"/>
  <c r="R30" i="20"/>
  <c r="Q30" i="20"/>
  <c r="P30" i="20"/>
  <c r="O30" i="20"/>
  <c r="N30" i="20"/>
  <c r="M30" i="20"/>
  <c r="L30" i="20"/>
  <c r="K30" i="20"/>
  <c r="J30" i="20"/>
  <c r="I30" i="20"/>
  <c r="H30" i="20"/>
  <c r="G30" i="20"/>
  <c r="F30" i="20"/>
  <c r="E30" i="20"/>
  <c r="D30" i="20"/>
  <c r="C30" i="20"/>
  <c r="W26" i="20"/>
  <c r="X25" i="20"/>
  <c r="X26" i="20" s="1"/>
  <c r="W25" i="20"/>
  <c r="V25" i="20"/>
  <c r="U25" i="20"/>
  <c r="T25" i="20"/>
  <c r="S25" i="20"/>
  <c r="R25" i="20"/>
  <c r="Q25" i="20"/>
  <c r="P25" i="20"/>
  <c r="O25" i="20"/>
  <c r="N25" i="20"/>
  <c r="M25" i="20"/>
  <c r="L25" i="20"/>
  <c r="K25" i="20"/>
  <c r="J25" i="20"/>
  <c r="I25" i="20"/>
  <c r="H25" i="20"/>
  <c r="G25" i="20"/>
  <c r="F25" i="20"/>
  <c r="E25" i="20"/>
  <c r="D25" i="20"/>
  <c r="C25" i="20"/>
  <c r="B25" i="20"/>
  <c r="X22" i="20"/>
  <c r="X23" i="20" s="1"/>
  <c r="W22" i="20"/>
  <c r="W23" i="20" s="1"/>
  <c r="V23" i="20" s="1"/>
  <c r="V22" i="20"/>
  <c r="U22" i="20"/>
  <c r="T22" i="20"/>
  <c r="S22" i="20"/>
  <c r="R22" i="20"/>
  <c r="Q22" i="20"/>
  <c r="P22" i="20"/>
  <c r="O22" i="20"/>
  <c r="N22" i="20"/>
  <c r="M22" i="20"/>
  <c r="L22" i="20"/>
  <c r="K22" i="20"/>
  <c r="J22" i="20"/>
  <c r="I22" i="20"/>
  <c r="H22" i="20"/>
  <c r="G22" i="20"/>
  <c r="F22" i="20"/>
  <c r="E22" i="20"/>
  <c r="D22" i="20"/>
  <c r="C22" i="20"/>
  <c r="B22" i="20"/>
  <c r="X19" i="20"/>
  <c r="X20" i="20" s="1"/>
  <c r="W19" i="20"/>
  <c r="W20" i="20" s="1"/>
  <c r="V20" i="20" s="1"/>
  <c r="U20" i="20" s="1"/>
  <c r="T20" i="20" s="1"/>
  <c r="S20" i="20" s="1"/>
  <c r="R20" i="20" s="1"/>
  <c r="Q20" i="20" s="1"/>
  <c r="P20" i="20" s="1"/>
  <c r="O20" i="20" s="1"/>
  <c r="N20" i="20" s="1"/>
  <c r="M20" i="20" s="1"/>
  <c r="L20" i="20" s="1"/>
  <c r="K20" i="20" s="1"/>
  <c r="J20" i="20" s="1"/>
  <c r="I20" i="20" s="1"/>
  <c r="H20" i="20" s="1"/>
  <c r="G20" i="20" s="1"/>
  <c r="F20" i="20" s="1"/>
  <c r="E20" i="20" s="1"/>
  <c r="D20" i="20" s="1"/>
  <c r="C20" i="20" s="1"/>
  <c r="B20" i="20" s="1"/>
  <c r="V19" i="20"/>
  <c r="U19" i="20"/>
  <c r="T19" i="20"/>
  <c r="S19" i="20"/>
  <c r="R19" i="20"/>
  <c r="Q19" i="20"/>
  <c r="P19" i="20"/>
  <c r="O19" i="20"/>
  <c r="N19" i="20"/>
  <c r="M19" i="20"/>
  <c r="L19" i="20"/>
  <c r="K19" i="20"/>
  <c r="J19" i="20"/>
  <c r="I19" i="20"/>
  <c r="H19" i="20"/>
  <c r="G19" i="20"/>
  <c r="F19" i="20"/>
  <c r="E19" i="20"/>
  <c r="D19" i="20"/>
  <c r="C19" i="20"/>
  <c r="B19" i="20"/>
  <c r="N59" i="21"/>
  <c r="V34" i="20" l="1"/>
  <c r="U34" i="20" s="1"/>
  <c r="T34" i="20" s="1"/>
  <c r="S34" i="20" s="1"/>
  <c r="R34" i="20" s="1"/>
  <c r="Q34" i="20" s="1"/>
  <c r="P34" i="20" s="1"/>
  <c r="O34" i="20" s="1"/>
  <c r="N34" i="20" s="1"/>
  <c r="M34" i="20" s="1"/>
  <c r="L34" i="20" s="1"/>
  <c r="K34" i="20" s="1"/>
  <c r="J34" i="20" s="1"/>
  <c r="I34" i="20" s="1"/>
  <c r="H34" i="20" s="1"/>
  <c r="G34" i="20" s="1"/>
  <c r="F34" i="20" s="1"/>
  <c r="E34" i="20" s="1"/>
  <c r="D34" i="20" s="1"/>
  <c r="C34" i="20" s="1"/>
  <c r="U23" i="20"/>
  <c r="T23" i="20" s="1"/>
  <c r="S23" i="20" s="1"/>
  <c r="R23" i="20" s="1"/>
  <c r="Q23" i="20" s="1"/>
  <c r="P23" i="20" s="1"/>
  <c r="O23" i="20" s="1"/>
  <c r="N23" i="20" s="1"/>
  <c r="M23" i="20" s="1"/>
  <c r="L23" i="20" s="1"/>
  <c r="K23" i="20" s="1"/>
  <c r="J23" i="20" s="1"/>
  <c r="I23" i="20" s="1"/>
  <c r="H23" i="20" s="1"/>
  <c r="G23" i="20" s="1"/>
  <c r="F23" i="20" s="1"/>
  <c r="E23" i="20" s="1"/>
  <c r="D23" i="20" s="1"/>
  <c r="C23" i="20" s="1"/>
  <c r="B23" i="20" s="1"/>
  <c r="U37" i="20"/>
  <c r="T37" i="20" s="1"/>
  <c r="S37" i="20" s="1"/>
  <c r="R37" i="20" s="1"/>
  <c r="Q37" i="20" s="1"/>
  <c r="P37" i="20" s="1"/>
  <c r="O37" i="20" s="1"/>
  <c r="N37" i="20" s="1"/>
  <c r="M37" i="20" s="1"/>
  <c r="L37" i="20" s="1"/>
  <c r="K37" i="20" s="1"/>
  <c r="J37" i="20" s="1"/>
  <c r="I37" i="20" s="1"/>
  <c r="H37" i="20" s="1"/>
  <c r="G37" i="20" s="1"/>
  <c r="F37" i="20" s="1"/>
  <c r="E37" i="20" s="1"/>
  <c r="D37" i="20" s="1"/>
  <c r="C37" i="20" s="1"/>
  <c r="AT27" i="25"/>
  <c r="AS27" i="25" s="1"/>
  <c r="AR27" i="25" s="1"/>
  <c r="AQ27" i="25" s="1"/>
  <c r="AP27" i="25" s="1"/>
  <c r="AO27" i="25" s="1"/>
  <c r="AN27" i="25" s="1"/>
  <c r="AM27" i="25" s="1"/>
  <c r="AL27" i="25" s="1"/>
  <c r="AK27" i="25" s="1"/>
  <c r="AJ27" i="25" s="1"/>
  <c r="AI27" i="25" s="1"/>
  <c r="AH27" i="25" s="1"/>
  <c r="AG27" i="25" s="1"/>
  <c r="AF27" i="25" s="1"/>
  <c r="AE27" i="25" s="1"/>
  <c r="AD27" i="25" s="1"/>
  <c r="AC27" i="25" s="1"/>
  <c r="AX4" i="25"/>
  <c r="X37" i="20"/>
  <c r="AU18" i="25"/>
  <c r="AT18" i="25" s="1"/>
  <c r="AS18" i="25" s="1"/>
  <c r="AR18" i="25" s="1"/>
  <c r="AU24" i="25"/>
  <c r="AT24" i="25" s="1"/>
  <c r="AS24" i="25" s="1"/>
  <c r="AR24" i="25" s="1"/>
  <c r="AQ24" i="25" s="1"/>
  <c r="AP24" i="25" s="1"/>
  <c r="AO24" i="25" s="1"/>
  <c r="AN24" i="25" s="1"/>
  <c r="AM24" i="25" s="1"/>
  <c r="AL24" i="25" s="1"/>
  <c r="AK24" i="25" s="1"/>
  <c r="AJ24" i="25" s="1"/>
  <c r="AI24" i="25" s="1"/>
  <c r="AH24" i="25" s="1"/>
  <c r="AG24" i="25" s="1"/>
  <c r="AF24" i="25" s="1"/>
  <c r="AE24" i="25" s="1"/>
  <c r="AD24" i="25" s="1"/>
  <c r="AC24" i="25" s="1"/>
  <c r="V26" i="20"/>
  <c r="U26" i="20" s="1"/>
  <c r="T26" i="20" s="1"/>
  <c r="S26" i="20" s="1"/>
  <c r="R26" i="20" s="1"/>
  <c r="Q26" i="20" s="1"/>
  <c r="P26" i="20" s="1"/>
  <c r="O26" i="20" s="1"/>
  <c r="N26" i="20" s="1"/>
  <c r="M26" i="20" s="1"/>
  <c r="L26" i="20" s="1"/>
  <c r="K26" i="20" s="1"/>
  <c r="J26" i="20" s="1"/>
  <c r="I26" i="20" s="1"/>
  <c r="H26" i="20" s="1"/>
  <c r="G26" i="20" s="1"/>
  <c r="F26" i="20" s="1"/>
  <c r="E26" i="20" s="1"/>
  <c r="D26" i="20" s="1"/>
  <c r="C26" i="20" s="1"/>
  <c r="B26" i="20" s="1"/>
  <c r="V31" i="20"/>
  <c r="U31" i="20" s="1"/>
  <c r="T31" i="20" s="1"/>
  <c r="S31" i="20" s="1"/>
  <c r="R31" i="20" s="1"/>
  <c r="Q31" i="20" s="1"/>
  <c r="P31" i="20" s="1"/>
  <c r="O31" i="20" s="1"/>
  <c r="N31" i="20" s="1"/>
  <c r="M31" i="20" s="1"/>
  <c r="L31" i="20" s="1"/>
  <c r="K31" i="20" s="1"/>
  <c r="J31" i="20" s="1"/>
  <c r="I31" i="20" s="1"/>
  <c r="H31" i="20" s="1"/>
  <c r="G31" i="20" s="1"/>
  <c r="F31" i="20" s="1"/>
  <c r="E31" i="20" s="1"/>
  <c r="D31" i="20" s="1"/>
  <c r="C31" i="20" s="1"/>
  <c r="AW7" i="25"/>
  <c r="AV7" i="25" s="1"/>
  <c r="AU7" i="25" s="1"/>
  <c r="AT7" i="25" s="1"/>
  <c r="AS7" i="25" s="1"/>
  <c r="AR7" i="25" s="1"/>
  <c r="AQ7" i="25" s="1"/>
  <c r="AP7" i="25" s="1"/>
  <c r="AO7" i="25" s="1"/>
  <c r="AN7" i="25" s="1"/>
  <c r="AM7" i="25" s="1"/>
  <c r="AL7" i="25" s="1"/>
  <c r="AK7" i="25" s="1"/>
  <c r="AJ7" i="25" s="1"/>
  <c r="AI7" i="25" s="1"/>
  <c r="AH7" i="25" s="1"/>
  <c r="AG7" i="25" s="1"/>
  <c r="AF7" i="25" s="1"/>
  <c r="AE7" i="25" s="1"/>
  <c r="AD7" i="25" s="1"/>
  <c r="AC7" i="25" s="1"/>
  <c r="AB7" i="25" s="1"/>
  <c r="AX21" i="25"/>
  <c r="AW21" i="25" s="1"/>
  <c r="AV21" i="25" s="1"/>
  <c r="AU21" i="25" s="1"/>
  <c r="AT21" i="25" s="1"/>
  <c r="AS21" i="25" s="1"/>
  <c r="AR21" i="25" s="1"/>
  <c r="AQ21" i="25" s="1"/>
  <c r="AP21" i="25" s="1"/>
  <c r="AO21" i="25" s="1"/>
  <c r="AN21" i="25" s="1"/>
  <c r="AM21" i="25" s="1"/>
  <c r="AL21" i="25" s="1"/>
  <c r="AK21" i="25" s="1"/>
  <c r="AJ21" i="25" s="1"/>
  <c r="AI21" i="25" s="1"/>
  <c r="AH21" i="25" s="1"/>
  <c r="AG21" i="25" s="1"/>
  <c r="AF21" i="25" s="1"/>
  <c r="AE21" i="25" s="1"/>
  <c r="AD21" i="25" s="1"/>
  <c r="AC21" i="25" s="1"/>
  <c r="K60" i="21"/>
  <c r="T23" i="21" s="1"/>
  <c r="J60" i="21"/>
  <c r="S23" i="21" s="1"/>
  <c r="N58" i="21"/>
  <c r="N60" i="21" s="1"/>
  <c r="N53" i="21"/>
  <c r="N52" i="21"/>
  <c r="N51" i="21"/>
  <c r="I45" i="21"/>
  <c r="H45" i="21" s="1"/>
  <c r="G45" i="21" s="1"/>
  <c r="F45" i="21" s="1"/>
  <c r="E45" i="21" s="1"/>
  <c r="D45" i="21" s="1"/>
  <c r="C45" i="21" s="1"/>
  <c r="B45" i="21" s="1"/>
  <c r="N43" i="21"/>
  <c r="N40" i="21"/>
  <c r="N39" i="21"/>
  <c r="N38" i="21"/>
  <c r="M45" i="21" l="1"/>
  <c r="L45" i="21" s="1"/>
  <c r="K45" i="21" s="1"/>
  <c r="N45" i="21"/>
  <c r="U21" i="21" s="1"/>
  <c r="M60" i="21"/>
  <c r="L60" i="21" s="1"/>
  <c r="U23" i="21"/>
  <c r="AQ18" i="25"/>
  <c r="AP18" i="25" s="1"/>
  <c r="AR29" i="25"/>
  <c r="AQ29" i="25" s="1"/>
  <c r="AW4" i="25"/>
  <c r="AV4" i="25" s="1"/>
  <c r="AU4" i="25" s="1"/>
  <c r="AT4" i="25" s="1"/>
  <c r="AS4" i="25" s="1"/>
  <c r="AR4" i="25" s="1"/>
  <c r="AQ4" i="25" s="1"/>
  <c r="AP4" i="25" s="1"/>
  <c r="AO4" i="25" s="1"/>
  <c r="AN4" i="25" s="1"/>
  <c r="AM4" i="25" s="1"/>
  <c r="AL4" i="25" s="1"/>
  <c r="AK4" i="25" s="1"/>
  <c r="AJ4" i="25" s="1"/>
  <c r="AI4" i="25" s="1"/>
  <c r="AH4" i="25" s="1"/>
  <c r="AG4" i="25" s="1"/>
  <c r="AF4" i="25" s="1"/>
  <c r="AE4" i="25" s="1"/>
  <c r="AD4" i="25" s="1"/>
  <c r="AC4" i="25" s="1"/>
  <c r="AB4" i="25" s="1"/>
  <c r="I60" i="21"/>
  <c r="N31" i="21"/>
  <c r="L32" i="21"/>
  <c r="K32" i="21"/>
  <c r="J32" i="21"/>
  <c r="I32" i="21"/>
  <c r="H32" i="21"/>
  <c r="G32" i="21"/>
  <c r="F32" i="21"/>
  <c r="E32" i="21"/>
  <c r="D32" i="21"/>
  <c r="C32" i="21"/>
  <c r="B32" i="21"/>
  <c r="AA28" i="21"/>
  <c r="AA27" i="21"/>
  <c r="N27" i="21"/>
  <c r="N26" i="21"/>
  <c r="N25" i="21"/>
  <c r="Z23" i="21"/>
  <c r="AA23" i="21" s="1"/>
  <c r="Z22" i="21"/>
  <c r="AA22" i="21" s="1"/>
  <c r="Z21" i="21"/>
  <c r="AA21" i="21" s="1"/>
  <c r="H60" i="21" l="1"/>
  <c r="G60" i="21" s="1"/>
  <c r="F60" i="21" s="1"/>
  <c r="E60" i="21" s="1"/>
  <c r="D60" i="21" s="1"/>
  <c r="C60" i="21" s="1"/>
  <c r="B60" i="21" s="1"/>
  <c r="R23" i="21"/>
  <c r="AO18" i="25"/>
  <c r="AN18" i="25" s="1"/>
  <c r="AP29" i="25"/>
  <c r="AO29" i="25" s="1"/>
  <c r="N30" i="21"/>
  <c r="N32" i="21" s="1"/>
  <c r="Z20" i="21"/>
  <c r="AA20" i="21" s="1"/>
  <c r="B20" i="21"/>
  <c r="M32" i="21" l="1"/>
  <c r="U18" i="21"/>
  <c r="AM18" i="25"/>
  <c r="AL18" i="25" s="1"/>
  <c r="AN29" i="25"/>
  <c r="N20" i="21"/>
  <c r="Z19" i="21"/>
  <c r="AA19" i="21" s="1"/>
  <c r="Z18" i="21"/>
  <c r="AA18" i="21" s="1"/>
  <c r="B18" i="21"/>
  <c r="N18" i="21" s="1"/>
  <c r="M19" i="21"/>
  <c r="L19" i="21"/>
  <c r="K19" i="21"/>
  <c r="AM29" i="25" l="1"/>
  <c r="AK18" i="25"/>
  <c r="AJ18" i="25" s="1"/>
  <c r="AL29" i="25"/>
  <c r="J19" i="21"/>
  <c r="I19" i="21"/>
  <c r="H19" i="21"/>
  <c r="G19" i="21"/>
  <c r="F19" i="21"/>
  <c r="E19" i="21"/>
  <c r="D19" i="21"/>
  <c r="C19" i="21"/>
  <c r="B17" i="21"/>
  <c r="N13" i="21"/>
  <c r="N12" i="21"/>
  <c r="N11" i="21"/>
  <c r="M8" i="21"/>
  <c r="L8" i="21"/>
  <c r="K8" i="21"/>
  <c r="J8" i="21"/>
  <c r="I8" i="21"/>
  <c r="H8" i="21"/>
  <c r="G8" i="21"/>
  <c r="F8" i="21"/>
  <c r="E8" i="21"/>
  <c r="D8" i="21"/>
  <c r="C8" i="21"/>
  <c r="B8" i="21"/>
  <c r="N7" i="21"/>
  <c r="N5" i="21"/>
  <c r="N4" i="21"/>
  <c r="C115" i="22"/>
  <c r="C114" i="22"/>
  <c r="C113" i="22"/>
  <c r="C112" i="22"/>
  <c r="C111" i="22"/>
  <c r="C110" i="22"/>
  <c r="C109" i="22"/>
  <c r="C108" i="22"/>
  <c r="C107" i="22"/>
  <c r="C106" i="22"/>
  <c r="C105" i="22"/>
  <c r="C104" i="22"/>
  <c r="C103" i="22"/>
  <c r="C102" i="22"/>
  <c r="C101" i="22"/>
  <c r="G98" i="22"/>
  <c r="G97" i="22"/>
  <c r="G96" i="22"/>
  <c r="G95" i="22"/>
  <c r="G94" i="22"/>
  <c r="G93" i="22"/>
  <c r="G92" i="22"/>
  <c r="G91" i="22"/>
  <c r="G90" i="22"/>
  <c r="G89" i="22"/>
  <c r="G88" i="22"/>
  <c r="G87" i="22"/>
  <c r="G86" i="22"/>
  <c r="G85" i="22"/>
  <c r="G84" i="22"/>
  <c r="G83" i="22"/>
  <c r="G82" i="22"/>
  <c r="G81" i="22"/>
  <c r="G80" i="22"/>
  <c r="G79" i="22"/>
  <c r="G78" i="22"/>
  <c r="G77" i="22"/>
  <c r="G76" i="22"/>
  <c r="C123" i="23"/>
  <c r="G122" i="23" s="1"/>
  <c r="C122" i="23"/>
  <c r="G121" i="23" s="1"/>
  <c r="C121" i="23"/>
  <c r="G120" i="23" s="1"/>
  <c r="C120" i="23"/>
  <c r="G119" i="23" s="1"/>
  <c r="C119" i="23"/>
  <c r="G118" i="23" s="1"/>
  <c r="C118" i="23"/>
  <c r="G117" i="23" s="1"/>
  <c r="C117" i="23"/>
  <c r="G116" i="23" s="1"/>
  <c r="C116" i="23"/>
  <c r="G115" i="23" s="1"/>
  <c r="C115" i="23"/>
  <c r="G114" i="23" s="1"/>
  <c r="C114" i="23"/>
  <c r="G113" i="23" s="1"/>
  <c r="C113" i="23"/>
  <c r="G112" i="23" s="1"/>
  <c r="C112" i="23"/>
  <c r="G111" i="23" s="1"/>
  <c r="C111" i="23"/>
  <c r="G110" i="23" s="1"/>
  <c r="C110" i="23"/>
  <c r="G109" i="23" s="1"/>
  <c r="C109" i="23"/>
  <c r="G108" i="23" s="1"/>
  <c r="C108" i="23"/>
  <c r="G107" i="23" s="1"/>
  <c r="C107" i="23"/>
  <c r="G106" i="23" s="1"/>
  <c r="C106" i="23"/>
  <c r="G105" i="23" s="1"/>
  <c r="C105" i="23"/>
  <c r="G104" i="23" s="1"/>
  <c r="C104" i="23"/>
  <c r="G103" i="23" s="1"/>
  <c r="C103" i="23"/>
  <c r="G102" i="23" s="1"/>
  <c r="C102" i="23"/>
  <c r="G101" i="23" s="1"/>
  <c r="C88" i="23"/>
  <c r="C87" i="23"/>
  <c r="C86" i="23"/>
  <c r="C85" i="23"/>
  <c r="C84" i="23"/>
  <c r="C83" i="23"/>
  <c r="C82" i="23"/>
  <c r="C81" i="23"/>
  <c r="C80" i="23"/>
  <c r="C79" i="23"/>
  <c r="C78" i="23"/>
  <c r="C77" i="23"/>
  <c r="AL37" i="24"/>
  <c r="AL29" i="24"/>
  <c r="AL28" i="24"/>
  <c r="AL26" i="24"/>
  <c r="X21" i="24"/>
  <c r="W21" i="24"/>
  <c r="V21" i="24"/>
  <c r="U21" i="24"/>
  <c r="T21" i="24"/>
  <c r="S21" i="24"/>
  <c r="Q21" i="24"/>
  <c r="P21" i="24"/>
  <c r="O21" i="24"/>
  <c r="N21" i="24"/>
  <c r="K21" i="24"/>
  <c r="J21" i="24"/>
  <c r="I21" i="24"/>
  <c r="H21" i="24"/>
  <c r="G21" i="24"/>
  <c r="F21" i="24"/>
  <c r="E21" i="24"/>
  <c r="D21" i="24"/>
  <c r="C21" i="24"/>
  <c r="R20" i="24"/>
  <c r="R19" i="24"/>
  <c r="R18" i="24"/>
  <c r="X17" i="24"/>
  <c r="W17" i="24"/>
  <c r="V17" i="24"/>
  <c r="U17" i="24"/>
  <c r="T17" i="24"/>
  <c r="S17" i="24"/>
  <c r="Q17" i="24"/>
  <c r="P17" i="24"/>
  <c r="O17" i="24"/>
  <c r="N17" i="24"/>
  <c r="K17" i="24"/>
  <c r="J17" i="24"/>
  <c r="I17" i="24"/>
  <c r="H17" i="24"/>
  <c r="G17" i="24"/>
  <c r="F17" i="24"/>
  <c r="E17" i="24"/>
  <c r="D17" i="24"/>
  <c r="C17" i="24"/>
  <c r="R16" i="24"/>
  <c r="R15" i="24"/>
  <c r="R14" i="24"/>
  <c r="X13" i="24"/>
  <c r="W13" i="24"/>
  <c r="V13" i="24"/>
  <c r="U13" i="24"/>
  <c r="T13" i="24"/>
  <c r="S13" i="24"/>
  <c r="R13" i="24"/>
  <c r="Q13" i="24"/>
  <c r="P13" i="24"/>
  <c r="O13" i="24"/>
  <c r="N13" i="24"/>
  <c r="K13" i="24"/>
  <c r="J13" i="24"/>
  <c r="I13" i="24"/>
  <c r="H13" i="24"/>
  <c r="G13" i="24"/>
  <c r="F13" i="24"/>
  <c r="E13" i="24"/>
  <c r="D13" i="24"/>
  <c r="C13" i="24"/>
  <c r="X9" i="24"/>
  <c r="X6" i="24"/>
  <c r="W6" i="24"/>
  <c r="V6" i="24"/>
  <c r="U6" i="24"/>
  <c r="T6" i="24"/>
  <c r="S6" i="24"/>
  <c r="R6" i="24"/>
  <c r="Q6" i="24"/>
  <c r="P6" i="24"/>
  <c r="O6" i="24"/>
  <c r="N6" i="24"/>
  <c r="M6" i="24"/>
  <c r="L6" i="24"/>
  <c r="K6" i="24"/>
  <c r="J6" i="24"/>
  <c r="I6" i="24"/>
  <c r="H6" i="24"/>
  <c r="G6" i="24"/>
  <c r="F6" i="24"/>
  <c r="E6" i="24"/>
  <c r="D6" i="24"/>
  <c r="C6" i="24"/>
  <c r="M20" i="26"/>
  <c r="L20" i="26"/>
  <c r="K20" i="26"/>
  <c r="K22" i="26" s="1"/>
  <c r="J20" i="26"/>
  <c r="I20" i="26"/>
  <c r="H20" i="26"/>
  <c r="G20" i="26"/>
  <c r="G22" i="26" s="1"/>
  <c r="F20" i="26"/>
  <c r="E20" i="26"/>
  <c r="D20" i="26"/>
  <c r="C20" i="26"/>
  <c r="C22" i="26" s="1"/>
  <c r="B20" i="26"/>
  <c r="M21" i="26"/>
  <c r="M22" i="26"/>
  <c r="L21" i="26"/>
  <c r="K21" i="26"/>
  <c r="J21" i="26"/>
  <c r="I21" i="26"/>
  <c r="H21" i="26"/>
  <c r="G21" i="26"/>
  <c r="F21" i="26"/>
  <c r="E21" i="26"/>
  <c r="D21" i="26"/>
  <c r="C21" i="26"/>
  <c r="B21" i="26"/>
  <c r="M23" i="26"/>
  <c r="L23" i="26"/>
  <c r="K23" i="26"/>
  <c r="J23" i="26"/>
  <c r="I23" i="26"/>
  <c r="H23" i="26"/>
  <c r="G23" i="26"/>
  <c r="F23" i="26"/>
  <c r="E23" i="26"/>
  <c r="D23" i="26"/>
  <c r="C23" i="26"/>
  <c r="B23" i="26"/>
  <c r="D22" i="26" l="1"/>
  <c r="H22" i="26"/>
  <c r="L22" i="26"/>
  <c r="AK29" i="25"/>
  <c r="N21" i="26"/>
  <c r="E22" i="26"/>
  <c r="I22" i="26"/>
  <c r="N20" i="26"/>
  <c r="C82" i="26" s="1"/>
  <c r="F22" i="26"/>
  <c r="J22" i="26"/>
  <c r="J24" i="26"/>
  <c r="N23" i="26"/>
  <c r="Z9" i="24"/>
  <c r="AA9" i="24"/>
  <c r="Z18" i="24"/>
  <c r="AL34" i="24" s="1"/>
  <c r="AA18" i="24"/>
  <c r="Z14" i="24"/>
  <c r="AL31" i="24" s="1"/>
  <c r="AA14" i="24"/>
  <c r="R17" i="24"/>
  <c r="Z20" i="24"/>
  <c r="AL35" i="24" s="1"/>
  <c r="AA20" i="24"/>
  <c r="AI18" i="25"/>
  <c r="AH18" i="25" s="1"/>
  <c r="AJ29" i="25"/>
  <c r="B22" i="26"/>
  <c r="N22" i="26" s="1"/>
  <c r="Z16" i="24"/>
  <c r="AL32" i="24" s="1"/>
  <c r="AA16" i="24"/>
  <c r="Z19" i="24"/>
  <c r="AA19" i="24"/>
  <c r="R21" i="24"/>
  <c r="Z21" i="24" s="1"/>
  <c r="AL36" i="24" s="1"/>
  <c r="AK36" i="24" s="1"/>
  <c r="Z6" i="24"/>
  <c r="AA6" i="24"/>
  <c r="AL27" i="24"/>
  <c r="Z15" i="24"/>
  <c r="AA15" i="24"/>
  <c r="Z17" i="24"/>
  <c r="AA17" i="24"/>
  <c r="AL33" i="24"/>
  <c r="AK33" i="24" s="1"/>
  <c r="Z13" i="24"/>
  <c r="AA13" i="24"/>
  <c r="AL30" i="24"/>
  <c r="AK30" i="24" s="1"/>
  <c r="G101" i="22"/>
  <c r="G103" i="22"/>
  <c r="G105" i="22"/>
  <c r="G107" i="22"/>
  <c r="G109" i="22"/>
  <c r="G111" i="22"/>
  <c r="G113" i="22"/>
  <c r="G123" i="22"/>
  <c r="G122" i="22" s="1"/>
  <c r="G121" i="22" s="1"/>
  <c r="G120" i="22" s="1"/>
  <c r="G119" i="22" s="1"/>
  <c r="G118" i="22" s="1"/>
  <c r="G117" i="22" s="1"/>
  <c r="G116" i="22" s="1"/>
  <c r="G115" i="22" s="1"/>
  <c r="G102" i="22"/>
  <c r="G104" i="22"/>
  <c r="G106" i="22"/>
  <c r="G108" i="22"/>
  <c r="G110" i="22"/>
  <c r="G112" i="22"/>
  <c r="G114" i="22"/>
  <c r="B19" i="21"/>
  <c r="B21" i="21" s="1"/>
  <c r="N17" i="21"/>
  <c r="N19" i="21" s="1"/>
  <c r="U19" i="21" s="1"/>
  <c r="N6" i="21"/>
  <c r="N8" i="21"/>
  <c r="AG18" i="25" l="1"/>
  <c r="AF18" i="25" s="1"/>
  <c r="AH29" i="25"/>
  <c r="N24" i="26"/>
  <c r="B82" i="26"/>
  <c r="AI29" i="25"/>
  <c r="AA21" i="24"/>
  <c r="AG29" i="25" l="1"/>
  <c r="AE18" i="25"/>
  <c r="AD18" i="25" s="1"/>
  <c r="AF29" i="25"/>
  <c r="C21" i="21"/>
  <c r="D21" i="21"/>
  <c r="E21" i="21"/>
  <c r="F21" i="21"/>
  <c r="G21" i="21"/>
  <c r="H21" i="21"/>
  <c r="I21" i="21"/>
  <c r="J21" i="21"/>
  <c r="K21" i="21"/>
  <c r="L21" i="21"/>
  <c r="M21" i="21"/>
  <c r="B34" i="21"/>
  <c r="C34" i="21"/>
  <c r="D34" i="21"/>
  <c r="E34" i="21"/>
  <c r="F34" i="21"/>
  <c r="G34" i="21"/>
  <c r="H34" i="21"/>
  <c r="I34" i="21"/>
  <c r="J34" i="21"/>
  <c r="K34" i="21"/>
  <c r="L34" i="21"/>
  <c r="M34" i="21"/>
  <c r="N33" i="21"/>
  <c r="B47" i="21"/>
  <c r="C47" i="21"/>
  <c r="D47" i="21"/>
  <c r="E47" i="21"/>
  <c r="F47" i="21"/>
  <c r="G47" i="21"/>
  <c r="H47" i="21"/>
  <c r="I47" i="21"/>
  <c r="J47" i="21"/>
  <c r="K47" i="21"/>
  <c r="L47" i="21"/>
  <c r="M47" i="21"/>
  <c r="N46" i="21"/>
  <c r="B62" i="21"/>
  <c r="C62" i="21"/>
  <c r="D62" i="21"/>
  <c r="E62" i="21"/>
  <c r="F62" i="21"/>
  <c r="G62" i="21"/>
  <c r="H62" i="21"/>
  <c r="I62" i="21"/>
  <c r="J62" i="21"/>
  <c r="K62" i="21"/>
  <c r="L62" i="21"/>
  <c r="M62" i="21"/>
  <c r="N61" i="21"/>
  <c r="AE29" i="25" l="1"/>
  <c r="AC18" i="25"/>
  <c r="AD29" i="25"/>
  <c r="N47" i="21"/>
  <c r="N62" i="21"/>
  <c r="N34" i="21"/>
  <c r="N21" i="21"/>
  <c r="AC29" i="25" l="1"/>
  <c r="AX27" i="25" s="1"/>
  <c r="AS29" i="25" l="1"/>
  <c r="AT29" i="25"/>
  <c r="AW29" i="25" s="1"/>
  <c r="AV29" i="25"/>
  <c r="AU29" i="25"/>
  <c r="AX29" i="25" s="1"/>
  <c r="AX10" i="25"/>
  <c r="AX12" i="25" s="1"/>
  <c r="AW10" i="25"/>
  <c r="AW12" i="25"/>
  <c r="AV10" i="25"/>
  <c r="AV12" i="25" s="1"/>
  <c r="AU10" i="25"/>
  <c r="AU12" i="25"/>
  <c r="AT10" i="25"/>
  <c r="AT12" i="25" s="1"/>
  <c r="AS10" i="25"/>
  <c r="AS12" i="25"/>
  <c r="AR10" i="25"/>
  <c r="AR12" i="25" s="1"/>
  <c r="AQ10" i="25"/>
  <c r="AQ12" i="25"/>
  <c r="AP10" i="25"/>
  <c r="AP12" i="25" s="1"/>
  <c r="AO10" i="25"/>
  <c r="AO12" i="25"/>
  <c r="AN10" i="25"/>
  <c r="AN12" i="25" s="1"/>
  <c r="AM10" i="25"/>
  <c r="AM12" i="25"/>
  <c r="AL10" i="25"/>
  <c r="AL12" i="25" s="1"/>
  <c r="AK10" i="25"/>
  <c r="AK12" i="25"/>
  <c r="AJ10" i="25"/>
  <c r="AJ12" i="25" s="1"/>
  <c r="AI10" i="25"/>
  <c r="AI12" i="25"/>
  <c r="AH10" i="25"/>
  <c r="AH12" i="25" s="1"/>
  <c r="AG10" i="25"/>
  <c r="AG12" i="25"/>
  <c r="AF10" i="25"/>
  <c r="AF12" i="25" s="1"/>
  <c r="AE10" i="25"/>
  <c r="AE12" i="25"/>
  <c r="AD10" i="25"/>
  <c r="AD12" i="25" s="1"/>
  <c r="AC10" i="25"/>
  <c r="AC12" i="25"/>
  <c r="AB10" i="25"/>
  <c r="AB12" i="25" s="1"/>
  <c r="X28" i="71"/>
  <c r="X48" i="71" s="1"/>
  <c r="X43" i="71"/>
  <c r="Y28" i="71"/>
  <c r="Y43" i="71" s="1"/>
  <c r="AA43" i="71" s="1"/>
  <c r="Z28" i="71"/>
  <c r="Z43" i="71"/>
  <c r="Z48" i="71"/>
  <c r="Z38" i="71"/>
  <c r="X47" i="71"/>
  <c r="Y47" i="71"/>
  <c r="Z47" i="71"/>
  <c r="AA47" i="71"/>
  <c r="X33" i="71"/>
  <c r="Z33" i="71"/>
  <c r="X46" i="71"/>
  <c r="Y46" i="71"/>
  <c r="Z46" i="71"/>
  <c r="AA46" i="71"/>
  <c r="W49" i="71"/>
  <c r="X49" i="71"/>
  <c r="AA49" i="71" s="1"/>
  <c r="Y49" i="71"/>
  <c r="Z49" i="71"/>
  <c r="AY29" i="25" l="1"/>
  <c r="Y33" i="71"/>
  <c r="AA33" i="71" s="1"/>
  <c r="Y38" i="71"/>
  <c r="Y48" i="71"/>
  <c r="AA48" i="71" s="1"/>
  <c r="AA28" i="71"/>
  <c r="X38" i="71"/>
  <c r="AA38" i="71" l="1"/>
</calcChain>
</file>

<file path=xl/sharedStrings.xml><?xml version="1.0" encoding="utf-8"?>
<sst xmlns="http://schemas.openxmlformats.org/spreadsheetml/2006/main" count="17408" uniqueCount="1980">
  <si>
    <t>Chlorophyll a and Secchi</t>
  </si>
  <si>
    <t>Chlorophyll, ug/L</t>
  </si>
  <si>
    <t>SITE</t>
  </si>
  <si>
    <t>Bear Creek Reservoir Monitoring Program</t>
  </si>
  <si>
    <t>Total Suspended Solids, mg/L</t>
  </si>
  <si>
    <t>Secchi Depth, m</t>
  </si>
  <si>
    <t>Notes</t>
  </si>
  <si>
    <t>Stephanodiscus niagarae</t>
  </si>
  <si>
    <t xml:space="preserve"> Reservoir</t>
  </si>
  <si>
    <t>Peak Chlorophyll-a [ug/l]</t>
  </si>
  <si>
    <t>Parameter</t>
  </si>
  <si>
    <t>Site</t>
  </si>
  <si>
    <t>Chlorophyll-a (ug/L)</t>
  </si>
  <si>
    <t>Nitrate-Nitrogen (ug/L)</t>
  </si>
  <si>
    <t xml:space="preserve">Total Phosphorus (ug/L) </t>
  </si>
  <si>
    <t>Total Suspended Solids (mg/L)</t>
  </si>
  <si>
    <t>Secchi Depth (m)</t>
  </si>
  <si>
    <t>Average</t>
  </si>
  <si>
    <t>Reservoir Average</t>
  </si>
  <si>
    <t>Turkey Creek Inflow</t>
  </si>
  <si>
    <t>Bear Creek Inflow</t>
  </si>
  <si>
    <t>Bear Creek Outflow</t>
  </si>
  <si>
    <t>Lower Bear Creek</t>
  </si>
  <si>
    <t>Total Inflow</t>
  </si>
  <si>
    <t>Reservoir Top</t>
  </si>
  <si>
    <t>Reservoir Middle</t>
  </si>
  <si>
    <t>Reservoir Bottom</t>
  </si>
  <si>
    <t>Secchi</t>
  </si>
  <si>
    <t>Reservoir Outflow</t>
  </si>
  <si>
    <t>TP</t>
  </si>
  <si>
    <t>TN</t>
  </si>
  <si>
    <t>Chl</t>
  </si>
  <si>
    <t>Chl-peak</t>
  </si>
  <si>
    <t>Seasonal Means</t>
  </si>
  <si>
    <t>XSD</t>
  </si>
  <si>
    <t>XCA</t>
  </si>
  <si>
    <t>XTP</t>
  </si>
  <si>
    <t>Annual Means</t>
  </si>
  <si>
    <t>Carlson's Annual</t>
  </si>
  <si>
    <t xml:space="preserve">Carlson's Seasonal </t>
  </si>
  <si>
    <t>lca</t>
  </si>
  <si>
    <t>ltp</t>
  </si>
  <si>
    <t>lsd</t>
  </si>
  <si>
    <t>lw</t>
  </si>
  <si>
    <t>hyper</t>
  </si>
  <si>
    <t>eu</t>
  </si>
  <si>
    <t>Walker Model - Annual Averages</t>
  </si>
  <si>
    <t>Walker Model - Seasonal Averages</t>
  </si>
  <si>
    <t>year</t>
  </si>
  <si>
    <t>Conc</t>
  </si>
  <si>
    <t xml:space="preserve">Year </t>
  </si>
  <si>
    <t>Nitrate-nitrogen ug/l</t>
  </si>
  <si>
    <t>Retained in Reservoir</t>
  </si>
  <si>
    <t>Average Inflow</t>
  </si>
  <si>
    <t>Retained In Reservoir</t>
  </si>
  <si>
    <t>Total Phosphorus Trends</t>
  </si>
  <si>
    <t>Value</t>
  </si>
  <si>
    <t>25-30</t>
  </si>
  <si>
    <t>Oligotrophic-Mesotropic</t>
  </si>
  <si>
    <t>45-50</t>
  </si>
  <si>
    <t>Mesotrophic-Eutrophic</t>
  </si>
  <si>
    <t>65-70</t>
  </si>
  <si>
    <t>Eutrophic-Hypereutrophic</t>
  </si>
  <si>
    <t>Carlson</t>
  </si>
  <si>
    <t>40-50</t>
  </si>
  <si>
    <t>Total Suspended Sediments (mg/l)</t>
  </si>
  <si>
    <t>Nitrate (NO3-N) (ug/l)</t>
  </si>
  <si>
    <t>Total Phosphorus (ug/l)</t>
  </si>
  <si>
    <t>Total Phosphorus</t>
  </si>
  <si>
    <t>Jan</t>
  </si>
  <si>
    <t>Feb</t>
  </si>
  <si>
    <t>Mar</t>
  </si>
  <si>
    <t>Apr</t>
  </si>
  <si>
    <t>May</t>
  </si>
  <si>
    <t>Jun</t>
  </si>
  <si>
    <t>Jul</t>
  </si>
  <si>
    <t>Aug</t>
  </si>
  <si>
    <t>Sep</t>
  </si>
  <si>
    <t>Oct</t>
  </si>
  <si>
    <t>Nov</t>
  </si>
  <si>
    <t>Dec</t>
  </si>
  <si>
    <t>ug/l*.002723=pounds</t>
  </si>
  <si>
    <t>Nitrate Pounds</t>
  </si>
  <si>
    <t>Peak</t>
  </si>
  <si>
    <t>&gt;70</t>
  </si>
  <si>
    <t>Hypereutrophic</t>
  </si>
  <si>
    <t>Days</t>
  </si>
  <si>
    <t>Ac-ft/month Bear Creek Reservoir</t>
  </si>
  <si>
    <t>Annual ac-ft/yr</t>
  </si>
  <si>
    <t>Annual Mean</t>
  </si>
  <si>
    <t>Total Load</t>
  </si>
  <si>
    <t>Annual Average</t>
  </si>
  <si>
    <t>Seasonal Mean</t>
  </si>
  <si>
    <t>Annual Reservoir Average</t>
  </si>
  <si>
    <t>Seasonal Reservoir Average</t>
  </si>
  <si>
    <t>Estimated Monthly Flow (ac-ft) At Stations</t>
  </si>
  <si>
    <t>Year</t>
  </si>
  <si>
    <t>50-65</t>
  </si>
  <si>
    <t>Eutrophic</t>
  </si>
  <si>
    <t>30-45</t>
  </si>
  <si>
    <t>Mesotrophic</t>
  </si>
  <si>
    <t>Eu-hyp</t>
  </si>
  <si>
    <t>Hyp</t>
  </si>
  <si>
    <t>Eu</t>
  </si>
  <si>
    <t>Transition State</t>
  </si>
  <si>
    <t>Reservoir Annual Average Concentrations</t>
  </si>
  <si>
    <t>Water Column</t>
  </si>
  <si>
    <t>Top</t>
  </si>
  <si>
    <t>Mid</t>
  </si>
  <si>
    <t>Seasonal Average</t>
  </si>
  <si>
    <t>Sechhi</t>
  </si>
  <si>
    <t>TSI Index</t>
  </si>
  <si>
    <t>Chlorophyll-a</t>
  </si>
  <si>
    <t>TSS (Pounds)</t>
  </si>
  <si>
    <t>Total Phosphorus Pounds</t>
  </si>
  <si>
    <t>Turkey Creek</t>
  </si>
  <si>
    <t xml:space="preserve">Bear Creek </t>
  </si>
  <si>
    <t xml:space="preserve">Turkey Creek </t>
  </si>
  <si>
    <t>Bear Creek</t>
  </si>
  <si>
    <t>Average arce-ft/day</t>
  </si>
  <si>
    <t>Chlorophyll</t>
  </si>
  <si>
    <t>Index (f)</t>
  </si>
  <si>
    <t>Secchi (ft)</t>
  </si>
  <si>
    <t>Annual Reservoir</t>
  </si>
  <si>
    <t>Seasonal Reservoir</t>
  </si>
  <si>
    <t>Annual Average Total Suspended Sediments [mg/l]</t>
  </si>
  <si>
    <t>Peak Total Suspended Sediments [mg/l]</t>
  </si>
  <si>
    <t>Phosphorus</t>
  </si>
  <si>
    <t>Nitrogen</t>
  </si>
  <si>
    <t>Total Suspended Sediments</t>
  </si>
  <si>
    <t xml:space="preserve">Phytoplankton Species </t>
  </si>
  <si>
    <t>ltn</t>
  </si>
  <si>
    <t>Bear Creek Lair O'Bear</t>
  </si>
  <si>
    <t>Nitrate-Nitrogen (ug/l)</t>
  </si>
  <si>
    <t>Cryptomonas erosa</t>
  </si>
  <si>
    <t>Microcystis aeruginosa</t>
  </si>
  <si>
    <t>Jefferson County, Colorado</t>
  </si>
  <si>
    <t>Hydrologic Unit Code 10190002</t>
  </si>
  <si>
    <t>Latitude  39°39'08", Longitude 105°10'23" NAD27</t>
  </si>
  <si>
    <t>Drainage area 176  square miles</t>
  </si>
  <si>
    <t>Contributing drainage area 176  square miles</t>
  </si>
  <si>
    <t>Gage datum 5,645.00 feet above sea level NGVD29</t>
  </si>
  <si>
    <t>Fragilaria crotonensis</t>
  </si>
  <si>
    <t>Species</t>
  </si>
  <si>
    <t>Association Annual ac-ft/yr</t>
  </si>
  <si>
    <t>0-25</t>
  </si>
  <si>
    <t>Oligotrophic</t>
  </si>
  <si>
    <t>Oligotrophic-Mesotrophic</t>
  </si>
  <si>
    <t>65+</t>
  </si>
  <si>
    <t>Walker TI</t>
  </si>
  <si>
    <t>Date</t>
  </si>
  <si>
    <t>Average Annual Sechhi Depth (meters)</t>
  </si>
  <si>
    <t>Time</t>
  </si>
  <si>
    <t>SC</t>
  </si>
  <si>
    <t>DO</t>
  </si>
  <si>
    <t>Temp</t>
  </si>
  <si>
    <t>pH</t>
  </si>
  <si>
    <t>1m</t>
  </si>
  <si>
    <t>2m</t>
  </si>
  <si>
    <t>3m</t>
  </si>
  <si>
    <t>4m</t>
  </si>
  <si>
    <t>5m</t>
  </si>
  <si>
    <t>6m</t>
  </si>
  <si>
    <t>7m</t>
  </si>
  <si>
    <t>8m</t>
  </si>
  <si>
    <t>9m</t>
  </si>
  <si>
    <t>Secchi m</t>
  </si>
  <si>
    <t>Width (feet)</t>
  </si>
  <si>
    <t>Conditions</t>
  </si>
  <si>
    <t>Distance</t>
  </si>
  <si>
    <t>Depth</t>
  </si>
  <si>
    <t>Vel Ave Ft/sec</t>
  </si>
  <si>
    <t>Area</t>
  </si>
  <si>
    <t>Gage</t>
  </si>
  <si>
    <t>Discharge,cfs</t>
  </si>
  <si>
    <t>cfs</t>
  </si>
  <si>
    <t>T Depth m</t>
  </si>
  <si>
    <t>Coyote Gulch Upper</t>
  </si>
  <si>
    <t>Coyote Gulch Lower</t>
  </si>
  <si>
    <t>Phosphorus, total</t>
  </si>
  <si>
    <t>Total Dissolved Phosphorus</t>
  </si>
  <si>
    <t>Chlorophyll a</t>
  </si>
  <si>
    <t>Parameter (ug/l)</t>
  </si>
  <si>
    <t>Bear Creek Laboratory Monitoring Data</t>
  </si>
  <si>
    <t xml:space="preserve">Residue, Non-Filterable (TSS) </t>
  </si>
  <si>
    <t>Nitrate/Nitrite as N, dissolved</t>
  </si>
  <si>
    <t>Site 5</t>
  </si>
  <si>
    <t>10m</t>
  </si>
  <si>
    <t>11m</t>
  </si>
  <si>
    <t>BCReservoir</t>
  </si>
  <si>
    <t>Reservoir Profiles</t>
  </si>
  <si>
    <t>date:</t>
  </si>
  <si>
    <t>TCIn; 16a</t>
  </si>
  <si>
    <t>BCIn; 15a</t>
  </si>
  <si>
    <t>LBCout; 45</t>
  </si>
  <si>
    <t>40a/40c</t>
  </si>
  <si>
    <t>gage</t>
  </si>
  <si>
    <t>Site 41 (1)</t>
  </si>
  <si>
    <t>Site 42 (3)</t>
  </si>
  <si>
    <t>Site 43 (4)</t>
  </si>
  <si>
    <t>Site 44 (5)</t>
  </si>
  <si>
    <t xml:space="preserve">Total Nitrogen </t>
  </si>
  <si>
    <t>Aphanizomenon flos-aquae</t>
  </si>
  <si>
    <t>Ceratium hirundinella</t>
  </si>
  <si>
    <t>Ankistrodesmus falcatus</t>
  </si>
  <si>
    <t>Chlamydomonas sp.</t>
  </si>
  <si>
    <t>Total Nitrogen</t>
  </si>
  <si>
    <t xml:space="preserve">Total Dissolved Phosphorus, ug/l </t>
  </si>
  <si>
    <t>Total Dissolved Phosphorus, ug/l</t>
  </si>
  <si>
    <t>Total Phosphorus, ug/l</t>
  </si>
  <si>
    <t>Reservoir - Top (NO3)</t>
  </si>
  <si>
    <t>Reservoir - Lower (NO3)</t>
  </si>
  <si>
    <t>Water Year</t>
  </si>
  <si>
    <t>Total Turkey Creek Inflow (Acre-Ft/Year)</t>
  </si>
  <si>
    <t>00060, Discharge, cubic feet per second</t>
  </si>
  <si>
    <t>Total Reservoir Inflow (Acre-Ft/Year)</t>
  </si>
  <si>
    <t>Bear Creek Inflow, Site 15a</t>
  </si>
  <si>
    <t>Turkey Creek Inflow, Site 16a</t>
  </si>
  <si>
    <t>Lower Bear Creek Outflow, Site 45</t>
  </si>
  <si>
    <t>Rec Uses</t>
  </si>
  <si>
    <t xml:space="preserve">Walking/ Running </t>
  </si>
  <si>
    <t>Number Observed</t>
  </si>
  <si>
    <t>Bicycle</t>
  </si>
  <si>
    <t>Horseback Riding</t>
  </si>
  <si>
    <t>Fishing</t>
  </si>
  <si>
    <t>Reservoir Sites</t>
  </si>
  <si>
    <t>Camping</t>
  </si>
  <si>
    <t>Reservoir Site 40</t>
  </si>
  <si>
    <t>camping</t>
  </si>
  <si>
    <t>Archery</t>
  </si>
  <si>
    <t>Beach</t>
  </si>
  <si>
    <t>9.0 (13.0)</t>
  </si>
  <si>
    <t>23.3 (23.8)</t>
  </si>
  <si>
    <t>Standard</t>
  </si>
  <si>
    <t>Ski School training</t>
  </si>
  <si>
    <t>site 40</t>
  </si>
  <si>
    <t>Site 41</t>
  </si>
  <si>
    <t>Site 42</t>
  </si>
  <si>
    <t>Site 43</t>
  </si>
  <si>
    <t>Site 44</t>
  </si>
  <si>
    <t>S(Apr-Dec)</t>
  </si>
  <si>
    <t>S(Jan-Mar)</t>
  </si>
  <si>
    <t>Profile Average (mg/l)</t>
  </si>
  <si>
    <t>Total Depth Profile (m)</t>
  </si>
  <si>
    <t>Site 36</t>
  </si>
  <si>
    <t>Nitrogen, ammonia</t>
  </si>
  <si>
    <t>Site 37</t>
  </si>
  <si>
    <t>Site 4b</t>
  </si>
  <si>
    <t>Site 4e</t>
  </si>
  <si>
    <t>Site 8a</t>
  </si>
  <si>
    <t>Site 9</t>
  </si>
  <si>
    <t>Site 12</t>
  </si>
  <si>
    <t>Site 13a</t>
  </si>
  <si>
    <t>Site 14a</t>
  </si>
  <si>
    <t>Site 18</t>
  </si>
  <si>
    <t>Site 19</t>
  </si>
  <si>
    <t>Site 25</t>
  </si>
  <si>
    <t>Site 35</t>
  </si>
  <si>
    <t>Site 50</t>
  </si>
  <si>
    <t xml:space="preserve">Site ID </t>
  </si>
  <si>
    <t>Site Location by Stream Segment</t>
  </si>
  <si>
    <t>Segment 1a</t>
  </si>
  <si>
    <t>Site 3a</t>
  </si>
  <si>
    <t>Above Evergreen Lake at CDOW Site</t>
  </si>
  <si>
    <t>Segment 1d</t>
  </si>
  <si>
    <t>Segment 1e</t>
  </si>
  <si>
    <t>Bear Creek Cabins at CDOW Site</t>
  </si>
  <si>
    <t>O'Fallon Park, west end at CDOW Site</t>
  </si>
  <si>
    <t>Lair o' the Bear Park, at CDOW site</t>
  </si>
  <si>
    <t>Below Idledale, Shady Lane at CDOW site</t>
  </si>
  <si>
    <t>Segment 3</t>
  </si>
  <si>
    <t>Vance Creek (Mt. Evans Wilderness drainage)</t>
  </si>
  <si>
    <t>Segment 5</t>
  </si>
  <si>
    <t>Cub Creek, Upstream of Cub Creek Park</t>
  </si>
  <si>
    <t>Cub Creek, Upstream @ Brookforest Inn</t>
  </si>
  <si>
    <t>Segment 6a</t>
  </si>
  <si>
    <t>South Turkey Creek Aspen Park Metropolitan District</t>
  </si>
  <si>
    <t>Segment 6b</t>
  </si>
  <si>
    <t>North Turkey Creek Flying J Ranch Bridge</t>
  </si>
  <si>
    <t>NO3-NO2 Ug/l</t>
  </si>
  <si>
    <t>Ammonia Ug/l</t>
  </si>
  <si>
    <t>T Phos Ug/l</t>
  </si>
  <si>
    <t>50 weir</t>
  </si>
  <si>
    <t>Recreational Uses</t>
  </si>
  <si>
    <t>TN Ug/l</t>
  </si>
  <si>
    <t>Above EMD WWTP, CDOW downtown site</t>
  </si>
  <si>
    <t>Morrison Park west, CDOW Site</t>
  </si>
  <si>
    <t>SC (ms/cm)</t>
  </si>
  <si>
    <t>Temp °C</t>
  </si>
  <si>
    <t>DO(mg/l)</t>
  </si>
  <si>
    <t>Location</t>
  </si>
  <si>
    <t>Segment</t>
  </si>
  <si>
    <t>1a</t>
  </si>
  <si>
    <t>1b</t>
  </si>
  <si>
    <t>1c</t>
  </si>
  <si>
    <t>1d</t>
  </si>
  <si>
    <t>1e</t>
  </si>
  <si>
    <t>4a</t>
  </si>
  <si>
    <t>6a</t>
  </si>
  <si>
    <t>6b</t>
  </si>
  <si>
    <t>Lakes and reservoirs in the Turkey Creek system from the source to the inlet of Bear Creek Reservoir</t>
  </si>
  <si>
    <t>Lakes and reservoirs in the Bear Creek system from the outlet of Evergreen Lake to the confluence with the South Platte River, except as specified in Segments 1c,  10, and 12; includes Soda Lakes.</t>
  </si>
  <si>
    <t>Lakes and reservoirs in drainages of Swede Gulch, Sawmill Gulch, Troublesome Gulch, and Cold Springs Gulch from source to confluence with Bear Creek.</t>
  </si>
  <si>
    <t>Lakes and reservoirs in the Bear Creek system from the boundary of the Mt. Evans Wilderness area to the inlet of Evergreen Lake.</t>
  </si>
  <si>
    <t>Lakes and reservoirs in the Bear Creek system from the sources to the boundary of the Mt. Evans Wilderness area.</t>
  </si>
  <si>
    <t>Mainstem and all tributaries to Bear Creek, including wetlands, within the Mt. Evans Wilderness Area.</t>
  </si>
  <si>
    <t>Mainstem of North Turkey Creek, from the source to the confluence with Turkey Creek.</t>
  </si>
  <si>
    <t>Turkey Creek system, including all tributaries and wetlands, from the source to the inlet of Bear Creek Reservoir, except for specific listings in Segment 6b.</t>
  </si>
  <si>
    <t>Swede, Kerr, Sawmill, Troublesome, and Cold Springs Gulches, and mainstem of Cub Creek from the source to the confluence with Bear Creek.</t>
  </si>
  <si>
    <t>All tributaries to Bear Creek, including all wetlands, from the outlet of Evergreen Lake to the confluence with the South Platte River, except for specific listings in Segments 5, 6a, and 6b.</t>
  </si>
  <si>
    <t>All tributaries to Bear Creek, including all wetlands, from the source to the outlet of Evergreen Lake, Except for specific listings in Segment 7.</t>
  </si>
  <si>
    <t>Mainstem of Bear Creek from the outlet of Bear Creek Reservoir to the confluence with the South Platte River.</t>
  </si>
  <si>
    <t>Mainstem of Bear Creek from the outlet of Evergreen Lake to the Harriman Ditch.</t>
  </si>
  <si>
    <t>Evergreen Lake.</t>
  </si>
  <si>
    <t>Bear Creek Reservoir.</t>
  </si>
  <si>
    <t>Mainstem of Bear Creek from Harriman Ditch to the inlet of Bear Creek Reservoir</t>
  </si>
  <si>
    <t xml:space="preserve">Mainstem of Bear Creek from the boundary of the Mt. Evans Wilderness area to the inlet of Evergreen Lake </t>
  </si>
  <si>
    <t>April-Oct</t>
  </si>
  <si>
    <r>
      <t xml:space="preserve">T=TVS(CS-I) </t>
    </r>
    <r>
      <rPr>
        <vertAlign val="superscript"/>
        <sz val="9"/>
        <color rgb="FF000000"/>
        <rFont val="Arial"/>
        <family val="2"/>
      </rPr>
      <t>o</t>
    </r>
    <r>
      <rPr>
        <sz val="9"/>
        <color rgb="FF000000"/>
        <rFont val="Arial"/>
        <family val="2"/>
      </rPr>
      <t>C</t>
    </r>
  </si>
  <si>
    <r>
      <t xml:space="preserve">T=TVS(CS-II) </t>
    </r>
    <r>
      <rPr>
        <vertAlign val="superscript"/>
        <sz val="9"/>
        <color rgb="FF000000"/>
        <rFont val="Arial"/>
        <family val="2"/>
      </rPr>
      <t>o</t>
    </r>
    <r>
      <rPr>
        <sz val="9"/>
        <color rgb="FF000000"/>
        <rFont val="Arial"/>
        <family val="2"/>
      </rPr>
      <t>C, April-Oct; T(WAT)=19.3 oC</t>
    </r>
  </si>
  <si>
    <r>
      <t xml:space="preserve">T=TVS(CLL) </t>
    </r>
    <r>
      <rPr>
        <vertAlign val="superscript"/>
        <sz val="9"/>
        <color rgb="FF000000"/>
        <rFont val="Arial"/>
        <family val="2"/>
      </rPr>
      <t>o</t>
    </r>
    <r>
      <rPr>
        <sz val="9"/>
        <color rgb="FF000000"/>
        <rFont val="Arial"/>
        <family val="2"/>
      </rPr>
      <t>C; April-Dec; T(WAT)=23.3oC</t>
    </r>
  </si>
  <si>
    <r>
      <t xml:space="preserve">T=TVS(CLL) </t>
    </r>
    <r>
      <rPr>
        <vertAlign val="superscript"/>
        <sz val="9"/>
        <color rgb="FF000000"/>
        <rFont val="Arial"/>
        <family val="2"/>
      </rPr>
      <t>o</t>
    </r>
    <r>
      <rPr>
        <sz val="9"/>
        <color rgb="FF000000"/>
        <rFont val="Arial"/>
        <family val="2"/>
      </rPr>
      <t>C</t>
    </r>
  </si>
  <si>
    <r>
      <t xml:space="preserve">T=TVS(CS-II) </t>
    </r>
    <r>
      <rPr>
        <vertAlign val="superscript"/>
        <sz val="9"/>
        <color rgb="FF000000"/>
        <rFont val="Arial"/>
        <family val="2"/>
      </rPr>
      <t>o</t>
    </r>
    <r>
      <rPr>
        <sz val="9"/>
        <color rgb="FF000000"/>
        <rFont val="Arial"/>
        <family val="2"/>
      </rPr>
      <t>C; April-Oct; T(WAT)=19.3 oC</t>
    </r>
  </si>
  <si>
    <r>
      <t xml:space="preserve">T=TVS(WS-I) </t>
    </r>
    <r>
      <rPr>
        <vertAlign val="superscript"/>
        <sz val="9"/>
        <color rgb="FF000000"/>
        <rFont val="Arial"/>
        <family val="2"/>
      </rPr>
      <t>o</t>
    </r>
    <r>
      <rPr>
        <sz val="9"/>
        <color rgb="FF000000"/>
        <rFont val="Arial"/>
        <family val="2"/>
      </rPr>
      <t>C</t>
    </r>
  </si>
  <si>
    <r>
      <t xml:space="preserve">T=TVS(CS-II) </t>
    </r>
    <r>
      <rPr>
        <vertAlign val="superscript"/>
        <sz val="9"/>
        <color rgb="FF000000"/>
        <rFont val="Arial"/>
        <family val="2"/>
      </rPr>
      <t>o</t>
    </r>
    <r>
      <rPr>
        <sz val="9"/>
        <color rgb="FF000000"/>
        <rFont val="Arial"/>
        <family val="2"/>
      </rPr>
      <t>C</t>
    </r>
  </si>
  <si>
    <r>
      <t xml:space="preserve">T=TVS(CL) </t>
    </r>
    <r>
      <rPr>
        <vertAlign val="superscript"/>
        <sz val="9"/>
        <color rgb="FF000000"/>
        <rFont val="Arial"/>
        <family val="2"/>
      </rPr>
      <t>o</t>
    </r>
    <r>
      <rPr>
        <sz val="9"/>
        <color rgb="FF000000"/>
        <rFont val="Arial"/>
        <family val="2"/>
      </rPr>
      <t>C</t>
    </r>
  </si>
  <si>
    <r>
      <t xml:space="preserve">T=TVS(WS-II) </t>
    </r>
    <r>
      <rPr>
        <vertAlign val="superscript"/>
        <sz val="9"/>
        <color rgb="FF000000"/>
        <rFont val="Arial"/>
        <family val="2"/>
      </rPr>
      <t>o</t>
    </r>
    <r>
      <rPr>
        <sz val="9"/>
        <color rgb="FF000000"/>
        <rFont val="Arial"/>
        <family val="2"/>
      </rPr>
      <t>C</t>
    </r>
  </si>
  <si>
    <t>Month</t>
  </si>
  <si>
    <t>June-Sept</t>
  </si>
  <si>
    <t>TEMPERATURE</t>
  </si>
  <si>
    <r>
      <t>STANDARD (</t>
    </r>
    <r>
      <rPr>
        <b/>
        <vertAlign val="superscript"/>
        <sz val="8"/>
        <rFont val="Arial"/>
        <family val="2"/>
      </rPr>
      <t>O</t>
    </r>
    <r>
      <rPr>
        <b/>
        <sz val="8"/>
        <rFont val="Arial"/>
        <family val="2"/>
      </rPr>
      <t>C)</t>
    </r>
  </si>
  <si>
    <t>(MWAT)</t>
  </si>
  <si>
    <t>(DM)</t>
  </si>
  <si>
    <t>Oct-May</t>
  </si>
  <si>
    <t>Nov-March</t>
  </si>
  <si>
    <t>April-Dec</t>
  </si>
  <si>
    <t>Jan-Mar</t>
  </si>
  <si>
    <t>March-Nov</t>
  </si>
  <si>
    <t>Dec-Feb</t>
  </si>
  <si>
    <t xml:space="preserve">date </t>
  </si>
  <si>
    <t>Boats BCR</t>
  </si>
  <si>
    <t>Stable Horses</t>
  </si>
  <si>
    <t>Canoe/Sailboard (Soda)</t>
  </si>
  <si>
    <t>Median</t>
  </si>
  <si>
    <t>Week-day - 1/2 Day estimates</t>
  </si>
  <si>
    <t>Week-day - Daily Use Estimates</t>
  </si>
  <si>
    <t>Total</t>
  </si>
  <si>
    <t xml:space="preserve"> Bear Creek Reservoir Monitoring Program</t>
  </si>
  <si>
    <t>Bottom</t>
  </si>
  <si>
    <t>EU</t>
  </si>
  <si>
    <t>1/2m</t>
  </si>
  <si>
    <t>1 1/2m</t>
  </si>
  <si>
    <t>2 1/2m</t>
  </si>
  <si>
    <t>3 1/2m</t>
  </si>
  <si>
    <t xml:space="preserve"> BEAR CREEK ABOVE BEAR CREEK LAKE NEAR MORRISON, CO</t>
  </si>
  <si>
    <r>
      <t xml:space="preserve">Temperature, </t>
    </r>
    <r>
      <rPr>
        <b/>
        <vertAlign val="superscript"/>
        <sz val="12"/>
        <rFont val="Arial"/>
        <family val="2"/>
      </rPr>
      <t>o</t>
    </r>
    <r>
      <rPr>
        <b/>
        <sz val="12"/>
        <rFont val="Arial"/>
        <family val="2"/>
      </rPr>
      <t>C</t>
    </r>
  </si>
  <si>
    <t xml:space="preserve">Annual </t>
  </si>
  <si>
    <t>Temp 1/2-2m</t>
  </si>
  <si>
    <t>dog leash</t>
  </si>
  <si>
    <t>dog no leash</t>
  </si>
  <si>
    <t>Average1/2-2m (mg/l)</t>
  </si>
  <si>
    <t>Total Nitrogen (ug/l)</t>
  </si>
  <si>
    <t>dogs, leash</t>
  </si>
  <si>
    <t>dogs, no leash</t>
  </si>
  <si>
    <t>Boat</t>
  </si>
  <si>
    <t>Stable</t>
  </si>
  <si>
    <t>Condition</t>
  </si>
  <si>
    <t>Width (in)</t>
  </si>
  <si>
    <t xml:space="preserve">Summit Lake </t>
  </si>
  <si>
    <t xml:space="preserve">Bear Creek Cabins </t>
  </si>
  <si>
    <t xml:space="preserve">Morrison </t>
  </si>
  <si>
    <t>Flow (cfs)</t>
  </si>
  <si>
    <t>Dissolved Oxygen (mg/l)</t>
  </si>
  <si>
    <t>Site 4 Evergreen Lake</t>
  </si>
  <si>
    <t>sample at -1m and +1m</t>
  </si>
  <si>
    <t>TP, TN, NO2-NO3, Ammonia, TDP</t>
  </si>
  <si>
    <t>COSPBE01a</t>
  </si>
  <si>
    <t>Mainstem of Bear Creek from the boundary of the Mt. Evans Wilderness area to the inlet of Evergreen Lake.</t>
  </si>
  <si>
    <t>WBID</t>
  </si>
  <si>
    <t>Segment Description</t>
  </si>
  <si>
    <t>Portion</t>
  </si>
  <si>
    <t>Colorado’s Monitoring &amp; Evaluation Parameter(s)</t>
  </si>
  <si>
    <t>Clean Water Act Section 303(d) Impairment</t>
  </si>
  <si>
    <t>303(d) Priority</t>
  </si>
  <si>
    <t>Aquatic Life (provisional)</t>
  </si>
  <si>
    <t>COSPBE01c</t>
  </si>
  <si>
    <t>Bear Creek Reservoir</t>
  </si>
  <si>
    <t>all</t>
  </si>
  <si>
    <t>L</t>
  </si>
  <si>
    <t>D.O.</t>
  </si>
  <si>
    <t>Chl-a, phosphorus</t>
  </si>
  <si>
    <t>H</t>
  </si>
  <si>
    <t>COSPBE01e</t>
  </si>
  <si>
    <t>Temperature, Aquatic Life</t>
  </si>
  <si>
    <t>COSPBE02</t>
  </si>
  <si>
    <t>Bear Creek below Bear Creek Reservoir to South Platte River</t>
  </si>
  <si>
    <t>Below Kipling Parkway (CO 390)</t>
  </si>
  <si>
    <t>E.coli (May-Oct), Aquatic Life (provisional)</t>
  </si>
  <si>
    <t>COSPBE05</t>
  </si>
  <si>
    <t>Swede, Kerr, Sawmill, Troublesome and Cold Springs Gulches and Cub Creek</t>
  </si>
  <si>
    <t>Swede/Kerr Gulch</t>
  </si>
  <si>
    <t>E.coli</t>
  </si>
  <si>
    <t>4e</t>
  </si>
  <si>
    <t>Evergreen Lake</t>
  </si>
  <si>
    <t>Genesee</t>
  </si>
  <si>
    <t>DO1/2-2m</t>
  </si>
  <si>
    <t>pH wc</t>
  </si>
  <si>
    <t>SC wc</t>
  </si>
  <si>
    <t xml:space="preserve">Site 36 </t>
  </si>
  <si>
    <t>Summit Lake</t>
  </si>
  <si>
    <t>Substrate</t>
  </si>
  <si>
    <t xml:space="preserve">Vel Ave </t>
  </si>
  <si>
    <t>Pipe#1</t>
  </si>
  <si>
    <t>Pipe#2</t>
  </si>
  <si>
    <t>Site 37 (Mt Evans, BC)</t>
  </si>
  <si>
    <t>Width</t>
  </si>
  <si>
    <t>Site 25 Vance Creek</t>
  </si>
  <si>
    <t>Samplers</t>
  </si>
  <si>
    <t>RNC Consulting; Tony Langoski; _____________________________________</t>
  </si>
  <si>
    <t>Weather</t>
  </si>
  <si>
    <t>_________________________________________________________________</t>
  </si>
  <si>
    <t>Site 3a-Keys on the Green</t>
  </si>
  <si>
    <t>Staff</t>
  </si>
  <si>
    <t>Site 35 (Brookforest Inn)</t>
  </si>
  <si>
    <t>Site 50 Cub Creek Park</t>
  </si>
  <si>
    <t>Site 5-Little Bear Downtown</t>
  </si>
  <si>
    <t>Site 8-Bear Creek Cabins</t>
  </si>
  <si>
    <t>Site 9-O'Fallon Park</t>
  </si>
  <si>
    <t>Site 12-Lair O' The Bear</t>
  </si>
  <si>
    <t>Site 13a-Idledale</t>
  </si>
  <si>
    <t>Site 14a-Morrison Park West</t>
  </si>
  <si>
    <t>Site 18-South Turkey Creek</t>
  </si>
  <si>
    <t>Site 19 -North Turkey Creek</t>
  </si>
  <si>
    <t>BCWA Position</t>
  </si>
  <si>
    <t>The BCWA will supprt a provisional listing for Aquatic life as a low priority, but only for a portion of the segment.  Upstream macroinvertebrate sampling shows no indication of an aqutic life impairment.  The portion of the segment for provisional listing should begin at Golden Willow Road Bridge, Clear Creek County and extend downstream to the inlet of Evergreen Lake.</t>
  </si>
  <si>
    <t>The BCWA supports removing the dissolved oxygen listing from the monitoring and evalution listing and retaining the current listing for chlorophyll a and total phosphorus.</t>
  </si>
  <si>
    <t xml:space="preserve">The BCWA doesn't support the proposed aquatic life listing with a high priority with Temperature listed as the parameter causing impairment.  Geerally, the macroinvertbrate data for this segment does not show impairment; however one location out of the 7 monitored site has a low score in 2010.  As such, the BCWA will support a provisional listing for aquatic life for the segment with a low priority.  The massive data record collected by the BCWA for this segment does not support temperature as the problem. </t>
  </si>
  <si>
    <t>The BCWA takes no position on this segment.</t>
  </si>
  <si>
    <t>The BCWA continues the monitoring program o this segment and supports no change to the current listing.</t>
  </si>
  <si>
    <t>8a</t>
  </si>
  <si>
    <t>13a</t>
  </si>
  <si>
    <t>July</t>
  </si>
  <si>
    <t>August</t>
  </si>
  <si>
    <t>x</t>
  </si>
  <si>
    <t>MAX</t>
  </si>
  <si>
    <t>MIN</t>
  </si>
  <si>
    <t>avg</t>
  </si>
  <si>
    <t>Temperature</t>
  </si>
  <si>
    <t>June</t>
  </si>
  <si>
    <t>Total Horses</t>
  </si>
  <si>
    <t>assume w/o bedding</t>
  </si>
  <si>
    <t>Ammonia</t>
  </si>
  <si>
    <t>Potassium</t>
  </si>
  <si>
    <t>assume1000 pound animal per year, median</t>
  </si>
  <si>
    <t>tons/yr</t>
  </si>
  <si>
    <t xml:space="preserve">Median </t>
  </si>
  <si>
    <t xml:space="preserve">Total Density (#/mL): </t>
  </si>
  <si>
    <t xml:space="preserve">Trophic State Index: </t>
  </si>
  <si>
    <t>diatom</t>
  </si>
  <si>
    <t>Anabaena flos-aquae</t>
  </si>
  <si>
    <t>bluegreen</t>
  </si>
  <si>
    <t>green</t>
  </si>
  <si>
    <t>dinoflagellate</t>
  </si>
  <si>
    <t>Cocconeis placentula</t>
  </si>
  <si>
    <t>Cymbella minuta</t>
  </si>
  <si>
    <t>Rhodomonas minuta</t>
  </si>
  <si>
    <t>Schroderia sp.</t>
  </si>
  <si>
    <t>Achnanthes minutissima</t>
  </si>
  <si>
    <t>Cymbella affinis</t>
  </si>
  <si>
    <t>Cymbella sinuata</t>
  </si>
  <si>
    <t>Sphaerocystis schroeteri</t>
  </si>
  <si>
    <t>Achnanthes linearis</t>
  </si>
  <si>
    <t>Gomphonema angustatum</t>
  </si>
  <si>
    <t>Average Total Nitrogen [ug/l]: -1m</t>
  </si>
  <si>
    <t>Average Total Nitrogen [ug/l]: -10m</t>
  </si>
  <si>
    <t>Peak Annual Total Phosphorus [ug/l] Water Column</t>
  </si>
  <si>
    <t>Total Nitrogen Pounds</t>
  </si>
  <si>
    <t>Average Annual Ortho Phosphorus ug/l] Water Column</t>
  </si>
  <si>
    <t>Peak Annual Ortho Phosphorus [ug/l] Water Column</t>
  </si>
  <si>
    <t>Average Annual Nitrate-Nitrogen [ug/l] Water Column</t>
  </si>
  <si>
    <t>Peak Annual Nitrate-Nitrogen [ug/l] Water Column</t>
  </si>
  <si>
    <t>Average Annual Total Nitrogen [ug/l]: Water Column</t>
  </si>
  <si>
    <t>Growing Season Total Phosphorus [ug/l]: -1m</t>
  </si>
  <si>
    <t>Growing Season Total Phosphorus [ug/l]: -10m</t>
  </si>
  <si>
    <t>Average Annual Total Phosphorus [ug/l] -1m</t>
  </si>
  <si>
    <t>Average Annual Total Phosphorus [ug/l] -10m</t>
  </si>
  <si>
    <t>Growing Season Total Phosphorus [ug/l]: Water Column</t>
  </si>
  <si>
    <t>Average Annual Total Phosphorus [ug/l]: Water Column</t>
  </si>
  <si>
    <t>Average Growing Season Chlorophyll-a [ug/l (-1m)]</t>
  </si>
  <si>
    <t>Average Annual Chlorophyll-a [ug/l (-1m)]</t>
  </si>
  <si>
    <t>Dissolved Oxygen</t>
  </si>
  <si>
    <t>Reservoir Growing Season July to September</t>
  </si>
  <si>
    <t>Growing Season Average Nitrate-Nitrogen [ug/l] Water Column</t>
  </si>
  <si>
    <t>Growing Season Total Nitrogen [ug/l]: Water Column</t>
  </si>
  <si>
    <t>Growing Season Total Nitrogen [ug/l]: -1m</t>
  </si>
  <si>
    <t>Growing Season Total Nitrogen [ug/l]: -10m</t>
  </si>
  <si>
    <t>Growing Season Average Total Suspended Sediments [mg/l]</t>
  </si>
  <si>
    <t>Growing Season Average Ortho Phosphorus [ug/l] Water Column</t>
  </si>
  <si>
    <t>Growing Season Average Secchi Depth (meters)</t>
  </si>
  <si>
    <t>91-12 Mean</t>
  </si>
  <si>
    <t>Reservoir</t>
  </si>
  <si>
    <t>average</t>
  </si>
  <si>
    <t>Estimate Horses in Per/month</t>
  </si>
  <si>
    <t>tons manure/month</t>
  </si>
  <si>
    <t>Ammonia lbs/month</t>
  </si>
  <si>
    <t>TN lbs/month</t>
  </si>
  <si>
    <t>Total Phosphorus lbs/month</t>
  </si>
  <si>
    <t>Potassium lbs/month</t>
  </si>
  <si>
    <t>lbs/ton</t>
  </si>
  <si>
    <t>Site 60 Summit Shore North</t>
  </si>
  <si>
    <t>Site 62 Middle Plume</t>
  </si>
  <si>
    <t>Mt. Evans Field Data</t>
  </si>
  <si>
    <t>Temperature C</t>
  </si>
  <si>
    <t>Specific Conductance ms/cm</t>
  </si>
  <si>
    <t>Dissolved Oxygen mg/l</t>
  </si>
  <si>
    <t>Site 36 Outlets</t>
  </si>
  <si>
    <t>Site 61 Top Plume</t>
  </si>
  <si>
    <t>Site 63 Bottom Plume</t>
  </si>
  <si>
    <t>Site 58 BC Above SRR</t>
  </si>
  <si>
    <t>Site 2a-Golden Willow UBC</t>
  </si>
  <si>
    <t>Site 2a</t>
  </si>
  <si>
    <t>at Golden Willow on Upper Bear Creek</t>
  </si>
  <si>
    <t>Vance Creek below Mt Evan Wilderness Area</t>
  </si>
  <si>
    <t>above Evergreen Lake at Keys-on-the-Green, CDOW Site</t>
  </si>
  <si>
    <t xml:space="preserve">Evergreen Lake, at dam </t>
  </si>
  <si>
    <t>Above EMD WWTP effluent, CDOW Downtown Site</t>
  </si>
  <si>
    <t xml:space="preserve">Bear Creek Cabins, CDOW Site </t>
  </si>
  <si>
    <t>O’Fallon Park (west end, CDOW Site)</t>
  </si>
  <si>
    <t xml:space="preserve">Lair o’ the Bear, CDOW Site </t>
  </si>
  <si>
    <t xml:space="preserve">below Idledale (at Idledale at Shady Lane, CDOW Site)  </t>
  </si>
  <si>
    <t xml:space="preserve">Morrison Park (west end of town, CDOW Site) </t>
  </si>
  <si>
    <t>North Turkey Creek Flying J</t>
  </si>
  <si>
    <t>Cub Creek at Brookforest Inn</t>
  </si>
  <si>
    <t>Upper Segment 7</t>
  </si>
  <si>
    <t xml:space="preserve">Bear Creek above Singing River </t>
  </si>
  <si>
    <t>Site 39</t>
  </si>
  <si>
    <t>Genesee Reservoir</t>
  </si>
  <si>
    <t>Cub Creek Upstream Cub Creek Park</t>
  </si>
  <si>
    <t>Site 58</t>
  </si>
  <si>
    <t>South Turkey Creek Myers Ranch</t>
  </si>
  <si>
    <t>Site 4</t>
  </si>
  <si>
    <t>NO3,TA, TP</t>
  </si>
  <si>
    <t>Profile</t>
  </si>
  <si>
    <t>NO3, TA, TP</t>
  </si>
  <si>
    <t xml:space="preserve">Site 4 </t>
  </si>
  <si>
    <t>TN, NO3, TA,TP,TDP, TSS</t>
  </si>
  <si>
    <t>Site 37 Bear Creek</t>
  </si>
  <si>
    <t>Site 40 Central Pool</t>
  </si>
  <si>
    <t>Site 41- BC Outlet</t>
  </si>
  <si>
    <t>Site 42 - South Dam</t>
  </si>
  <si>
    <t>Site 43 - TC Inlet</t>
  </si>
  <si>
    <t>Site 44 - BC Inlet</t>
  </si>
  <si>
    <t>Specific Conductance</t>
  </si>
  <si>
    <t>Dissolved Oxygen, mg/l</t>
  </si>
  <si>
    <t>63- Est Bottom Plume</t>
  </si>
  <si>
    <t>36 - Outlet Summit Lake</t>
  </si>
  <si>
    <t>37 - Upper Bear Creek</t>
  </si>
  <si>
    <t>16a-Turkey Creek Inflow</t>
  </si>
  <si>
    <t>15a-Bear Creek Inflow</t>
  </si>
  <si>
    <t>45-Bear Creek Discharge</t>
  </si>
  <si>
    <t>Average (m)</t>
  </si>
  <si>
    <t>Average 1/2-2m</t>
  </si>
  <si>
    <t>Profile Average</t>
  </si>
  <si>
    <t>QC 10-107-04-1-B</t>
  </si>
  <si>
    <t>QC 10-115-01-4-U</t>
  </si>
  <si>
    <t>QuickChem 10-107-06-3-D</t>
  </si>
  <si>
    <t>total boats</t>
  </si>
  <si>
    <t>Discharge V avg A</t>
  </si>
  <si>
    <t>BCR Average 1/2-2m</t>
  </si>
  <si>
    <t>BCR Site 40 Profile Average</t>
  </si>
  <si>
    <t>Site 15a-Bear Creek Inflow</t>
  </si>
  <si>
    <t>Site 16a-Turkey Creek Inflow</t>
  </si>
  <si>
    <t>Site 45-Reservoir Discharge</t>
  </si>
  <si>
    <t>Site 40a-Reservoir - Top</t>
  </si>
  <si>
    <t>Site 40c-Reservoir - Lower</t>
  </si>
  <si>
    <t>BCR Water Column Average TN</t>
  </si>
  <si>
    <t>BCR Water Column Average NO3</t>
  </si>
  <si>
    <t>Golden Willow Road UBC</t>
  </si>
  <si>
    <t>Reservoir - Top (TP)</t>
  </si>
  <si>
    <t>BCR Water Column Average TP</t>
  </si>
  <si>
    <t>Reservoir - Lower (TP)</t>
  </si>
  <si>
    <t>BCR Water Column Average OP</t>
  </si>
  <si>
    <t>Reservoir - Top (OP)</t>
  </si>
  <si>
    <t>Reservoir - Lower (OP)</t>
  </si>
  <si>
    <t>Est Periphyton Coverage %</t>
  </si>
  <si>
    <t>Water Clarity</t>
  </si>
  <si>
    <t>Chemistry</t>
  </si>
  <si>
    <t>Bear Creek above Singing River Ranch</t>
  </si>
  <si>
    <t>R</t>
  </si>
  <si>
    <t>Golden Willow Bridge</t>
  </si>
  <si>
    <t>Site 15a</t>
  </si>
  <si>
    <t>Site 24</t>
  </si>
  <si>
    <t>Morrison WWTP Eff</t>
  </si>
  <si>
    <t> x</t>
  </si>
  <si>
    <t>Segment 1c</t>
  </si>
  <si>
    <t>Site 4a</t>
  </si>
  <si>
    <t>Evergreen Lake Surface, profile station</t>
  </si>
  <si>
    <t xml:space="preserve">R </t>
  </si>
  <si>
    <t>Evergreen Lake Profile Station, 1.5m</t>
  </si>
  <si>
    <t xml:space="preserve">Evergreen Lake Profile Station, 4.5m </t>
  </si>
  <si>
    <t>CDOW downtown Little Bear site</t>
  </si>
  <si>
    <t>Below Idledale, Shady Lane CDOW site</t>
  </si>
  <si>
    <t>Morrison Park west end  at CDOW Site</t>
  </si>
  <si>
    <t>EMD WWTP Eff</t>
  </si>
  <si>
    <t>x </t>
  </si>
  <si>
    <t>Site 21</t>
  </si>
  <si>
    <t>WJCMD WWTP Eff</t>
  </si>
  <si>
    <t>KSWD WWTP Eff</t>
  </si>
  <si>
    <t>GWSD WWTP Eff</t>
  </si>
  <si>
    <t>Site 45</t>
  </si>
  <si>
    <t>Vance Creek (Mt. Evans Wilderness)</t>
  </si>
  <si>
    <t>Site 47a</t>
  </si>
  <si>
    <t>Upper Coyote Gulch</t>
  </si>
  <si>
    <t>Site 47b</t>
  </si>
  <si>
    <t>Lower Coyote Gulch,  reservoir</t>
  </si>
  <si>
    <t>Cub Creek, Upstream Cub Creek Park</t>
  </si>
  <si>
    <t>Cub Creek @ Brookforest Inn</t>
  </si>
  <si>
    <t>Site 16a</t>
  </si>
  <si>
    <t>Summit Lake (Segment 8)</t>
  </si>
  <si>
    <t>Bear Creek Mainstem (Segment 7)</t>
  </si>
  <si>
    <t>Field Data</t>
  </si>
  <si>
    <t>Laboratory Analyses</t>
  </si>
  <si>
    <t>Nitrate+Nitrite-Nitrogen</t>
  </si>
  <si>
    <t>Total Ammonia</t>
  </si>
  <si>
    <t>Specific Conductivity</t>
  </si>
  <si>
    <t>Temperature (field probe, 1/2-m intervals in central pool)</t>
  </si>
  <si>
    <t>Dissolved Oxygen (field probe, 1/2-m intervals in central pool)</t>
  </si>
  <si>
    <t>Specific Conductivity (field probe, 1/2-m intervals in central pool)</t>
  </si>
  <si>
    <t>pH (field probe, 1/2-m intervals in central pool)</t>
  </si>
  <si>
    <t>Sample Months</t>
  </si>
  <si>
    <t>May-Nov</t>
  </si>
  <si>
    <t>Bear Creek within Bear Creek Park</t>
  </si>
  <si>
    <t>Jan-Dec</t>
  </si>
  <si>
    <t>Site 52</t>
  </si>
  <si>
    <t>Site 53</t>
  </si>
  <si>
    <t>Riefenberg</t>
  </si>
  <si>
    <t>Site 54</t>
  </si>
  <si>
    <t>Middle Kerr Gulch</t>
  </si>
  <si>
    <t>Kerr Gulch Mouth</t>
  </si>
  <si>
    <t xml:space="preserve">Site 55 </t>
  </si>
  <si>
    <t>Swede Gulch</t>
  </si>
  <si>
    <t xml:space="preserve">Lower Bear Creek, below reservoir concrete trace/ weir </t>
  </si>
  <si>
    <t>Flow</t>
  </si>
  <si>
    <t>F,A,J,A,O, N</t>
  </si>
  <si>
    <t>May-Oct</t>
  </si>
  <si>
    <t>Manual Flows</t>
  </si>
  <si>
    <t>Reservoirs (BCR and Evergreen)</t>
  </si>
  <si>
    <t>USGS gauge</t>
  </si>
  <si>
    <t>USGS gauge &amp; x</t>
  </si>
  <si>
    <t>BCWA Staff &amp; x</t>
  </si>
  <si>
    <t>Turkey Creek within Bear Creek Park</t>
  </si>
  <si>
    <t>Bear Creek Reservoir, Central Pool Profile</t>
  </si>
  <si>
    <t>site 42</t>
  </si>
  <si>
    <t>BCR, Outlet</t>
  </si>
  <si>
    <t>BCR South Dam</t>
  </si>
  <si>
    <t>BCR Turkey Creek Inlet</t>
  </si>
  <si>
    <t>BCR Bear Creek Inlet</t>
  </si>
  <si>
    <t>Field Profile</t>
  </si>
  <si>
    <t>Temperature (discrete field probe )</t>
  </si>
  <si>
    <t>Macroinvertebrates</t>
  </si>
  <si>
    <t>Habitat</t>
  </si>
  <si>
    <t>Periphyton Coverage (Qualitative)</t>
  </si>
  <si>
    <t>E. coli, select sites</t>
  </si>
  <si>
    <r>
      <t>Segment 1a</t>
    </r>
    <r>
      <rPr>
        <sz val="12"/>
        <rFont val="Arial"/>
        <family val="2"/>
      </rPr>
      <t> </t>
    </r>
  </si>
  <si>
    <r>
      <t>Segment 1b</t>
    </r>
    <r>
      <rPr>
        <sz val="12"/>
        <rFont val="Arial"/>
        <family val="2"/>
      </rPr>
      <t> </t>
    </r>
  </si>
  <si>
    <r>
      <t>Segment 1d</t>
    </r>
    <r>
      <rPr>
        <sz val="12"/>
        <rFont val="Arial"/>
        <family val="2"/>
      </rPr>
      <t> </t>
    </r>
  </si>
  <si>
    <r>
      <t>Segment 1e</t>
    </r>
    <r>
      <rPr>
        <sz val="12"/>
        <rFont val="Arial"/>
        <family val="2"/>
      </rPr>
      <t> </t>
    </r>
  </si>
  <si>
    <r>
      <t>Segment 2</t>
    </r>
    <r>
      <rPr>
        <sz val="12"/>
        <rFont val="Arial"/>
        <family val="2"/>
      </rPr>
      <t> </t>
    </r>
  </si>
  <si>
    <r>
      <t>Segment 3</t>
    </r>
    <r>
      <rPr>
        <sz val="12"/>
        <rFont val="Arial"/>
        <family val="2"/>
      </rPr>
      <t> </t>
    </r>
  </si>
  <si>
    <r>
      <t>Segment 4a</t>
    </r>
    <r>
      <rPr>
        <sz val="12"/>
        <rFont val="Arial"/>
        <family val="2"/>
      </rPr>
      <t> </t>
    </r>
  </si>
  <si>
    <r>
      <t>Segment 5</t>
    </r>
    <r>
      <rPr>
        <sz val="12"/>
        <rFont val="Arial"/>
        <family val="2"/>
      </rPr>
      <t> </t>
    </r>
  </si>
  <si>
    <r>
      <t>Segment 6b</t>
    </r>
    <r>
      <rPr>
        <sz val="12"/>
        <rFont val="Arial"/>
        <family val="2"/>
      </rPr>
      <t> </t>
    </r>
  </si>
  <si>
    <r>
      <t>Segments 7 and 8</t>
    </r>
    <r>
      <rPr>
        <sz val="12"/>
        <rFont val="Arial"/>
        <family val="2"/>
      </rPr>
      <t> </t>
    </r>
  </si>
  <si>
    <t>BCR Phytoplankton (July, August, September only; six sample sets)</t>
  </si>
  <si>
    <t>Temperature  (continuous data loggers, 1/2-2m)</t>
  </si>
  <si>
    <t>Total depth</t>
  </si>
  <si>
    <t>Secchi Reading</t>
  </si>
  <si>
    <t>BCR Sediment study (TP)</t>
  </si>
  <si>
    <t>BCR Sediment study (Organics)</t>
  </si>
  <si>
    <t>BCR Sediment Study (Grain Size)</t>
  </si>
  <si>
    <t>site 32</t>
  </si>
  <si>
    <t>Site 64</t>
  </si>
  <si>
    <t>Troublesome Mouth</t>
  </si>
  <si>
    <t>Troublesome at Culvert above West Jeff</t>
  </si>
  <si>
    <t>Site 34</t>
  </si>
  <si>
    <t>Mt Vernon Drainage, Morrison</t>
  </si>
  <si>
    <t>Site 4i</t>
  </si>
  <si>
    <t>Site 40a</t>
  </si>
  <si>
    <t>Site 40c</t>
  </si>
  <si>
    <t>JCS Outdoor Lab</t>
  </si>
  <si>
    <t>Forest Hills WWTP Eff</t>
  </si>
  <si>
    <t>Brookforest Inn WWTP Eff</t>
  </si>
  <si>
    <t>Aspen Park Metro District WWTP Eff</t>
  </si>
  <si>
    <t>Genva Glen WWTP Eff</t>
  </si>
  <si>
    <t>Tiny Town WWTP Eff</t>
  </si>
  <si>
    <t>Conifer Metro District WWTP Eff</t>
  </si>
  <si>
    <t>Bear Creek Cabins WWTP Eff</t>
  </si>
  <si>
    <t>Parameter (units)</t>
  </si>
  <si>
    <t xml:space="preserve">Bear &amp;Turkey Creek Inflows, Site 15a and 16a </t>
  </si>
  <si>
    <t>Reservoir Outflow, Site 45</t>
  </si>
  <si>
    <t>Physical/Field</t>
  </si>
  <si>
    <t>Flow/ Discharge (cu m/s)</t>
  </si>
  <si>
    <t>X</t>
  </si>
  <si>
    <t>Specific Conductance (umhos/cm)</t>
  </si>
  <si>
    <t>(Profiles at sites 40, 41, 42, 43, 44)</t>
  </si>
  <si>
    <t>Secchi (meters)</t>
  </si>
  <si>
    <t>(Sites 40, 41, 42, 43, and 44</t>
  </si>
  <si>
    <t>(Profile sites 40, 41, 42, 43, 44)</t>
  </si>
  <si>
    <t>Temperature (C)</t>
  </si>
  <si>
    <t>X (Data Loggers)</t>
  </si>
  <si>
    <t>(Profile at  sites 40, 41, 42, 43, 44)</t>
  </si>
  <si>
    <t>Data Logger at site 40</t>
  </si>
  <si>
    <t>(Site 40;top, lower, laboratory)</t>
  </si>
  <si>
    <t>pH (standard unit)</t>
  </si>
  <si>
    <t>(Profile at sites 40, 41, 42, 43, 44 )</t>
  </si>
  <si>
    <t>Biological (Site 40 only)</t>
  </si>
  <si>
    <t>Chlorophyll a (ug/l)</t>
  </si>
  <si>
    <t>X (-1m)</t>
  </si>
  <si>
    <t>Phytoplankton (July, August, September only; six sample sets)</t>
  </si>
  <si>
    <t xml:space="preserve">Composite top 1-meter water </t>
  </si>
  <si>
    <t>Nutrients (Reservoir Site 40 only)</t>
  </si>
  <si>
    <t>X (top, lower)</t>
  </si>
  <si>
    <t>Total Dissolved Phosphorus (ug/l)</t>
  </si>
  <si>
    <t>Manual and Staff gage</t>
  </si>
  <si>
    <t>Nitrate + Nitrite Nitrogen (ug/l)</t>
  </si>
  <si>
    <t>Total Ammonia (ug/l)</t>
  </si>
  <si>
    <t>Total Depth (m)</t>
  </si>
  <si>
    <t>Bottom Sediments BCR</t>
  </si>
  <si>
    <t>Total Phosphorus (mg/kg)</t>
  </si>
  <si>
    <t>% Organics ( TOC)</t>
  </si>
  <si>
    <t>% Clay-silt</t>
  </si>
  <si>
    <t>17 sites</t>
  </si>
  <si>
    <t>18 sites</t>
  </si>
  <si>
    <t>19 sites</t>
  </si>
  <si>
    <t>Wastewater Treatment Facilities</t>
  </si>
  <si>
    <t>Total Inorganic Nitrogen (Calculation)</t>
  </si>
  <si>
    <t>Daily average effluent discharge</t>
  </si>
  <si>
    <t>JCS Conifer High School WWTF Eff</t>
  </si>
  <si>
    <t>The Fort WWTF Eff</t>
  </si>
  <si>
    <t>Ammonia-Nitrogen</t>
  </si>
  <si>
    <t>Total Inorganic Nitrogen (Calculation = NO2+NO3+NH4)</t>
  </si>
  <si>
    <t>Temperature  (continuous data loggers, Effluent)</t>
  </si>
  <si>
    <t>cost/sample</t>
  </si>
  <si>
    <t>TSS</t>
  </si>
  <si>
    <t>TDP</t>
  </si>
  <si>
    <t>Nitrate</t>
  </si>
  <si>
    <t>Total Samples</t>
  </si>
  <si>
    <t>2013 Cost</t>
  </si>
  <si>
    <t>Total Lab Cost</t>
  </si>
  <si>
    <t>NITRATE</t>
  </si>
  <si>
    <t>AMMONIA</t>
  </si>
  <si>
    <t>Filtration</t>
  </si>
  <si>
    <t>WWTF</t>
  </si>
  <si>
    <t>Singing River Ranch WWTF Eff</t>
  </si>
  <si>
    <t>Reference Site</t>
  </si>
  <si>
    <t xml:space="preserve">Data Logger </t>
  </si>
  <si>
    <t>Wastewater Treatment Plants</t>
  </si>
  <si>
    <t>Treatment Tech</t>
  </si>
  <si>
    <t>Evergreen Metro District</t>
  </si>
  <si>
    <t xml:space="preserve">Singing River Ranch </t>
  </si>
  <si>
    <t>West Jefferson County Metro District</t>
  </si>
  <si>
    <t>Kittredge Water and Sanitation District</t>
  </si>
  <si>
    <t>Genesee Water and Sanitation District</t>
  </si>
  <si>
    <t>Forest Hills Metro District</t>
  </si>
  <si>
    <t>Tiny Town</t>
  </si>
  <si>
    <t xml:space="preserve">The Fort </t>
  </si>
  <si>
    <t xml:space="preserve">Conifer Metro District </t>
  </si>
  <si>
    <t xml:space="preserve">JCS Conifer High School </t>
  </si>
  <si>
    <t>EDM</t>
  </si>
  <si>
    <t>Witter Gulch to inlet of Evergreen Lake</t>
  </si>
  <si>
    <t>Temperature, Aquatic Life (provisional)</t>
  </si>
  <si>
    <t>Aquatic Life</t>
  </si>
  <si>
    <t>From the outlet of Evergreen Lake to Kerr/Swede Gulch</t>
  </si>
  <si>
    <t>E.coli (May-Oct)</t>
  </si>
  <si>
    <t xml:space="preserve">Geneva Glen </t>
  </si>
  <si>
    <t>Minor</t>
  </si>
  <si>
    <t>Design Capacity MGD</t>
  </si>
  <si>
    <t>Town of Morrison</t>
  </si>
  <si>
    <t>Bear Creek Drainage</t>
  </si>
  <si>
    <t>Turkey Creek Drainage</t>
  </si>
  <si>
    <t>Treatment Operator</t>
  </si>
  <si>
    <t>Site 40a-Reservoir - Top TP</t>
  </si>
  <si>
    <t>Site 40c-Reservoir - Lower TP</t>
  </si>
  <si>
    <t>Site 40a-Reservoir - Top TDP</t>
  </si>
  <si>
    <t>Site 40c-Reservoir - Lower TDP</t>
  </si>
  <si>
    <t xml:space="preserve">Reservoir - Top </t>
  </si>
  <si>
    <t xml:space="preserve">Reservoir - Lower </t>
  </si>
  <si>
    <t xml:space="preserve">BCR Water Column Average </t>
  </si>
  <si>
    <t>E. coli cts/100ml</t>
  </si>
  <si>
    <t>Lab Estimate</t>
  </si>
  <si>
    <t>Total Cost</t>
  </si>
  <si>
    <t>Todd Amen</t>
  </si>
  <si>
    <t>Total Nitrogen ug/l</t>
  </si>
  <si>
    <t>Bryan McCarty</t>
  </si>
  <si>
    <t xml:space="preserve">Facility Type </t>
  </si>
  <si>
    <t xml:space="preserve">Brookforest Inn </t>
  </si>
  <si>
    <t xml:space="preserve">Aspen Park Metro District </t>
  </si>
  <si>
    <t>Site 1b ETU</t>
  </si>
  <si>
    <t>Williams Bridge</t>
  </si>
  <si>
    <t>Site 2b ETU</t>
  </si>
  <si>
    <t>Below Golden Willow at mile marker 3.5</t>
  </si>
  <si>
    <t>Site 8b ETU</t>
  </si>
  <si>
    <t>Site 52a ETU</t>
  </si>
  <si>
    <t xml:space="preserve">Tiny Town </t>
  </si>
  <si>
    <t xml:space="preserve">GWSD </t>
  </si>
  <si>
    <t xml:space="preserve">KSWD </t>
  </si>
  <si>
    <t xml:space="preserve">EMD </t>
  </si>
  <si>
    <t>Singing River Ranch</t>
  </si>
  <si>
    <t>Total Boats</t>
  </si>
  <si>
    <t>Chlorophyll (Site 40)</t>
  </si>
  <si>
    <t>Clarity (All Profiles)</t>
  </si>
  <si>
    <t>Dissolved Oxygen (site 40 Profile)</t>
  </si>
  <si>
    <t>Annual Average at -1/2m - 2m [mg/l]</t>
  </si>
  <si>
    <t>Annual Minimum at -1/2m - 2m [mg/l]</t>
  </si>
  <si>
    <t>Seasonal Minimum at -1/2 - 2m [mg/l]</t>
  </si>
  <si>
    <t>Seasonal Average at -1/2 - 2m [mg/l]</t>
  </si>
  <si>
    <t xml:space="preserve">Specific Conductance </t>
  </si>
  <si>
    <t>Annual Average at -1/2m - 2m [uS/cm]</t>
  </si>
  <si>
    <t>Annual Minimum at -1/2m - 2m [us/cm]</t>
  </si>
  <si>
    <t>Seasonal Average at -1/2 - 2m [us/cm]</t>
  </si>
  <si>
    <t>Seasonal Minimum at -1/2 - 2m [us/cm]</t>
  </si>
  <si>
    <t>Total Outflow</t>
  </si>
  <si>
    <t>Site 45 Outflow BCR</t>
  </si>
  <si>
    <t>BCR Evaporation</t>
  </si>
  <si>
    <t>BCR Nitrate Deposition</t>
  </si>
  <si>
    <t>BCR Total Nitrogen Deposition</t>
  </si>
  <si>
    <t>BCR Total Phosphorus Deposition</t>
  </si>
  <si>
    <t>BCR TSS Deposition</t>
  </si>
  <si>
    <t>Total Nitrogen -Total Load In to BCR</t>
  </si>
  <si>
    <t>Total Nitrogen -Total Load From BCR</t>
  </si>
  <si>
    <t>Total Nitrogen -Total Deposition into BCR</t>
  </si>
  <si>
    <t>Total Phosphorus -Total Load In to BCR</t>
  </si>
  <si>
    <t>Total Phosphorus -Total Load From BCR</t>
  </si>
  <si>
    <t>Total Phosphorus -Total Deposition into BCR</t>
  </si>
  <si>
    <t>TSS -Total Load In to BCR</t>
  </si>
  <si>
    <t>TSS -Total Load From BCR</t>
  </si>
  <si>
    <t>TSS -Total Deposition into BCR</t>
  </si>
  <si>
    <t>Loading - Annual Pounds</t>
  </si>
  <si>
    <t>Reservoir Monitoring Parameters</t>
  </si>
  <si>
    <t>2013 Sampling Bear Creek Watershed Association</t>
  </si>
  <si>
    <t>Oscillatoria limosa</t>
  </si>
  <si>
    <t>Gomphoneis herculeana</t>
  </si>
  <si>
    <t>Melosira granulata</t>
  </si>
  <si>
    <t>Navicula cryptocephala</t>
  </si>
  <si>
    <t>Navicula cryptocephala veneta</t>
  </si>
  <si>
    <r>
      <t>Total Biovolume (um</t>
    </r>
    <r>
      <rPr>
        <b/>
        <vertAlign val="superscript"/>
        <sz val="9"/>
        <rFont val="Arial"/>
        <family val="2"/>
      </rPr>
      <t>3</t>
    </r>
    <r>
      <rPr>
        <b/>
        <sz val="9"/>
        <rFont val="Arial"/>
        <family val="2"/>
      </rPr>
      <t xml:space="preserve">/mL):              </t>
    </r>
  </si>
  <si>
    <t xml:space="preserve">Peak Phytoplankton </t>
  </si>
  <si>
    <t>47A Upper Coyote</t>
  </si>
  <si>
    <t>47B Lower Coyote</t>
  </si>
  <si>
    <t>*all preserved samples have an allowable holding time of 28 days</t>
  </si>
  <si>
    <t>Analyte</t>
  </si>
  <si>
    <t>Method</t>
  </si>
  <si>
    <t>Filtered (0.45 µm filter)</t>
  </si>
  <si>
    <t>Allowable Hold Time
(unpreserved samples)*</t>
  </si>
  <si>
    <t>QuickChem 10-115-01-4-U, with manual digestion</t>
  </si>
  <si>
    <t>No</t>
  </si>
  <si>
    <t>48 hours prior to digestion;
7 days prior to analysis</t>
  </si>
  <si>
    <t>Total Dissolved
Phosphorus</t>
  </si>
  <si>
    <t>Yes</t>
  </si>
  <si>
    <t>Standard Methods 4500-N B, with manual digestion</t>
  </si>
  <si>
    <t>Nitrate + Nitrite</t>
  </si>
  <si>
    <t>QuickChem 10-107-04-1-B</t>
  </si>
  <si>
    <t>48 hours</t>
  </si>
  <si>
    <t>24 hours</t>
  </si>
  <si>
    <t>Total Suspended
Solids</t>
  </si>
  <si>
    <t>Standard Methods 2540 D</t>
  </si>
  <si>
    <t>7 days before filtration, indefinitely after drying</t>
  </si>
  <si>
    <r>
      <t xml:space="preserve">Chlorophyll </t>
    </r>
    <r>
      <rPr>
        <i/>
        <sz val="9"/>
        <color indexed="8"/>
        <rFont val="Arial"/>
        <family val="1"/>
        <charset val="204"/>
      </rPr>
      <t>a</t>
    </r>
  </si>
  <si>
    <t>Hot Ethanol Extraction</t>
  </si>
  <si>
    <t>28 days</t>
  </si>
  <si>
    <t>Average % Recovery</t>
  </si>
  <si>
    <t>Number of Samples
Spiked</t>
  </si>
  <si>
    <t>Within Target Range</t>
  </si>
  <si>
    <r>
      <t>NO</t>
    </r>
    <r>
      <rPr>
        <sz val="6"/>
        <color indexed="8"/>
        <rFont val="Arial"/>
        <family val="1"/>
        <charset val="204"/>
      </rPr>
      <t>x</t>
    </r>
  </si>
  <si>
    <r>
      <t>NH</t>
    </r>
    <r>
      <rPr>
        <sz val="6"/>
        <color indexed="8"/>
        <rFont val="Arial"/>
        <family val="1"/>
        <charset val="204"/>
      </rPr>
      <t>3</t>
    </r>
  </si>
  <si>
    <t>Matrix spikes by analyte. Target recovery range is 80-120% recovery.</t>
  </si>
  <si>
    <t xml:space="preserve">Analyte </t>
  </si>
  <si>
    <t xml:space="preserve">Minimum Detection limit </t>
  </si>
  <si>
    <t xml:space="preserve">Total Phosphorus </t>
  </si>
  <si>
    <t xml:space="preserve">2 μg/L </t>
  </si>
  <si>
    <t>Nitrate+Nitrite</t>
  </si>
  <si>
    <t>3 ug/l</t>
  </si>
  <si>
    <t>2 ug/l</t>
  </si>
  <si>
    <t>4 mg/l</t>
  </si>
  <si>
    <t>0.1 ug/l</t>
  </si>
  <si>
    <r>
      <t xml:space="preserve">Chlorophyll </t>
    </r>
    <r>
      <rPr>
        <i/>
        <sz val="9"/>
        <color indexed="8"/>
        <rFont val="Times New Roman"/>
        <family val="1"/>
      </rPr>
      <t>a</t>
    </r>
  </si>
  <si>
    <t>All matrix spikes within target range of 80-120% recovery</t>
  </si>
  <si>
    <t>QA Requirement</t>
  </si>
  <si>
    <t>Note</t>
  </si>
  <si>
    <t>Chain of Custody received complete</t>
  </si>
  <si>
    <t>Samples received within holding times</t>
  </si>
  <si>
    <t>Samples at correct temperature (1-8ºC)</t>
  </si>
  <si>
    <t>QA/QC Standards within acceptable 10% difference</t>
  </si>
  <si>
    <t>Duplicate samples within acceptable 10% difference</t>
  </si>
  <si>
    <t>AAA Operation/ Bryan McCarty</t>
  </si>
  <si>
    <t>Permit Number</t>
  </si>
  <si>
    <t>grab</t>
  </si>
  <si>
    <t>Dave Lighthart</t>
  </si>
  <si>
    <t>CO-0031429</t>
  </si>
  <si>
    <t>CO-0023841</t>
  </si>
  <si>
    <t>CO-0020915</t>
  </si>
  <si>
    <t>Kim Brogan</t>
  </si>
  <si>
    <t>Chris Brownell</t>
  </si>
  <si>
    <t>Effluent Sample Type</t>
  </si>
  <si>
    <t>LRP Certification</t>
  </si>
  <si>
    <t>Composite 24-hour</t>
  </si>
  <si>
    <t>CO-0022951</t>
  </si>
  <si>
    <t>Copy of Certification</t>
  </si>
  <si>
    <t>Latitude/Longitude</t>
  </si>
  <si>
    <t>Composite12-hour</t>
  </si>
  <si>
    <t>Robert Clodfelter</t>
  </si>
  <si>
    <t>John McEncroe</t>
  </si>
  <si>
    <t>Ken Atchison</t>
  </si>
  <si>
    <t>39.39' 27.75/105.17' 15.04</t>
  </si>
  <si>
    <t>39.39' 46.05/105.20' 06.62</t>
  </si>
  <si>
    <t>39.40' 34/ 105.16' 26</t>
  </si>
  <si>
    <t>39.38' 16.19/105.18' 56.07</t>
  </si>
  <si>
    <t>39.37' 26.43/ 105.26' 33.21</t>
  </si>
  <si>
    <t>CO-0035971</t>
  </si>
  <si>
    <t>Bruce McCreary</t>
  </si>
  <si>
    <t>Kerr/Swede</t>
  </si>
  <si>
    <t>September</t>
  </si>
  <si>
    <t>October</t>
  </si>
  <si>
    <t>Coyote Gulch</t>
  </si>
  <si>
    <t>Stream</t>
  </si>
  <si>
    <t>March-Nov 6-times</t>
  </si>
  <si>
    <t>SRR</t>
  </si>
  <si>
    <t>BCC</t>
  </si>
  <si>
    <t>JCS Outdoor</t>
  </si>
  <si>
    <t>FHMD</t>
  </si>
  <si>
    <t>BFI</t>
  </si>
  <si>
    <t>APMD</t>
  </si>
  <si>
    <t>TT</t>
  </si>
  <si>
    <t>CMD</t>
  </si>
  <si>
    <t>EMD</t>
  </si>
  <si>
    <t>KSWD</t>
  </si>
  <si>
    <t>GWSD</t>
  </si>
  <si>
    <t>JCS High</t>
  </si>
  <si>
    <t>WJCMD</t>
  </si>
  <si>
    <t>Morrison</t>
  </si>
  <si>
    <t>WWTF with Stream</t>
  </si>
  <si>
    <t>Segment 10, 11, and 12</t>
  </si>
  <si>
    <t>None in 2013</t>
  </si>
  <si>
    <t>WWTF Site 20</t>
  </si>
  <si>
    <t>WWTF Site 22</t>
  </si>
  <si>
    <t>WWTF Site 23</t>
  </si>
  <si>
    <t>WWTF Site 8</t>
  </si>
  <si>
    <t>WWTF Site 1</t>
  </si>
  <si>
    <t>WWTF Site 35</t>
  </si>
  <si>
    <t>WWTF Site 34a</t>
  </si>
  <si>
    <t>WWTF Other Times; earlier in Month</t>
  </si>
  <si>
    <t>Coordinated with Monthly Stream Samples</t>
  </si>
  <si>
    <t>Not Coordinated</t>
  </si>
  <si>
    <t>Treatnment Works</t>
  </si>
  <si>
    <t>Not Sampled</t>
  </si>
  <si>
    <t>CO-0631016</t>
  </si>
  <si>
    <t>39.32' 38/ 105.17' 25</t>
  </si>
  <si>
    <t>CO-0030856</t>
  </si>
  <si>
    <t>39.38' 43/ 105.18' 26</t>
  </si>
  <si>
    <t>CO-0030261</t>
  </si>
  <si>
    <t>39.579394/ 105.380764</t>
  </si>
  <si>
    <t>CO-0036129</t>
  </si>
  <si>
    <t>39.36' 22/105.13' 38</t>
  </si>
  <si>
    <t>CO-0037044</t>
  </si>
  <si>
    <t>39.42' 09/ 105.15' 07</t>
  </si>
  <si>
    <t>CO-0041432</t>
  </si>
  <si>
    <t>39.39' 10.89/ 10510' 39.99</t>
  </si>
  <si>
    <t>CO-047988</t>
  </si>
  <si>
    <t>Not Needed</t>
  </si>
  <si>
    <t>95.523470/ 105.306350</t>
  </si>
  <si>
    <t>CO-0032514</t>
  </si>
  <si>
    <t>CO-047295</t>
  </si>
  <si>
    <t>CO-0044652</t>
  </si>
  <si>
    <t>The Fort Resturant</t>
  </si>
  <si>
    <t>NA</t>
  </si>
  <si>
    <t>Groundwater</t>
  </si>
  <si>
    <t>Crystal Clear Water Treatment/ Russ Brown</t>
  </si>
  <si>
    <t>JCS, Kim Brogan</t>
  </si>
  <si>
    <t>39.31' 49/ 105.18' 16</t>
  </si>
  <si>
    <t>No Sample</t>
  </si>
  <si>
    <t>Site 64 (Troublesome)</t>
  </si>
  <si>
    <t>Site 34 Mt Vernon</t>
  </si>
  <si>
    <t>Site 32 (Troublesome Mouth )</t>
  </si>
  <si>
    <t>Fishery</t>
  </si>
  <si>
    <t>No Samples</t>
  </si>
  <si>
    <t>Geneva Glen</t>
  </si>
  <si>
    <t>Fort</t>
  </si>
  <si>
    <t>Old GEI Method</t>
  </si>
  <si>
    <t>New GEI Method</t>
  </si>
  <si>
    <t>NH3</t>
  </si>
  <si>
    <t>QC 10-107-06-3-D</t>
  </si>
  <si>
    <t>QC 10-107-06-2-A</t>
  </si>
  <si>
    <t>NOx</t>
  </si>
  <si>
    <t>NO2</t>
  </si>
  <si>
    <t>TN/TDN</t>
  </si>
  <si>
    <t>SM 4500-N B (mod)</t>
  </si>
  <si>
    <t>QC 10-107-04-4-B</t>
  </si>
  <si>
    <t>OP</t>
  </si>
  <si>
    <t>QC 10-115-01-1-T</t>
  </si>
  <si>
    <t>TP/TDP</t>
  </si>
  <si>
    <t>QC 10-115-01-4-B</t>
  </si>
  <si>
    <t>New MDL (ug/l)</t>
  </si>
  <si>
    <t>New PQL (ug/l)</t>
  </si>
  <si>
    <t>Watershed 102 Topics</t>
  </si>
  <si>
    <t>Bear Creek Watershed Ecology and Wildlife</t>
  </si>
  <si>
    <t>Climate Change</t>
  </si>
  <si>
    <t>Beetle kill and fire management; Healthy Forest</t>
  </si>
  <si>
    <t>Surface flows, changing watershed hydrology and practice conducting field flow measurements with instrument</t>
  </si>
  <si>
    <t>Recreational uses and user impacts, includes best management practices to reduce impacts from recreation uses</t>
  </si>
  <si>
    <t>Stream restoration and the right way to fix streams</t>
  </si>
  <si>
    <t>Sedimentation and erosion controls</t>
  </si>
  <si>
    <t>Detailed water quality data evaluation, includes lake/reservoir dynamics and conducting field WQ measurements</t>
  </si>
  <si>
    <t>Need educational messages and how to delivery these messages</t>
  </si>
  <si>
    <t>Land use information, maintenance issues</t>
  </si>
  <si>
    <t>BCWA</t>
  </si>
  <si>
    <t>Citizens</t>
  </si>
  <si>
    <t>Parameter Summary</t>
  </si>
  <si>
    <t>Dissolved Oxygen 1/2-2m</t>
  </si>
  <si>
    <t xml:space="preserve">pH water column </t>
  </si>
  <si>
    <t>Temperature (C) 1/2-2m</t>
  </si>
  <si>
    <t>Specific Conductance (us/m)</t>
  </si>
  <si>
    <t>Site3a</t>
  </si>
  <si>
    <t>Vance Creek</t>
  </si>
  <si>
    <t>site 25</t>
  </si>
  <si>
    <t>Morrison WWTF</t>
  </si>
  <si>
    <t>Site 25-Vannce Creek</t>
  </si>
  <si>
    <t>Site 25-Vance Creek</t>
  </si>
  <si>
    <t>%</t>
  </si>
  <si>
    <t>Basics of mountain Groundwater; hydrogeology, Turkey Creek Study results, quality changes</t>
  </si>
  <si>
    <t>Public Water supply, how water is treated, quality limits and why, tour water plant, Trends, Source Water Protection</t>
  </si>
  <si>
    <t>Invasive species  and plant management measures</t>
  </si>
  <si>
    <t>Septic systems and alternative waste management, problems and fixes, new standards and implications</t>
  </si>
  <si>
    <t>vol 1</t>
  </si>
  <si>
    <t>Reg 74</t>
  </si>
  <si>
    <t>watershed defined</t>
  </si>
  <si>
    <t>aeration study</t>
  </si>
  <si>
    <t>How many Sport fish</t>
  </si>
  <si>
    <t xml:space="preserve">BCR </t>
  </si>
  <si>
    <t>vol 2</t>
  </si>
  <si>
    <t>Nutrient Trends</t>
  </si>
  <si>
    <t>Sign Project</t>
  </si>
  <si>
    <t>Fire study</t>
  </si>
  <si>
    <t>History reservoir facts</t>
  </si>
  <si>
    <t>20 species, list</t>
  </si>
  <si>
    <t>Site 35 - Brookforest Inn</t>
  </si>
  <si>
    <t>Site 35-Brookforest Inn</t>
  </si>
  <si>
    <t>Site 50-Lower Cub Creek</t>
  </si>
  <si>
    <t>Site 65 BC Ponds</t>
  </si>
  <si>
    <t>Park BC</t>
  </si>
  <si>
    <t>Evergreen</t>
  </si>
  <si>
    <t>Res BC</t>
  </si>
  <si>
    <t>Res Ac-ft</t>
  </si>
  <si>
    <t>Sheridan</t>
  </si>
  <si>
    <t>Cfs</t>
  </si>
  <si>
    <t>Middle Watershed Sampling Sites - Bear Creek Watershed</t>
  </si>
  <si>
    <t>Estimated Flow cfs</t>
  </si>
  <si>
    <t>End Pond #2, Bear Creek</t>
  </si>
  <si>
    <t>65 - Between Ponds</t>
  </si>
  <si>
    <t>Periphyton Coverage</t>
  </si>
  <si>
    <t>vol 3</t>
  </si>
  <si>
    <t>history EGL</t>
  </si>
  <si>
    <t>festivals</t>
  </si>
  <si>
    <t>BCWA Segment Sample Sites</t>
  </si>
  <si>
    <t>Summit Plume Discharge</t>
  </si>
  <si>
    <t>Total Nitrogen, ug/l</t>
  </si>
  <si>
    <t>Nitrate/Nitrite as N, dissolved, ug/l</t>
  </si>
  <si>
    <t>Nitrogen, ammonia, ug/l</t>
  </si>
  <si>
    <t>Phosphorus, total, ug/l</t>
  </si>
  <si>
    <t>Ortho-Phosphorus, ug/l</t>
  </si>
  <si>
    <t>2013 Week-day - Daily Use Estimates</t>
  </si>
  <si>
    <t>QuikChem 10-107-04-4-B</t>
  </si>
  <si>
    <t>µg/L</t>
  </si>
  <si>
    <t>QuikChem 10-107-06-3-D</t>
  </si>
  <si>
    <t>QuikChem 10-115-01-4-B</t>
  </si>
  <si>
    <t>West Jeff.</t>
  </si>
  <si>
    <t>Kittredge</t>
  </si>
  <si>
    <t>Forest Hills</t>
  </si>
  <si>
    <t>MDL</t>
  </si>
  <si>
    <t>PQL</t>
  </si>
  <si>
    <t>NF</t>
  </si>
  <si>
    <t>NF - no flow</t>
  </si>
  <si>
    <t>Site 60</t>
  </si>
  <si>
    <t>Summit Lake North Shore</t>
  </si>
  <si>
    <t>July-Sept</t>
  </si>
  <si>
    <t>Site 61</t>
  </si>
  <si>
    <t>Summit Lake Top of Plume @ road</t>
  </si>
  <si>
    <t>Site 62</t>
  </si>
  <si>
    <t>Summit Lake Middle Plume, Wetland Fen</t>
  </si>
  <si>
    <t>Site 63</t>
  </si>
  <si>
    <t>Summit Lake Lower Plume, discharge Upper Bear Creek</t>
  </si>
  <si>
    <t>Site 65</t>
  </si>
  <si>
    <t>Bear Creek Inchannel Ponds, between pond #1 &amp; #2</t>
  </si>
  <si>
    <t xml:space="preserve">Site </t>
  </si>
  <si>
    <t xml:space="preserve">RNC Consulting; Tony Langoski; </t>
  </si>
  <si>
    <t>Flooding</t>
  </si>
  <si>
    <t>16a</t>
  </si>
  <si>
    <t>mg/L</t>
  </si>
  <si>
    <t>15a</t>
  </si>
  <si>
    <t>40a</t>
  </si>
  <si>
    <t>40c</t>
  </si>
  <si>
    <t>40b</t>
  </si>
  <si>
    <t>Lower Bear Creek Reservoir Outflow</t>
  </si>
  <si>
    <t>Bear Creek Reservoir (-1/2m)</t>
  </si>
  <si>
    <t>Bear Creek reservoir (-20m)</t>
  </si>
  <si>
    <t>Result</t>
  </si>
  <si>
    <t>Units</t>
  </si>
  <si>
    <t>Bear Creek Reservoir (-10m)</t>
  </si>
  <si>
    <t>BCRMORCO</t>
  </si>
  <si>
    <t>=</t>
  </si>
  <si>
    <t>Evergreen Lake 9/24/2013</t>
  </si>
  <si>
    <t>DATE</t>
  </si>
  <si>
    <t>COUNT</t>
  </si>
  <si>
    <t>Evergreen Lake September &gt; 20,650 ac-ft</t>
  </si>
  <si>
    <t>TN(res) pounds &gt;22,550</t>
  </si>
  <si>
    <t>TP(res) pounds &gt;1,650</t>
  </si>
  <si>
    <t>Fish Present</t>
  </si>
  <si>
    <t>no</t>
  </si>
  <si>
    <t>5+</t>
  </si>
  <si>
    <t>2+</t>
  </si>
  <si>
    <t>1+</t>
  </si>
  <si>
    <t>site 36 - within Summit lake</t>
  </si>
  <si>
    <t>Channel from Culvert to Pond #1</t>
  </si>
  <si>
    <t>site 36 through Culverts</t>
  </si>
  <si>
    <t>site 63 - Bottom Plume @ flow site</t>
  </si>
  <si>
    <t>site 65 - Between Pond #1 and #2</t>
  </si>
  <si>
    <t>site 37 - Bear Creek</t>
  </si>
  <si>
    <t>Site 63 - Bottom Plume Adjusted</t>
  </si>
  <si>
    <t>width Plume at 6 points = 9.5'</t>
  </si>
  <si>
    <t>Nitrate/Nitrite as N, dissolved, Pounds/month</t>
  </si>
  <si>
    <t>Ammonia Nitrogen, Pounds/month</t>
  </si>
  <si>
    <t>Total Nitrogen, Pounds/month</t>
  </si>
  <si>
    <t>Total Phosphorus, Pounds/month</t>
  </si>
  <si>
    <t>Season Totals</t>
  </si>
  <si>
    <t>Flow acre-feet/month</t>
  </si>
  <si>
    <t>Site 65 - Between Pond #1 and #2</t>
  </si>
  <si>
    <t>3a</t>
  </si>
  <si>
    <t>2a</t>
  </si>
  <si>
    <t>14a</t>
  </si>
  <si>
    <t>UNITS</t>
  </si>
  <si>
    <t>RESULT</t>
  </si>
  <si>
    <t>ANALYTE</t>
  </si>
  <si>
    <t>CLIENTID</t>
  </si>
  <si>
    <t>Description</t>
  </si>
  <si>
    <t>Bear Creek Mainstem Between Pond #1 &amp; #2</t>
  </si>
  <si>
    <t>NO2+NO3</t>
  </si>
  <si>
    <r>
      <t>Segment 1a</t>
    </r>
    <r>
      <rPr>
        <sz val="12"/>
        <rFont val="Times New Roman"/>
        <family val="1"/>
      </rPr>
      <t> </t>
    </r>
  </si>
  <si>
    <r>
      <t>Segment 1e</t>
    </r>
    <r>
      <rPr>
        <sz val="12"/>
        <rFont val="Times New Roman"/>
        <family val="1"/>
      </rPr>
      <t> </t>
    </r>
  </si>
  <si>
    <r>
      <t>Segment 3</t>
    </r>
    <r>
      <rPr>
        <sz val="12"/>
        <rFont val="Times New Roman"/>
        <family val="1"/>
      </rPr>
      <t> </t>
    </r>
  </si>
  <si>
    <r>
      <t>Segment 6b</t>
    </r>
    <r>
      <rPr>
        <sz val="12"/>
        <rFont val="Times New Roman"/>
        <family val="1"/>
      </rPr>
      <t> </t>
    </r>
  </si>
  <si>
    <r>
      <t>Segments 7 and 8</t>
    </r>
    <r>
      <rPr>
        <sz val="12"/>
        <rFont val="Times New Roman"/>
        <family val="1"/>
      </rPr>
      <t> </t>
    </r>
  </si>
  <si>
    <t>65 - Between Pond #1 &amp; #2</t>
  </si>
  <si>
    <t>66 - Between Pond #1 &amp; #2</t>
  </si>
  <si>
    <t>67 - Between Pond #1 &amp; #2</t>
  </si>
  <si>
    <t>68 - Between Pond #1 &amp; #2</t>
  </si>
  <si>
    <t>outflow</t>
  </si>
  <si>
    <t>BCRRESCO</t>
  </si>
  <si>
    <t>Segment 4a</t>
  </si>
  <si>
    <t>Stream/ Watershed/ Wastewater Treatment Facilities</t>
  </si>
  <si>
    <t>Segment 1b</t>
  </si>
  <si>
    <t>Bear Creek Reservoir 1/2m</t>
  </si>
  <si>
    <t>Segment 2</t>
  </si>
  <si>
    <t xml:space="preserve">Lower Bear Creek, concrete trace/ weir </t>
  </si>
  <si>
    <t>BCROUTCO</t>
  </si>
  <si>
    <t>CFS Morrison</t>
  </si>
  <si>
    <t>Watershed Sites</t>
  </si>
  <si>
    <t>BCR Inflow September &gt; 31,000 ac-ft</t>
  </si>
  <si>
    <t>TP(res) pounds &gt;14,000</t>
  </si>
  <si>
    <t>TN (res) pounds &gt; 82,000</t>
  </si>
  <si>
    <t>Outflow</t>
  </si>
  <si>
    <t>Retained</t>
  </si>
  <si>
    <t>Estimated Pounds Retained</t>
  </si>
  <si>
    <t>tons</t>
  </si>
  <si>
    <t>BCR</t>
  </si>
  <si>
    <t>EGL</t>
  </si>
  <si>
    <t>Month/yr.</t>
  </si>
  <si>
    <t>Turbidity</t>
  </si>
  <si>
    <t>&lt;p&gt;Warning: Javascript must be enabled to use all the features on this page! &lt;p&gt;Warning: Javascript must be enabled to use all the features on this page!</t>
  </si>
  <si>
    <t>Daily Mean Discharge, cubic feet per second</t>
  </si>
  <si>
    <r>
      <t xml:space="preserve">20 </t>
    </r>
    <r>
      <rPr>
        <vertAlign val="superscript"/>
        <sz val="10"/>
        <rFont val="Verdana"/>
        <family val="2"/>
      </rPr>
      <t>e</t>
    </r>
    <r>
      <rPr>
        <sz val="10"/>
        <rFont val="Verdana"/>
        <family val="2"/>
      </rPr>
      <t xml:space="preserve"> </t>
    </r>
    <r>
      <rPr>
        <vertAlign val="superscript"/>
        <sz val="10"/>
        <rFont val="Verdana"/>
        <family val="2"/>
      </rPr>
      <t>A</t>
    </r>
  </si>
  <si>
    <r>
      <t xml:space="preserve">5.5 </t>
    </r>
    <r>
      <rPr>
        <vertAlign val="superscript"/>
        <sz val="10"/>
        <rFont val="Verdana"/>
        <family val="2"/>
      </rPr>
      <t>e</t>
    </r>
    <r>
      <rPr>
        <sz val="10"/>
        <rFont val="Verdana"/>
        <family val="2"/>
      </rPr>
      <t xml:space="preserve"> </t>
    </r>
    <r>
      <rPr>
        <vertAlign val="superscript"/>
        <sz val="10"/>
        <rFont val="Verdana"/>
        <family val="2"/>
      </rPr>
      <t>A</t>
    </r>
  </si>
  <si>
    <r>
      <t xml:space="preserve">5.8 </t>
    </r>
    <r>
      <rPr>
        <vertAlign val="superscript"/>
        <sz val="10"/>
        <rFont val="Verdana"/>
        <family val="2"/>
      </rPr>
      <t>e</t>
    </r>
    <r>
      <rPr>
        <sz val="10"/>
        <rFont val="Verdana"/>
        <family val="2"/>
      </rPr>
      <t xml:space="preserve"> </t>
    </r>
    <r>
      <rPr>
        <vertAlign val="superscript"/>
        <sz val="10"/>
        <rFont val="Verdana"/>
        <family val="2"/>
      </rPr>
      <t>A</t>
    </r>
  </si>
  <si>
    <r>
      <t xml:space="preserve">Ice </t>
    </r>
    <r>
      <rPr>
        <vertAlign val="superscript"/>
        <sz val="10"/>
        <rFont val="Verdana"/>
        <family val="2"/>
      </rPr>
      <t>P</t>
    </r>
  </si>
  <si>
    <r>
      <t xml:space="preserve">30 </t>
    </r>
    <r>
      <rPr>
        <vertAlign val="superscript"/>
        <sz val="10"/>
        <rFont val="Verdana"/>
        <family val="2"/>
      </rPr>
      <t>P</t>
    </r>
  </si>
  <si>
    <r>
      <t xml:space="preserve">40 </t>
    </r>
    <r>
      <rPr>
        <vertAlign val="superscript"/>
        <sz val="10"/>
        <rFont val="Verdana"/>
        <family val="2"/>
      </rPr>
      <t>P</t>
    </r>
  </si>
  <si>
    <r>
      <t xml:space="preserve">23 </t>
    </r>
    <r>
      <rPr>
        <vertAlign val="superscript"/>
        <sz val="10"/>
        <rFont val="Verdana"/>
        <family val="2"/>
      </rPr>
      <t>P</t>
    </r>
  </si>
  <si>
    <r>
      <t xml:space="preserve">24 </t>
    </r>
    <r>
      <rPr>
        <vertAlign val="superscript"/>
        <sz val="10"/>
        <rFont val="Verdana"/>
        <family val="2"/>
      </rPr>
      <t>P</t>
    </r>
  </si>
  <si>
    <r>
      <t xml:space="preserve">48 </t>
    </r>
    <r>
      <rPr>
        <vertAlign val="superscript"/>
        <sz val="10"/>
        <rFont val="Verdana"/>
        <family val="2"/>
      </rPr>
      <t>P</t>
    </r>
  </si>
  <si>
    <r>
      <t xml:space="preserve">142 </t>
    </r>
    <r>
      <rPr>
        <vertAlign val="superscript"/>
        <sz val="10"/>
        <rFont val="Verdana"/>
        <family val="2"/>
      </rPr>
      <t>P</t>
    </r>
  </si>
  <si>
    <r>
      <t xml:space="preserve">46 </t>
    </r>
    <r>
      <rPr>
        <vertAlign val="superscript"/>
        <sz val="10"/>
        <rFont val="Verdana"/>
        <family val="2"/>
      </rPr>
      <t>P</t>
    </r>
  </si>
  <si>
    <r>
      <t xml:space="preserve">16 </t>
    </r>
    <r>
      <rPr>
        <vertAlign val="superscript"/>
        <sz val="10"/>
        <rFont val="Verdana"/>
        <family val="2"/>
      </rPr>
      <t>e</t>
    </r>
    <r>
      <rPr>
        <sz val="10"/>
        <rFont val="Verdana"/>
        <family val="2"/>
      </rPr>
      <t xml:space="preserve"> </t>
    </r>
    <r>
      <rPr>
        <vertAlign val="superscript"/>
        <sz val="10"/>
        <rFont val="Verdana"/>
        <family val="2"/>
      </rPr>
      <t>A</t>
    </r>
  </si>
  <si>
    <r>
      <t xml:space="preserve">5.1 </t>
    </r>
    <r>
      <rPr>
        <vertAlign val="superscript"/>
        <sz val="10"/>
        <rFont val="Verdana"/>
        <family val="2"/>
      </rPr>
      <t>e</t>
    </r>
    <r>
      <rPr>
        <sz val="10"/>
        <rFont val="Verdana"/>
        <family val="2"/>
      </rPr>
      <t xml:space="preserve"> </t>
    </r>
    <r>
      <rPr>
        <vertAlign val="superscript"/>
        <sz val="10"/>
        <rFont val="Verdana"/>
        <family val="2"/>
      </rPr>
      <t>A</t>
    </r>
  </si>
  <si>
    <r>
      <t xml:space="preserve">5.9 </t>
    </r>
    <r>
      <rPr>
        <vertAlign val="superscript"/>
        <sz val="10"/>
        <rFont val="Verdana"/>
        <family val="2"/>
      </rPr>
      <t>e</t>
    </r>
    <r>
      <rPr>
        <sz val="10"/>
        <rFont val="Verdana"/>
        <family val="2"/>
      </rPr>
      <t xml:space="preserve"> </t>
    </r>
    <r>
      <rPr>
        <vertAlign val="superscript"/>
        <sz val="10"/>
        <rFont val="Verdana"/>
        <family val="2"/>
      </rPr>
      <t>A</t>
    </r>
  </si>
  <si>
    <r>
      <t xml:space="preserve">15 </t>
    </r>
    <r>
      <rPr>
        <vertAlign val="superscript"/>
        <sz val="10"/>
        <rFont val="Verdana"/>
        <family val="2"/>
      </rPr>
      <t>P</t>
    </r>
  </si>
  <si>
    <r>
      <t xml:space="preserve">42 </t>
    </r>
    <r>
      <rPr>
        <vertAlign val="superscript"/>
        <sz val="10"/>
        <rFont val="Verdana"/>
        <family val="2"/>
      </rPr>
      <t>P</t>
    </r>
  </si>
  <si>
    <r>
      <t xml:space="preserve">28 </t>
    </r>
    <r>
      <rPr>
        <vertAlign val="superscript"/>
        <sz val="10"/>
        <rFont val="Verdana"/>
        <family val="2"/>
      </rPr>
      <t>P</t>
    </r>
  </si>
  <si>
    <r>
      <t xml:space="preserve">133 </t>
    </r>
    <r>
      <rPr>
        <vertAlign val="superscript"/>
        <sz val="10"/>
        <rFont val="Verdana"/>
        <family val="2"/>
      </rPr>
      <t>P</t>
    </r>
  </si>
  <si>
    <r>
      <t xml:space="preserve">45 </t>
    </r>
    <r>
      <rPr>
        <vertAlign val="superscript"/>
        <sz val="10"/>
        <rFont val="Verdana"/>
        <family val="2"/>
      </rPr>
      <t>P</t>
    </r>
  </si>
  <si>
    <r>
      <t xml:space="preserve">18 </t>
    </r>
    <r>
      <rPr>
        <vertAlign val="superscript"/>
        <sz val="10"/>
        <rFont val="Verdana"/>
        <family val="2"/>
      </rPr>
      <t>e</t>
    </r>
    <r>
      <rPr>
        <sz val="10"/>
        <rFont val="Verdana"/>
        <family val="2"/>
      </rPr>
      <t xml:space="preserve"> </t>
    </r>
    <r>
      <rPr>
        <vertAlign val="superscript"/>
        <sz val="10"/>
        <rFont val="Verdana"/>
        <family val="2"/>
      </rPr>
      <t>A</t>
    </r>
  </si>
  <si>
    <r>
      <t xml:space="preserve">22 </t>
    </r>
    <r>
      <rPr>
        <vertAlign val="superscript"/>
        <sz val="10"/>
        <rFont val="Verdana"/>
        <family val="2"/>
      </rPr>
      <t>P</t>
    </r>
  </si>
  <si>
    <r>
      <t xml:space="preserve">124 </t>
    </r>
    <r>
      <rPr>
        <vertAlign val="superscript"/>
        <sz val="10"/>
        <rFont val="Verdana"/>
        <family val="2"/>
      </rPr>
      <t>P</t>
    </r>
  </si>
  <si>
    <r>
      <t xml:space="preserve">14 </t>
    </r>
    <r>
      <rPr>
        <vertAlign val="superscript"/>
        <sz val="10"/>
        <rFont val="Verdana"/>
        <family val="2"/>
      </rPr>
      <t>e</t>
    </r>
    <r>
      <rPr>
        <sz val="10"/>
        <rFont val="Verdana"/>
        <family val="2"/>
      </rPr>
      <t xml:space="preserve"> </t>
    </r>
    <r>
      <rPr>
        <vertAlign val="superscript"/>
        <sz val="10"/>
        <rFont val="Verdana"/>
        <family val="2"/>
      </rPr>
      <t>A</t>
    </r>
  </si>
  <si>
    <r>
      <t xml:space="preserve">4.9 </t>
    </r>
    <r>
      <rPr>
        <vertAlign val="superscript"/>
        <sz val="10"/>
        <rFont val="Verdana"/>
        <family val="2"/>
      </rPr>
      <t>e</t>
    </r>
    <r>
      <rPr>
        <sz val="10"/>
        <rFont val="Verdana"/>
        <family val="2"/>
      </rPr>
      <t xml:space="preserve"> </t>
    </r>
    <r>
      <rPr>
        <vertAlign val="superscript"/>
        <sz val="10"/>
        <rFont val="Verdana"/>
        <family val="2"/>
      </rPr>
      <t>A</t>
    </r>
  </si>
  <si>
    <r>
      <t xml:space="preserve">6.0 </t>
    </r>
    <r>
      <rPr>
        <vertAlign val="superscript"/>
        <sz val="10"/>
        <rFont val="Verdana"/>
        <family val="2"/>
      </rPr>
      <t>e</t>
    </r>
    <r>
      <rPr>
        <sz val="10"/>
        <rFont val="Verdana"/>
        <family val="2"/>
      </rPr>
      <t xml:space="preserve"> </t>
    </r>
    <r>
      <rPr>
        <vertAlign val="superscript"/>
        <sz val="10"/>
        <rFont val="Verdana"/>
        <family val="2"/>
      </rPr>
      <t>A</t>
    </r>
  </si>
  <si>
    <r>
      <t xml:space="preserve">13 </t>
    </r>
    <r>
      <rPr>
        <vertAlign val="superscript"/>
        <sz val="10"/>
        <rFont val="Verdana"/>
        <family val="2"/>
      </rPr>
      <t>e</t>
    </r>
    <r>
      <rPr>
        <sz val="10"/>
        <rFont val="Verdana"/>
        <family val="2"/>
      </rPr>
      <t xml:space="preserve"> </t>
    </r>
    <r>
      <rPr>
        <vertAlign val="superscript"/>
        <sz val="10"/>
        <rFont val="Verdana"/>
        <family val="2"/>
      </rPr>
      <t>P</t>
    </r>
  </si>
  <si>
    <r>
      <t xml:space="preserve">26 </t>
    </r>
    <r>
      <rPr>
        <vertAlign val="superscript"/>
        <sz val="10"/>
        <rFont val="Verdana"/>
        <family val="2"/>
      </rPr>
      <t>P</t>
    </r>
  </si>
  <si>
    <r>
      <t xml:space="preserve">53 </t>
    </r>
    <r>
      <rPr>
        <vertAlign val="superscript"/>
        <sz val="10"/>
        <rFont val="Verdana"/>
        <family val="2"/>
      </rPr>
      <t>P</t>
    </r>
  </si>
  <si>
    <r>
      <t xml:space="preserve">25 </t>
    </r>
    <r>
      <rPr>
        <vertAlign val="superscript"/>
        <sz val="10"/>
        <rFont val="Verdana"/>
        <family val="2"/>
      </rPr>
      <t>P</t>
    </r>
  </si>
  <si>
    <r>
      <t xml:space="preserve">43 </t>
    </r>
    <r>
      <rPr>
        <vertAlign val="superscript"/>
        <sz val="10"/>
        <rFont val="Verdana"/>
        <family val="2"/>
      </rPr>
      <t>P</t>
    </r>
  </si>
  <si>
    <r>
      <t xml:space="preserve">13 </t>
    </r>
    <r>
      <rPr>
        <vertAlign val="superscript"/>
        <sz val="10"/>
        <rFont val="Verdana"/>
        <family val="2"/>
      </rPr>
      <t>P</t>
    </r>
  </si>
  <si>
    <r>
      <t xml:space="preserve">56 </t>
    </r>
    <r>
      <rPr>
        <vertAlign val="superscript"/>
        <sz val="10"/>
        <rFont val="Verdana"/>
        <family val="2"/>
      </rPr>
      <t>P</t>
    </r>
  </si>
  <si>
    <r>
      <t xml:space="preserve">29 </t>
    </r>
    <r>
      <rPr>
        <vertAlign val="superscript"/>
        <sz val="10"/>
        <rFont val="Verdana"/>
        <family val="2"/>
      </rPr>
      <t>P</t>
    </r>
  </si>
  <si>
    <r>
      <t xml:space="preserve">118 </t>
    </r>
    <r>
      <rPr>
        <vertAlign val="superscript"/>
        <sz val="10"/>
        <rFont val="Verdana"/>
        <family val="2"/>
      </rPr>
      <t>P</t>
    </r>
  </si>
  <si>
    <r>
      <t xml:space="preserve">11 </t>
    </r>
    <r>
      <rPr>
        <vertAlign val="superscript"/>
        <sz val="10"/>
        <rFont val="Verdana"/>
        <family val="2"/>
      </rPr>
      <t>e</t>
    </r>
    <r>
      <rPr>
        <sz val="10"/>
        <rFont val="Verdana"/>
        <family val="2"/>
      </rPr>
      <t xml:space="preserve"> </t>
    </r>
    <r>
      <rPr>
        <vertAlign val="superscript"/>
        <sz val="10"/>
        <rFont val="Verdana"/>
        <family val="2"/>
      </rPr>
      <t>A</t>
    </r>
  </si>
  <si>
    <r>
      <t xml:space="preserve">6.5 </t>
    </r>
    <r>
      <rPr>
        <vertAlign val="superscript"/>
        <sz val="10"/>
        <rFont val="Verdana"/>
        <family val="2"/>
      </rPr>
      <t>e</t>
    </r>
    <r>
      <rPr>
        <sz val="10"/>
        <rFont val="Verdana"/>
        <family val="2"/>
      </rPr>
      <t xml:space="preserve"> </t>
    </r>
    <r>
      <rPr>
        <vertAlign val="superscript"/>
        <sz val="10"/>
        <rFont val="Verdana"/>
        <family val="2"/>
      </rPr>
      <t>A</t>
    </r>
  </si>
  <si>
    <r>
      <t xml:space="preserve">5.7 </t>
    </r>
    <r>
      <rPr>
        <vertAlign val="superscript"/>
        <sz val="10"/>
        <rFont val="Verdana"/>
        <family val="2"/>
      </rPr>
      <t>e</t>
    </r>
    <r>
      <rPr>
        <sz val="10"/>
        <rFont val="Verdana"/>
        <family val="2"/>
      </rPr>
      <t xml:space="preserve"> </t>
    </r>
    <r>
      <rPr>
        <vertAlign val="superscript"/>
        <sz val="10"/>
        <rFont val="Verdana"/>
        <family val="2"/>
      </rPr>
      <t>A</t>
    </r>
  </si>
  <si>
    <r>
      <t xml:space="preserve">27 </t>
    </r>
    <r>
      <rPr>
        <vertAlign val="superscript"/>
        <sz val="10"/>
        <rFont val="Verdana"/>
        <family val="2"/>
      </rPr>
      <t>P</t>
    </r>
  </si>
  <si>
    <r>
      <t xml:space="preserve">112 </t>
    </r>
    <r>
      <rPr>
        <vertAlign val="superscript"/>
        <sz val="10"/>
        <rFont val="Verdana"/>
        <family val="2"/>
      </rPr>
      <t>P</t>
    </r>
  </si>
  <si>
    <r>
      <t xml:space="preserve">10 </t>
    </r>
    <r>
      <rPr>
        <vertAlign val="superscript"/>
        <sz val="10"/>
        <rFont val="Verdana"/>
        <family val="2"/>
      </rPr>
      <t>e</t>
    </r>
    <r>
      <rPr>
        <sz val="10"/>
        <rFont val="Verdana"/>
        <family val="2"/>
      </rPr>
      <t xml:space="preserve"> </t>
    </r>
    <r>
      <rPr>
        <vertAlign val="superscript"/>
        <sz val="10"/>
        <rFont val="Verdana"/>
        <family val="2"/>
      </rPr>
      <t>A</t>
    </r>
  </si>
  <si>
    <r>
      <t xml:space="preserve">6.4 </t>
    </r>
    <r>
      <rPr>
        <vertAlign val="superscript"/>
        <sz val="10"/>
        <rFont val="Verdana"/>
        <family val="2"/>
      </rPr>
      <t>e</t>
    </r>
    <r>
      <rPr>
        <sz val="10"/>
        <rFont val="Verdana"/>
        <family val="2"/>
      </rPr>
      <t xml:space="preserve"> </t>
    </r>
    <r>
      <rPr>
        <vertAlign val="superscript"/>
        <sz val="10"/>
        <rFont val="Verdana"/>
        <family val="2"/>
      </rPr>
      <t>A</t>
    </r>
  </si>
  <si>
    <r>
      <t xml:space="preserve">106 </t>
    </r>
    <r>
      <rPr>
        <vertAlign val="superscript"/>
        <sz val="10"/>
        <rFont val="Verdana"/>
        <family val="2"/>
      </rPr>
      <t>P</t>
    </r>
  </si>
  <si>
    <r>
      <t xml:space="preserve">7.8 </t>
    </r>
    <r>
      <rPr>
        <vertAlign val="superscript"/>
        <sz val="10"/>
        <rFont val="Verdana"/>
        <family val="2"/>
      </rPr>
      <t>e</t>
    </r>
    <r>
      <rPr>
        <sz val="10"/>
        <rFont val="Verdana"/>
        <family val="2"/>
      </rPr>
      <t xml:space="preserve"> </t>
    </r>
    <r>
      <rPr>
        <vertAlign val="superscript"/>
        <sz val="10"/>
        <rFont val="Verdana"/>
        <family val="2"/>
      </rPr>
      <t>A</t>
    </r>
  </si>
  <si>
    <r>
      <t xml:space="preserve">6.7 </t>
    </r>
    <r>
      <rPr>
        <vertAlign val="superscript"/>
        <sz val="10"/>
        <rFont val="Verdana"/>
        <family val="2"/>
      </rPr>
      <t>e</t>
    </r>
    <r>
      <rPr>
        <sz val="10"/>
        <rFont val="Verdana"/>
        <family val="2"/>
      </rPr>
      <t xml:space="preserve"> </t>
    </r>
    <r>
      <rPr>
        <vertAlign val="superscript"/>
        <sz val="10"/>
        <rFont val="Verdana"/>
        <family val="2"/>
      </rPr>
      <t>A</t>
    </r>
  </si>
  <si>
    <r>
      <t xml:space="preserve">31 </t>
    </r>
    <r>
      <rPr>
        <vertAlign val="superscript"/>
        <sz val="10"/>
        <rFont val="Verdana"/>
        <family val="2"/>
      </rPr>
      <t>P</t>
    </r>
  </si>
  <si>
    <r>
      <t xml:space="preserve">44 </t>
    </r>
    <r>
      <rPr>
        <vertAlign val="superscript"/>
        <sz val="10"/>
        <rFont val="Verdana"/>
        <family val="2"/>
      </rPr>
      <t>P</t>
    </r>
  </si>
  <si>
    <r>
      <t xml:space="preserve">39 </t>
    </r>
    <r>
      <rPr>
        <vertAlign val="superscript"/>
        <sz val="10"/>
        <rFont val="Verdana"/>
        <family val="2"/>
      </rPr>
      <t>P</t>
    </r>
  </si>
  <si>
    <r>
      <t xml:space="preserve">100 </t>
    </r>
    <r>
      <rPr>
        <vertAlign val="superscript"/>
        <sz val="10"/>
        <rFont val="Verdana"/>
        <family val="2"/>
      </rPr>
      <t>P</t>
    </r>
  </si>
  <si>
    <r>
      <t xml:space="preserve">7.5 </t>
    </r>
    <r>
      <rPr>
        <vertAlign val="superscript"/>
        <sz val="10"/>
        <rFont val="Verdana"/>
        <family val="2"/>
      </rPr>
      <t>e</t>
    </r>
    <r>
      <rPr>
        <sz val="10"/>
        <rFont val="Verdana"/>
        <family val="2"/>
      </rPr>
      <t xml:space="preserve"> </t>
    </r>
    <r>
      <rPr>
        <vertAlign val="superscript"/>
        <sz val="10"/>
        <rFont val="Verdana"/>
        <family val="2"/>
      </rPr>
      <t>A</t>
    </r>
  </si>
  <si>
    <r>
      <t xml:space="preserve">11 </t>
    </r>
    <r>
      <rPr>
        <vertAlign val="superscript"/>
        <sz val="10"/>
        <rFont val="Verdana"/>
        <family val="2"/>
      </rPr>
      <t>e</t>
    </r>
    <r>
      <rPr>
        <sz val="10"/>
        <rFont val="Verdana"/>
        <family val="2"/>
      </rPr>
      <t xml:space="preserve"> </t>
    </r>
    <r>
      <rPr>
        <vertAlign val="superscript"/>
        <sz val="10"/>
        <rFont val="Verdana"/>
        <family val="2"/>
      </rPr>
      <t>P</t>
    </r>
  </si>
  <si>
    <r>
      <t xml:space="preserve">52 </t>
    </r>
    <r>
      <rPr>
        <vertAlign val="superscript"/>
        <sz val="10"/>
        <rFont val="Verdana"/>
        <family val="2"/>
      </rPr>
      <t>P</t>
    </r>
  </si>
  <si>
    <r>
      <t xml:space="preserve">93 </t>
    </r>
    <r>
      <rPr>
        <vertAlign val="superscript"/>
        <sz val="10"/>
        <rFont val="Verdana"/>
        <family val="2"/>
      </rPr>
      <t>P</t>
    </r>
  </si>
  <si>
    <r>
      <t xml:space="preserve">41 </t>
    </r>
    <r>
      <rPr>
        <vertAlign val="superscript"/>
        <sz val="10"/>
        <rFont val="Verdana"/>
        <family val="2"/>
      </rPr>
      <t>P</t>
    </r>
  </si>
  <si>
    <r>
      <t xml:space="preserve">7.1 </t>
    </r>
    <r>
      <rPr>
        <vertAlign val="superscript"/>
        <sz val="10"/>
        <rFont val="Verdana"/>
        <family val="2"/>
      </rPr>
      <t>e</t>
    </r>
    <r>
      <rPr>
        <sz val="10"/>
        <rFont val="Verdana"/>
        <family val="2"/>
      </rPr>
      <t xml:space="preserve"> </t>
    </r>
    <r>
      <rPr>
        <vertAlign val="superscript"/>
        <sz val="10"/>
        <rFont val="Verdana"/>
        <family val="2"/>
      </rPr>
      <t>A</t>
    </r>
  </si>
  <si>
    <r>
      <t xml:space="preserve">54 </t>
    </r>
    <r>
      <rPr>
        <vertAlign val="superscript"/>
        <sz val="10"/>
        <rFont val="Verdana"/>
        <family val="2"/>
      </rPr>
      <t>P</t>
    </r>
  </si>
  <si>
    <r>
      <t xml:space="preserve">155 </t>
    </r>
    <r>
      <rPr>
        <vertAlign val="superscript"/>
        <sz val="10"/>
        <rFont val="Verdana"/>
        <family val="2"/>
      </rPr>
      <t>P</t>
    </r>
  </si>
  <si>
    <r>
      <t xml:space="preserve">91 </t>
    </r>
    <r>
      <rPr>
        <vertAlign val="superscript"/>
        <sz val="10"/>
        <rFont val="Verdana"/>
        <family val="2"/>
      </rPr>
      <t>P</t>
    </r>
  </si>
  <si>
    <r>
      <t xml:space="preserve">7.2 </t>
    </r>
    <r>
      <rPr>
        <vertAlign val="superscript"/>
        <sz val="10"/>
        <rFont val="Verdana"/>
        <family val="2"/>
      </rPr>
      <t>e</t>
    </r>
    <r>
      <rPr>
        <sz val="10"/>
        <rFont val="Verdana"/>
        <family val="2"/>
      </rPr>
      <t xml:space="preserve"> </t>
    </r>
    <r>
      <rPr>
        <vertAlign val="superscript"/>
        <sz val="10"/>
        <rFont val="Verdana"/>
        <family val="2"/>
      </rPr>
      <t>A</t>
    </r>
  </si>
  <si>
    <r>
      <t xml:space="preserve">6.6 </t>
    </r>
    <r>
      <rPr>
        <vertAlign val="superscript"/>
        <sz val="10"/>
        <rFont val="Verdana"/>
        <family val="2"/>
      </rPr>
      <t>e</t>
    </r>
    <r>
      <rPr>
        <sz val="10"/>
        <rFont val="Verdana"/>
        <family val="2"/>
      </rPr>
      <t xml:space="preserve"> </t>
    </r>
    <r>
      <rPr>
        <vertAlign val="superscript"/>
        <sz val="10"/>
        <rFont val="Verdana"/>
        <family val="2"/>
      </rPr>
      <t>A</t>
    </r>
  </si>
  <si>
    <r>
      <t xml:space="preserve">12 </t>
    </r>
    <r>
      <rPr>
        <vertAlign val="superscript"/>
        <sz val="10"/>
        <rFont val="Verdana"/>
        <family val="2"/>
      </rPr>
      <t>e</t>
    </r>
    <r>
      <rPr>
        <sz val="10"/>
        <rFont val="Verdana"/>
        <family val="2"/>
      </rPr>
      <t xml:space="preserve"> </t>
    </r>
    <r>
      <rPr>
        <vertAlign val="superscript"/>
        <sz val="10"/>
        <rFont val="Verdana"/>
        <family val="2"/>
      </rPr>
      <t>P</t>
    </r>
  </si>
  <si>
    <r>
      <t xml:space="preserve">58 </t>
    </r>
    <r>
      <rPr>
        <vertAlign val="superscript"/>
        <sz val="10"/>
        <rFont val="Verdana"/>
        <family val="2"/>
      </rPr>
      <t>P</t>
    </r>
  </si>
  <si>
    <r>
      <t xml:space="preserve">305 </t>
    </r>
    <r>
      <rPr>
        <vertAlign val="superscript"/>
        <sz val="10"/>
        <rFont val="Verdana"/>
        <family val="2"/>
      </rPr>
      <t>P</t>
    </r>
  </si>
  <si>
    <r>
      <t xml:space="preserve">86 </t>
    </r>
    <r>
      <rPr>
        <vertAlign val="superscript"/>
        <sz val="10"/>
        <rFont val="Verdana"/>
        <family val="2"/>
      </rPr>
      <t>P</t>
    </r>
  </si>
  <si>
    <r>
      <t xml:space="preserve">37 </t>
    </r>
    <r>
      <rPr>
        <vertAlign val="superscript"/>
        <sz val="10"/>
        <rFont val="Verdana"/>
        <family val="2"/>
      </rPr>
      <t>P</t>
    </r>
  </si>
  <si>
    <r>
      <t xml:space="preserve">8.1 </t>
    </r>
    <r>
      <rPr>
        <vertAlign val="superscript"/>
        <sz val="10"/>
        <rFont val="Verdana"/>
        <family val="2"/>
      </rPr>
      <t>e</t>
    </r>
    <r>
      <rPr>
        <sz val="10"/>
        <rFont val="Verdana"/>
        <family val="2"/>
      </rPr>
      <t xml:space="preserve"> </t>
    </r>
    <r>
      <rPr>
        <vertAlign val="superscript"/>
        <sz val="10"/>
        <rFont val="Verdana"/>
        <family val="2"/>
      </rPr>
      <t>A</t>
    </r>
  </si>
  <si>
    <r>
      <t xml:space="preserve">64 </t>
    </r>
    <r>
      <rPr>
        <vertAlign val="superscript"/>
        <sz val="10"/>
        <rFont val="Verdana"/>
        <family val="2"/>
      </rPr>
      <t>P</t>
    </r>
  </si>
  <si>
    <r>
      <t xml:space="preserve">38 </t>
    </r>
    <r>
      <rPr>
        <vertAlign val="superscript"/>
        <sz val="10"/>
        <rFont val="Verdana"/>
        <family val="2"/>
      </rPr>
      <t>P</t>
    </r>
  </si>
  <si>
    <r>
      <t xml:space="preserve">66 </t>
    </r>
    <r>
      <rPr>
        <vertAlign val="superscript"/>
        <sz val="10"/>
        <rFont val="Verdana"/>
        <family val="2"/>
      </rPr>
      <t>P</t>
    </r>
  </si>
  <si>
    <r>
      <t xml:space="preserve">32 </t>
    </r>
    <r>
      <rPr>
        <vertAlign val="superscript"/>
        <sz val="10"/>
        <rFont val="Verdana"/>
        <family val="2"/>
      </rPr>
      <t>P</t>
    </r>
  </si>
  <si>
    <r>
      <t xml:space="preserve">423 </t>
    </r>
    <r>
      <rPr>
        <vertAlign val="superscript"/>
        <sz val="10"/>
        <rFont val="Verdana"/>
        <family val="2"/>
      </rPr>
      <t>P</t>
    </r>
  </si>
  <si>
    <r>
      <t xml:space="preserve">82 </t>
    </r>
    <r>
      <rPr>
        <vertAlign val="superscript"/>
        <sz val="10"/>
        <rFont val="Verdana"/>
        <family val="2"/>
      </rPr>
      <t>P</t>
    </r>
  </si>
  <si>
    <r>
      <t xml:space="preserve">9.3 </t>
    </r>
    <r>
      <rPr>
        <vertAlign val="superscript"/>
        <sz val="10"/>
        <rFont val="Verdana"/>
        <family val="2"/>
      </rPr>
      <t>e</t>
    </r>
    <r>
      <rPr>
        <sz val="10"/>
        <rFont val="Verdana"/>
        <family val="2"/>
      </rPr>
      <t xml:space="preserve"> </t>
    </r>
    <r>
      <rPr>
        <vertAlign val="superscript"/>
        <sz val="10"/>
        <rFont val="Verdana"/>
        <family val="2"/>
      </rPr>
      <t>A</t>
    </r>
  </si>
  <si>
    <r>
      <t xml:space="preserve">6.1 </t>
    </r>
    <r>
      <rPr>
        <vertAlign val="superscript"/>
        <sz val="10"/>
        <rFont val="Verdana"/>
        <family val="2"/>
      </rPr>
      <t>e</t>
    </r>
    <r>
      <rPr>
        <sz val="10"/>
        <rFont val="Verdana"/>
        <family val="2"/>
      </rPr>
      <t xml:space="preserve"> </t>
    </r>
    <r>
      <rPr>
        <vertAlign val="superscript"/>
        <sz val="10"/>
        <rFont val="Verdana"/>
        <family val="2"/>
      </rPr>
      <t>A</t>
    </r>
  </si>
  <si>
    <r>
      <t xml:space="preserve">78 </t>
    </r>
    <r>
      <rPr>
        <vertAlign val="superscript"/>
        <sz val="10"/>
        <rFont val="Verdana"/>
        <family val="2"/>
      </rPr>
      <t>P</t>
    </r>
  </si>
  <si>
    <r>
      <t xml:space="preserve">36 </t>
    </r>
    <r>
      <rPr>
        <vertAlign val="superscript"/>
        <sz val="10"/>
        <rFont val="Verdana"/>
        <family val="2"/>
      </rPr>
      <t>P</t>
    </r>
  </si>
  <si>
    <r>
      <t xml:space="preserve">1,140 </t>
    </r>
    <r>
      <rPr>
        <vertAlign val="superscript"/>
        <sz val="10"/>
        <rFont val="Verdana"/>
        <family val="2"/>
      </rPr>
      <t>P</t>
    </r>
  </si>
  <si>
    <r>
      <t xml:space="preserve">80 </t>
    </r>
    <r>
      <rPr>
        <vertAlign val="superscript"/>
        <sz val="10"/>
        <rFont val="Verdana"/>
        <family val="2"/>
      </rPr>
      <t>P</t>
    </r>
  </si>
  <si>
    <r>
      <t xml:space="preserve">9.5 </t>
    </r>
    <r>
      <rPr>
        <vertAlign val="superscript"/>
        <sz val="10"/>
        <rFont val="Verdana"/>
        <family val="2"/>
      </rPr>
      <t>e</t>
    </r>
    <r>
      <rPr>
        <sz val="10"/>
        <rFont val="Verdana"/>
        <family val="2"/>
      </rPr>
      <t xml:space="preserve"> </t>
    </r>
    <r>
      <rPr>
        <vertAlign val="superscript"/>
        <sz val="10"/>
        <rFont val="Verdana"/>
        <family val="2"/>
      </rPr>
      <t>A</t>
    </r>
  </si>
  <si>
    <r>
      <t xml:space="preserve">6.2 </t>
    </r>
    <r>
      <rPr>
        <vertAlign val="superscript"/>
        <sz val="10"/>
        <rFont val="Verdana"/>
        <family val="2"/>
      </rPr>
      <t>e</t>
    </r>
    <r>
      <rPr>
        <sz val="10"/>
        <rFont val="Verdana"/>
        <family val="2"/>
      </rPr>
      <t xml:space="preserve"> </t>
    </r>
    <r>
      <rPr>
        <vertAlign val="superscript"/>
        <sz val="10"/>
        <rFont val="Verdana"/>
        <family val="2"/>
      </rPr>
      <t>A</t>
    </r>
  </si>
  <si>
    <r>
      <t xml:space="preserve">10 </t>
    </r>
    <r>
      <rPr>
        <vertAlign val="superscript"/>
        <sz val="10"/>
        <rFont val="Verdana"/>
        <family val="2"/>
      </rPr>
      <t>e</t>
    </r>
    <r>
      <rPr>
        <sz val="10"/>
        <rFont val="Verdana"/>
        <family val="2"/>
      </rPr>
      <t xml:space="preserve"> </t>
    </r>
    <r>
      <rPr>
        <vertAlign val="superscript"/>
        <sz val="10"/>
        <rFont val="Verdana"/>
        <family val="2"/>
      </rPr>
      <t>P</t>
    </r>
  </si>
  <si>
    <r>
      <t xml:space="preserve">94 </t>
    </r>
    <r>
      <rPr>
        <vertAlign val="superscript"/>
        <sz val="10"/>
        <rFont val="Verdana"/>
        <family val="2"/>
      </rPr>
      <t>P</t>
    </r>
  </si>
  <si>
    <r>
      <t xml:space="preserve">34 </t>
    </r>
    <r>
      <rPr>
        <vertAlign val="superscript"/>
        <sz val="10"/>
        <rFont val="Verdana"/>
        <family val="2"/>
      </rPr>
      <t>P</t>
    </r>
  </si>
  <si>
    <r>
      <t xml:space="preserve">49 </t>
    </r>
    <r>
      <rPr>
        <vertAlign val="superscript"/>
        <sz val="10"/>
        <rFont val="Verdana"/>
        <family val="2"/>
      </rPr>
      <t>P</t>
    </r>
  </si>
  <si>
    <r>
      <t xml:space="preserve">844 </t>
    </r>
    <r>
      <rPr>
        <vertAlign val="superscript"/>
        <sz val="10"/>
        <rFont val="Verdana"/>
        <family val="2"/>
      </rPr>
      <t>P</t>
    </r>
  </si>
  <si>
    <r>
      <t xml:space="preserve">77 </t>
    </r>
    <r>
      <rPr>
        <vertAlign val="superscript"/>
        <sz val="10"/>
        <rFont val="Verdana"/>
        <family val="2"/>
      </rPr>
      <t>P</t>
    </r>
  </si>
  <si>
    <r>
      <t xml:space="preserve">23 </t>
    </r>
    <r>
      <rPr>
        <vertAlign val="superscript"/>
        <sz val="10"/>
        <rFont val="Verdana"/>
        <family val="2"/>
      </rPr>
      <t>e</t>
    </r>
    <r>
      <rPr>
        <sz val="10"/>
        <rFont val="Verdana"/>
        <family val="2"/>
      </rPr>
      <t xml:space="preserve"> </t>
    </r>
    <r>
      <rPr>
        <vertAlign val="superscript"/>
        <sz val="10"/>
        <rFont val="Verdana"/>
        <family val="2"/>
      </rPr>
      <t>A</t>
    </r>
  </si>
  <si>
    <r>
      <t xml:space="preserve">9.8 </t>
    </r>
    <r>
      <rPr>
        <vertAlign val="superscript"/>
        <sz val="10"/>
        <rFont val="Verdana"/>
        <family val="2"/>
      </rPr>
      <t>e</t>
    </r>
    <r>
      <rPr>
        <sz val="10"/>
        <rFont val="Verdana"/>
        <family val="2"/>
      </rPr>
      <t xml:space="preserve"> </t>
    </r>
    <r>
      <rPr>
        <vertAlign val="superscript"/>
        <sz val="10"/>
        <rFont val="Verdana"/>
        <family val="2"/>
      </rPr>
      <t>A</t>
    </r>
  </si>
  <si>
    <r>
      <t xml:space="preserve">9.4 </t>
    </r>
    <r>
      <rPr>
        <vertAlign val="superscript"/>
        <sz val="10"/>
        <rFont val="Verdana"/>
        <family val="2"/>
      </rPr>
      <t>e</t>
    </r>
    <r>
      <rPr>
        <sz val="10"/>
        <rFont val="Verdana"/>
        <family val="2"/>
      </rPr>
      <t xml:space="preserve"> </t>
    </r>
    <r>
      <rPr>
        <vertAlign val="superscript"/>
        <sz val="10"/>
        <rFont val="Verdana"/>
        <family val="2"/>
      </rPr>
      <t>P</t>
    </r>
  </si>
  <si>
    <r>
      <t xml:space="preserve">99 </t>
    </r>
    <r>
      <rPr>
        <vertAlign val="superscript"/>
        <sz val="10"/>
        <rFont val="Verdana"/>
        <family val="2"/>
      </rPr>
      <t>P</t>
    </r>
  </si>
  <si>
    <r>
      <t xml:space="preserve">968 </t>
    </r>
    <r>
      <rPr>
        <vertAlign val="superscript"/>
        <sz val="10"/>
        <rFont val="Verdana"/>
        <family val="2"/>
      </rPr>
      <t>P</t>
    </r>
  </si>
  <si>
    <r>
      <t xml:space="preserve">74 </t>
    </r>
    <r>
      <rPr>
        <vertAlign val="superscript"/>
        <sz val="10"/>
        <rFont val="Verdana"/>
        <family val="2"/>
      </rPr>
      <t>P</t>
    </r>
  </si>
  <si>
    <r>
      <t xml:space="preserve">22 </t>
    </r>
    <r>
      <rPr>
        <vertAlign val="superscript"/>
        <sz val="10"/>
        <rFont val="Verdana"/>
        <family val="2"/>
      </rPr>
      <t>e</t>
    </r>
    <r>
      <rPr>
        <sz val="10"/>
        <rFont val="Verdana"/>
        <family val="2"/>
      </rPr>
      <t xml:space="preserve"> </t>
    </r>
    <r>
      <rPr>
        <vertAlign val="superscript"/>
        <sz val="10"/>
        <rFont val="Verdana"/>
        <family val="2"/>
      </rPr>
      <t>A</t>
    </r>
  </si>
  <si>
    <r>
      <t xml:space="preserve">9.6 </t>
    </r>
    <r>
      <rPr>
        <vertAlign val="superscript"/>
        <sz val="10"/>
        <rFont val="Verdana"/>
        <family val="2"/>
      </rPr>
      <t>e</t>
    </r>
    <r>
      <rPr>
        <sz val="10"/>
        <rFont val="Verdana"/>
        <family val="2"/>
      </rPr>
      <t xml:space="preserve"> </t>
    </r>
    <r>
      <rPr>
        <vertAlign val="superscript"/>
        <sz val="10"/>
        <rFont val="Verdana"/>
        <family val="2"/>
      </rPr>
      <t>A</t>
    </r>
  </si>
  <si>
    <r>
      <t xml:space="preserve">9.3 </t>
    </r>
    <r>
      <rPr>
        <vertAlign val="superscript"/>
        <sz val="10"/>
        <rFont val="Verdana"/>
        <family val="2"/>
      </rPr>
      <t>e</t>
    </r>
    <r>
      <rPr>
        <sz val="10"/>
        <rFont val="Verdana"/>
        <family val="2"/>
      </rPr>
      <t xml:space="preserve"> </t>
    </r>
    <r>
      <rPr>
        <vertAlign val="superscript"/>
        <sz val="10"/>
        <rFont val="Verdana"/>
        <family val="2"/>
      </rPr>
      <t>P</t>
    </r>
  </si>
  <si>
    <r>
      <t xml:space="preserve">33 </t>
    </r>
    <r>
      <rPr>
        <vertAlign val="superscript"/>
        <sz val="10"/>
        <rFont val="Verdana"/>
        <family val="2"/>
      </rPr>
      <t>P</t>
    </r>
  </si>
  <si>
    <r>
      <t xml:space="preserve">1,020 </t>
    </r>
    <r>
      <rPr>
        <vertAlign val="superscript"/>
        <sz val="10"/>
        <rFont val="Verdana"/>
        <family val="2"/>
      </rPr>
      <t>P</t>
    </r>
  </si>
  <si>
    <r>
      <t xml:space="preserve">72 </t>
    </r>
    <r>
      <rPr>
        <vertAlign val="superscript"/>
        <sz val="10"/>
        <rFont val="Verdana"/>
        <family val="2"/>
      </rPr>
      <t>P</t>
    </r>
  </si>
  <si>
    <r>
      <t xml:space="preserve">9.9 </t>
    </r>
    <r>
      <rPr>
        <vertAlign val="superscript"/>
        <sz val="10"/>
        <rFont val="Verdana"/>
        <family val="2"/>
      </rPr>
      <t>e</t>
    </r>
    <r>
      <rPr>
        <sz val="10"/>
        <rFont val="Verdana"/>
        <family val="2"/>
      </rPr>
      <t xml:space="preserve"> </t>
    </r>
    <r>
      <rPr>
        <vertAlign val="superscript"/>
        <sz val="10"/>
        <rFont val="Verdana"/>
        <family val="2"/>
      </rPr>
      <t>A</t>
    </r>
  </si>
  <si>
    <r>
      <t xml:space="preserve">108 </t>
    </r>
    <r>
      <rPr>
        <vertAlign val="superscript"/>
        <sz val="10"/>
        <rFont val="Verdana"/>
        <family val="2"/>
      </rPr>
      <t>P</t>
    </r>
  </si>
  <si>
    <r>
      <t xml:space="preserve">781 </t>
    </r>
    <r>
      <rPr>
        <vertAlign val="superscript"/>
        <sz val="10"/>
        <rFont val="Verdana"/>
        <family val="2"/>
      </rPr>
      <t>P</t>
    </r>
  </si>
  <si>
    <r>
      <t xml:space="preserve">68 </t>
    </r>
    <r>
      <rPr>
        <vertAlign val="superscript"/>
        <sz val="10"/>
        <rFont val="Verdana"/>
        <family val="2"/>
      </rPr>
      <t>P</t>
    </r>
  </si>
  <si>
    <r>
      <t xml:space="preserve">9.7 </t>
    </r>
    <r>
      <rPr>
        <vertAlign val="superscript"/>
        <sz val="10"/>
        <rFont val="Verdana"/>
        <family val="2"/>
      </rPr>
      <t>e</t>
    </r>
    <r>
      <rPr>
        <sz val="10"/>
        <rFont val="Verdana"/>
        <family val="2"/>
      </rPr>
      <t xml:space="preserve"> </t>
    </r>
    <r>
      <rPr>
        <vertAlign val="superscript"/>
        <sz val="10"/>
        <rFont val="Verdana"/>
        <family val="2"/>
      </rPr>
      <t>A</t>
    </r>
  </si>
  <si>
    <r>
      <t xml:space="preserve">105 </t>
    </r>
    <r>
      <rPr>
        <vertAlign val="superscript"/>
        <sz val="10"/>
        <rFont val="Verdana"/>
        <family val="2"/>
      </rPr>
      <t>P</t>
    </r>
  </si>
  <si>
    <r>
      <t xml:space="preserve">618 </t>
    </r>
    <r>
      <rPr>
        <vertAlign val="superscript"/>
        <sz val="10"/>
        <rFont val="Verdana"/>
        <family val="2"/>
      </rPr>
      <t>P</t>
    </r>
  </si>
  <si>
    <r>
      <t xml:space="preserve">13 </t>
    </r>
    <r>
      <rPr>
        <vertAlign val="superscript"/>
        <sz val="10"/>
        <rFont val="Verdana"/>
        <family val="2"/>
      </rPr>
      <t>e</t>
    </r>
    <r>
      <rPr>
        <sz val="10"/>
        <rFont val="Verdana"/>
        <family val="2"/>
      </rPr>
      <t xml:space="preserve"> </t>
    </r>
    <r>
      <rPr>
        <vertAlign val="superscript"/>
        <sz val="10"/>
        <rFont val="Verdana"/>
        <family val="2"/>
      </rPr>
      <t>A</t>
    </r>
  </si>
  <si>
    <r>
      <t xml:space="preserve">8.0 </t>
    </r>
    <r>
      <rPr>
        <vertAlign val="superscript"/>
        <sz val="10"/>
        <rFont val="Verdana"/>
        <family val="2"/>
      </rPr>
      <t>e</t>
    </r>
    <r>
      <rPr>
        <sz val="10"/>
        <rFont val="Verdana"/>
        <family val="2"/>
      </rPr>
      <t xml:space="preserve"> </t>
    </r>
    <r>
      <rPr>
        <vertAlign val="superscript"/>
        <sz val="10"/>
        <rFont val="Verdana"/>
        <family val="2"/>
      </rPr>
      <t>A</t>
    </r>
  </si>
  <si>
    <r>
      <t xml:space="preserve">76 </t>
    </r>
    <r>
      <rPr>
        <vertAlign val="superscript"/>
        <sz val="10"/>
        <rFont val="Verdana"/>
        <family val="2"/>
      </rPr>
      <t>P</t>
    </r>
  </si>
  <si>
    <r>
      <t xml:space="preserve">506 </t>
    </r>
    <r>
      <rPr>
        <vertAlign val="superscript"/>
        <sz val="10"/>
        <rFont val="Verdana"/>
        <family val="2"/>
      </rPr>
      <t>P</t>
    </r>
  </si>
  <si>
    <r>
      <t xml:space="preserve">7.3 </t>
    </r>
    <r>
      <rPr>
        <vertAlign val="superscript"/>
        <sz val="10"/>
        <rFont val="Verdana"/>
        <family val="2"/>
      </rPr>
      <t>e</t>
    </r>
    <r>
      <rPr>
        <sz val="10"/>
        <rFont val="Verdana"/>
        <family val="2"/>
      </rPr>
      <t xml:space="preserve"> </t>
    </r>
    <r>
      <rPr>
        <vertAlign val="superscript"/>
        <sz val="10"/>
        <rFont val="Verdana"/>
        <family val="2"/>
      </rPr>
      <t>A</t>
    </r>
  </si>
  <si>
    <r>
      <t xml:space="preserve">70 </t>
    </r>
    <r>
      <rPr>
        <vertAlign val="superscript"/>
        <sz val="10"/>
        <rFont val="Verdana"/>
        <family val="2"/>
      </rPr>
      <t>P</t>
    </r>
  </si>
  <si>
    <r>
      <t xml:space="preserve">438 </t>
    </r>
    <r>
      <rPr>
        <vertAlign val="superscript"/>
        <sz val="10"/>
        <rFont val="Verdana"/>
        <family val="2"/>
      </rPr>
      <t>P</t>
    </r>
  </si>
  <si>
    <r>
      <t xml:space="preserve">7.0 </t>
    </r>
    <r>
      <rPr>
        <vertAlign val="superscript"/>
        <sz val="10"/>
        <rFont val="Verdana"/>
        <family val="2"/>
      </rPr>
      <t>e</t>
    </r>
    <r>
      <rPr>
        <sz val="10"/>
        <rFont val="Verdana"/>
        <family val="2"/>
      </rPr>
      <t xml:space="preserve"> </t>
    </r>
    <r>
      <rPr>
        <vertAlign val="superscript"/>
        <sz val="10"/>
        <rFont val="Verdana"/>
        <family val="2"/>
      </rPr>
      <t>A</t>
    </r>
  </si>
  <si>
    <r>
      <t xml:space="preserve">61 </t>
    </r>
    <r>
      <rPr>
        <vertAlign val="superscript"/>
        <sz val="10"/>
        <rFont val="Verdana"/>
        <family val="2"/>
      </rPr>
      <t>P</t>
    </r>
  </si>
  <si>
    <r>
      <t xml:space="preserve">385 </t>
    </r>
    <r>
      <rPr>
        <vertAlign val="superscript"/>
        <sz val="10"/>
        <rFont val="Verdana"/>
        <family val="2"/>
      </rPr>
      <t>P</t>
    </r>
  </si>
  <si>
    <r>
      <t xml:space="preserve">62 </t>
    </r>
    <r>
      <rPr>
        <vertAlign val="superscript"/>
        <sz val="10"/>
        <rFont val="Verdana"/>
        <family val="2"/>
      </rPr>
      <t>P</t>
    </r>
  </si>
  <si>
    <r>
      <t xml:space="preserve">5.3 </t>
    </r>
    <r>
      <rPr>
        <vertAlign val="superscript"/>
        <sz val="10"/>
        <rFont val="Verdana"/>
        <family val="2"/>
      </rPr>
      <t>e</t>
    </r>
    <r>
      <rPr>
        <sz val="10"/>
        <rFont val="Verdana"/>
        <family val="2"/>
      </rPr>
      <t xml:space="preserve"> </t>
    </r>
    <r>
      <rPr>
        <vertAlign val="superscript"/>
        <sz val="10"/>
        <rFont val="Verdana"/>
        <family val="2"/>
      </rPr>
      <t>A</t>
    </r>
  </si>
  <si>
    <r>
      <t xml:space="preserve">5.6 </t>
    </r>
    <r>
      <rPr>
        <vertAlign val="superscript"/>
        <sz val="10"/>
        <rFont val="Verdana"/>
        <family val="2"/>
      </rPr>
      <t>e</t>
    </r>
    <r>
      <rPr>
        <sz val="10"/>
        <rFont val="Verdana"/>
        <family val="2"/>
      </rPr>
      <t xml:space="preserve"> </t>
    </r>
    <r>
      <rPr>
        <vertAlign val="superscript"/>
        <sz val="10"/>
        <rFont val="Verdana"/>
        <family val="2"/>
      </rPr>
      <t>A</t>
    </r>
  </si>
  <si>
    <r>
      <t xml:space="preserve">15 </t>
    </r>
    <r>
      <rPr>
        <vertAlign val="superscript"/>
        <sz val="10"/>
        <rFont val="Verdana"/>
        <family val="2"/>
      </rPr>
      <t>e</t>
    </r>
    <r>
      <rPr>
        <sz val="10"/>
        <rFont val="Verdana"/>
        <family val="2"/>
      </rPr>
      <t xml:space="preserve"> </t>
    </r>
    <r>
      <rPr>
        <vertAlign val="superscript"/>
        <sz val="10"/>
        <rFont val="Verdana"/>
        <family val="2"/>
      </rPr>
      <t>P</t>
    </r>
  </si>
  <si>
    <r>
      <t xml:space="preserve">63 </t>
    </r>
    <r>
      <rPr>
        <vertAlign val="superscript"/>
        <sz val="10"/>
        <rFont val="Verdana"/>
        <family val="2"/>
      </rPr>
      <t>P</t>
    </r>
  </si>
  <si>
    <r>
      <t xml:space="preserve">342 </t>
    </r>
    <r>
      <rPr>
        <vertAlign val="superscript"/>
        <sz val="10"/>
        <rFont val="Verdana"/>
        <family val="2"/>
      </rPr>
      <t>P</t>
    </r>
  </si>
  <si>
    <r>
      <t xml:space="preserve">59 </t>
    </r>
    <r>
      <rPr>
        <vertAlign val="superscript"/>
        <sz val="10"/>
        <rFont val="Verdana"/>
        <family val="2"/>
      </rPr>
      <t>P</t>
    </r>
  </si>
  <si>
    <r>
      <t xml:space="preserve">17 </t>
    </r>
    <r>
      <rPr>
        <vertAlign val="superscript"/>
        <sz val="10"/>
        <rFont val="Verdana"/>
        <family val="2"/>
      </rPr>
      <t>e</t>
    </r>
    <r>
      <rPr>
        <sz val="10"/>
        <rFont val="Verdana"/>
        <family val="2"/>
      </rPr>
      <t xml:space="preserve"> </t>
    </r>
    <r>
      <rPr>
        <vertAlign val="superscript"/>
        <sz val="10"/>
        <rFont val="Verdana"/>
        <family val="2"/>
      </rPr>
      <t>A</t>
    </r>
  </si>
  <si>
    <r>
      <t xml:space="preserve">5.0 </t>
    </r>
    <r>
      <rPr>
        <vertAlign val="superscript"/>
        <sz val="10"/>
        <rFont val="Verdana"/>
        <family val="2"/>
      </rPr>
      <t>e</t>
    </r>
    <r>
      <rPr>
        <sz val="10"/>
        <rFont val="Verdana"/>
        <family val="2"/>
      </rPr>
      <t xml:space="preserve"> </t>
    </r>
    <r>
      <rPr>
        <vertAlign val="superscript"/>
        <sz val="10"/>
        <rFont val="Verdana"/>
        <family val="2"/>
      </rPr>
      <t>A</t>
    </r>
  </si>
  <si>
    <r>
      <t xml:space="preserve">14 </t>
    </r>
    <r>
      <rPr>
        <vertAlign val="superscript"/>
        <sz val="10"/>
        <rFont val="Verdana"/>
        <family val="2"/>
      </rPr>
      <t>e</t>
    </r>
    <r>
      <rPr>
        <sz val="10"/>
        <rFont val="Verdana"/>
        <family val="2"/>
      </rPr>
      <t xml:space="preserve"> </t>
    </r>
    <r>
      <rPr>
        <vertAlign val="superscript"/>
        <sz val="10"/>
        <rFont val="Verdana"/>
        <family val="2"/>
      </rPr>
      <t>P</t>
    </r>
  </si>
  <si>
    <r>
      <t xml:space="preserve">21 </t>
    </r>
    <r>
      <rPr>
        <vertAlign val="superscript"/>
        <sz val="10"/>
        <rFont val="Verdana"/>
        <family val="2"/>
      </rPr>
      <t>P</t>
    </r>
  </si>
  <si>
    <r>
      <t xml:space="preserve">313 </t>
    </r>
    <r>
      <rPr>
        <vertAlign val="superscript"/>
        <sz val="10"/>
        <rFont val="Verdana"/>
        <family val="2"/>
      </rPr>
      <t>P</t>
    </r>
  </si>
  <si>
    <r>
      <t xml:space="preserve">17 </t>
    </r>
    <r>
      <rPr>
        <vertAlign val="superscript"/>
        <sz val="10"/>
        <rFont val="Verdana"/>
        <family val="2"/>
      </rPr>
      <t>P</t>
    </r>
  </si>
  <si>
    <r>
      <t xml:space="preserve">79 </t>
    </r>
    <r>
      <rPr>
        <vertAlign val="superscript"/>
        <sz val="10"/>
        <rFont val="Verdana"/>
        <family val="2"/>
      </rPr>
      <t>P</t>
    </r>
  </si>
  <si>
    <r>
      <t xml:space="preserve">264 </t>
    </r>
    <r>
      <rPr>
        <vertAlign val="superscript"/>
        <sz val="10"/>
        <rFont val="Verdana"/>
        <family val="2"/>
      </rPr>
      <t>P</t>
    </r>
  </si>
  <si>
    <r>
      <t xml:space="preserve">5.4 </t>
    </r>
    <r>
      <rPr>
        <vertAlign val="superscript"/>
        <sz val="10"/>
        <rFont val="Verdana"/>
        <family val="2"/>
      </rPr>
      <t>e</t>
    </r>
    <r>
      <rPr>
        <sz val="10"/>
        <rFont val="Verdana"/>
        <family val="2"/>
      </rPr>
      <t xml:space="preserve"> </t>
    </r>
    <r>
      <rPr>
        <vertAlign val="superscript"/>
        <sz val="10"/>
        <rFont val="Verdana"/>
        <family val="2"/>
      </rPr>
      <t>A</t>
    </r>
  </si>
  <si>
    <r>
      <t xml:space="preserve">238 </t>
    </r>
    <r>
      <rPr>
        <vertAlign val="superscript"/>
        <sz val="10"/>
        <rFont val="Verdana"/>
        <family val="2"/>
      </rPr>
      <t>P</t>
    </r>
  </si>
  <si>
    <r>
      <t xml:space="preserve">16 </t>
    </r>
    <r>
      <rPr>
        <vertAlign val="superscript"/>
        <sz val="10"/>
        <rFont val="Verdana"/>
        <family val="2"/>
      </rPr>
      <t>P</t>
    </r>
  </si>
  <si>
    <r>
      <t xml:space="preserve">214 </t>
    </r>
    <r>
      <rPr>
        <vertAlign val="superscript"/>
        <sz val="10"/>
        <rFont val="Verdana"/>
        <family val="2"/>
      </rPr>
      <t>P</t>
    </r>
  </si>
  <si>
    <r>
      <t xml:space="preserve">19 </t>
    </r>
    <r>
      <rPr>
        <vertAlign val="superscript"/>
        <sz val="10"/>
        <rFont val="Verdana"/>
        <family val="2"/>
      </rPr>
      <t>e</t>
    </r>
    <r>
      <rPr>
        <sz val="10"/>
        <rFont val="Verdana"/>
        <family val="2"/>
      </rPr>
      <t xml:space="preserve"> </t>
    </r>
    <r>
      <rPr>
        <vertAlign val="superscript"/>
        <sz val="10"/>
        <rFont val="Verdana"/>
        <family val="2"/>
      </rPr>
      <t>A</t>
    </r>
  </si>
  <si>
    <r>
      <t xml:space="preserve">69 </t>
    </r>
    <r>
      <rPr>
        <vertAlign val="superscript"/>
        <sz val="10"/>
        <rFont val="Verdana"/>
        <family val="2"/>
      </rPr>
      <t>P</t>
    </r>
  </si>
  <si>
    <r>
      <t xml:space="preserve">51 </t>
    </r>
    <r>
      <rPr>
        <vertAlign val="superscript"/>
        <sz val="10"/>
        <rFont val="Verdana"/>
        <family val="2"/>
      </rPr>
      <t>P</t>
    </r>
  </si>
  <si>
    <r>
      <t xml:space="preserve">203 </t>
    </r>
    <r>
      <rPr>
        <vertAlign val="superscript"/>
        <sz val="10"/>
        <rFont val="Verdana"/>
        <family val="2"/>
      </rPr>
      <t>P</t>
    </r>
  </si>
  <si>
    <r>
      <t xml:space="preserve">6.3 </t>
    </r>
    <r>
      <rPr>
        <vertAlign val="superscript"/>
        <sz val="10"/>
        <rFont val="Verdana"/>
        <family val="2"/>
      </rPr>
      <t>e</t>
    </r>
    <r>
      <rPr>
        <sz val="10"/>
        <rFont val="Verdana"/>
        <family val="2"/>
      </rPr>
      <t xml:space="preserve"> </t>
    </r>
    <r>
      <rPr>
        <vertAlign val="superscript"/>
        <sz val="10"/>
        <rFont val="Verdana"/>
        <family val="2"/>
      </rPr>
      <t>A</t>
    </r>
  </si>
  <si>
    <r>
      <t xml:space="preserve">186 </t>
    </r>
    <r>
      <rPr>
        <vertAlign val="superscript"/>
        <sz val="10"/>
        <rFont val="Verdana"/>
        <family val="2"/>
      </rPr>
      <t>P</t>
    </r>
  </si>
  <si>
    <r>
      <t xml:space="preserve">50 </t>
    </r>
    <r>
      <rPr>
        <vertAlign val="superscript"/>
        <sz val="10"/>
        <rFont val="Verdana"/>
        <family val="2"/>
      </rPr>
      <t>P</t>
    </r>
  </si>
  <si>
    <r>
      <t xml:space="preserve">169 </t>
    </r>
    <r>
      <rPr>
        <vertAlign val="superscript"/>
        <sz val="10"/>
        <rFont val="Verdana"/>
        <family val="2"/>
      </rPr>
      <t>P</t>
    </r>
  </si>
  <si>
    <r>
      <t xml:space="preserve">47 </t>
    </r>
    <r>
      <rPr>
        <vertAlign val="superscript"/>
        <sz val="10"/>
        <rFont val="Verdana"/>
        <family val="2"/>
      </rPr>
      <t>P</t>
    </r>
  </si>
  <si>
    <t>Ice</t>
  </si>
  <si>
    <t>daily discharge</t>
  </si>
  <si>
    <t>ssc</t>
  </si>
  <si>
    <t>turb power</t>
  </si>
  <si>
    <t>SSD tons/day</t>
  </si>
  <si>
    <t>Sept</t>
  </si>
  <si>
    <t>Tons</t>
  </si>
  <si>
    <t>cubic yards</t>
  </si>
  <si>
    <t>SSL Tons</t>
  </si>
  <si>
    <t>SSL cubic yards</t>
  </si>
  <si>
    <t>TSS Based</t>
  </si>
  <si>
    <t>tons/day</t>
  </si>
  <si>
    <t>Bedload</t>
  </si>
  <si>
    <t>CFS</t>
  </si>
  <si>
    <t>Cubic-yards</t>
  </si>
  <si>
    <t>BCR Ac-Ft</t>
  </si>
  <si>
    <t>Policy 14</t>
  </si>
  <si>
    <t>Policy 13 Master Plan</t>
  </si>
  <si>
    <t>Flood recovery</t>
  </si>
  <si>
    <t>cu-yds/day</t>
  </si>
  <si>
    <t>Bedload 12 times</t>
  </si>
  <si>
    <t>None</t>
  </si>
  <si>
    <t>Ice sheet</t>
  </si>
  <si>
    <t>Reservoir 1932 ac-ft</t>
  </si>
  <si>
    <t>Notes 13 cfs Evergreen;  25 cfs Morrrison; Park ca. 15 cfs; 21 cfs outflow;  31.9 cfs Sheridan</t>
  </si>
  <si>
    <t>Policy 21</t>
  </si>
  <si>
    <t>cost per set with filtration = $100</t>
  </si>
  <si>
    <t>filtration</t>
  </si>
  <si>
    <t>5% Contingency</t>
  </si>
  <si>
    <t>Site 32</t>
  </si>
  <si>
    <r>
      <t>Segment 1b</t>
    </r>
    <r>
      <rPr>
        <sz val="12"/>
        <rFont val="Times New Roman"/>
        <family val="1"/>
      </rPr>
      <t> </t>
    </r>
  </si>
  <si>
    <r>
      <t>Segment 1d</t>
    </r>
    <r>
      <rPr>
        <sz val="12"/>
        <rFont val="Times New Roman"/>
        <family val="1"/>
      </rPr>
      <t> </t>
    </r>
  </si>
  <si>
    <r>
      <t>Segment 2</t>
    </r>
    <r>
      <rPr>
        <sz val="12"/>
        <rFont val="Times New Roman"/>
        <family val="1"/>
      </rPr>
      <t> </t>
    </r>
  </si>
  <si>
    <r>
      <t>Segment 4a</t>
    </r>
    <r>
      <rPr>
        <sz val="12"/>
        <rFont val="Times New Roman"/>
        <family val="1"/>
      </rPr>
      <t> </t>
    </r>
  </si>
  <si>
    <r>
      <t>Segment 5</t>
    </r>
    <r>
      <rPr>
        <sz val="12"/>
        <rFont val="Times New Roman"/>
        <family val="1"/>
      </rPr>
      <t> </t>
    </r>
  </si>
  <si>
    <t>WWTF Site 24</t>
  </si>
  <si>
    <t>DNR</t>
  </si>
  <si>
    <t>WWTF Site 66</t>
  </si>
  <si>
    <t>WWTF Site 67</t>
  </si>
  <si>
    <t>WWTF Site 69</t>
  </si>
  <si>
    <t>WWTF Site 70</t>
  </si>
  <si>
    <t>WWTF Site 71</t>
  </si>
  <si>
    <t>WWTF Site 72</t>
  </si>
  <si>
    <t>WWTF Site 57</t>
  </si>
  <si>
    <t>Evergreen Metro Distict</t>
  </si>
  <si>
    <t>WWTF Site 21</t>
  </si>
  <si>
    <t>Conifer Sanitation District</t>
  </si>
  <si>
    <t>WWTF Site 59</t>
  </si>
  <si>
    <t xml:space="preserve">West Jefferson County Metro District </t>
  </si>
  <si>
    <t>WWTF Site 73</t>
  </si>
  <si>
    <t>Summit Lake Lower Plume, discharge UBC</t>
  </si>
  <si>
    <t>Bear Creek Inchannel Ponds</t>
  </si>
  <si>
    <t>Kerr/ Swede Special Study</t>
  </si>
  <si>
    <t>Upper Watershed @ Mt. Evans/ Summit Lake</t>
  </si>
  <si>
    <t>Coyote Gulch in Bear Creek Park</t>
  </si>
  <si>
    <t>Bear Creek Reservoir, Sites 15a, 16a, and 45</t>
  </si>
  <si>
    <t xml:space="preserve">Lower Bear Creek, below reservoir </t>
  </si>
  <si>
    <t>7/21</t>
  </si>
  <si>
    <t>4/18</t>
  </si>
  <si>
    <t>8/22</t>
  </si>
  <si>
    <t>WWTF Under regulation 85</t>
  </si>
  <si>
    <t>WWTFs</t>
  </si>
  <si>
    <t>Conifer Sanitation</t>
  </si>
  <si>
    <t>2014 BCWA Sample Collection</t>
  </si>
  <si>
    <t>LABID</t>
  </si>
  <si>
    <t>COLLECTDATE</t>
  </si>
  <si>
    <t>RECEIVEDATE</t>
  </si>
  <si>
    <t>MATRIX</t>
  </si>
  <si>
    <t>METHOD</t>
  </si>
  <si>
    <t>QUAL</t>
  </si>
  <si>
    <t>ANALYZEDATE</t>
  </si>
  <si>
    <t>BC213-1</t>
  </si>
  <si>
    <t>SW</t>
  </si>
  <si>
    <t>27</t>
  </si>
  <si>
    <t xml:space="preserve"> </t>
  </si>
  <si>
    <t>U</t>
  </si>
  <si>
    <t>2540 D</t>
  </si>
  <si>
    <t>BC213-2</t>
  </si>
  <si>
    <t>BC213-3</t>
  </si>
  <si>
    <t>43</t>
  </si>
  <si>
    <t>BC213-4</t>
  </si>
  <si>
    <t>60</t>
  </si>
  <si>
    <t>SM 10200 H (mod)</t>
  </si>
  <si>
    <t>BC213-5</t>
  </si>
  <si>
    <t>BC213-6</t>
  </si>
  <si>
    <t>47a</t>
  </si>
  <si>
    <t>36</t>
  </si>
  <si>
    <t>BC213-7</t>
  </si>
  <si>
    <t>47b</t>
  </si>
  <si>
    <t>28</t>
  </si>
  <si>
    <t>BC213-8</t>
  </si>
  <si>
    <t>16</t>
  </si>
  <si>
    <t>BC213-9</t>
  </si>
  <si>
    <t>20</t>
  </si>
  <si>
    <t>BC213-10</t>
  </si>
  <si>
    <t>17</t>
  </si>
  <si>
    <t>BC213-11</t>
  </si>
  <si>
    <t>18</t>
  </si>
  <si>
    <t>BC313B-1</t>
  </si>
  <si>
    <t>J</t>
  </si>
  <si>
    <t>BC313B-2</t>
  </si>
  <si>
    <t>BC313B-3</t>
  </si>
  <si>
    <t>BC313B-4</t>
  </si>
  <si>
    <t>BC313B-5</t>
  </si>
  <si>
    <t>BC313B-6</t>
  </si>
  <si>
    <t>BC313B-7</t>
  </si>
  <si>
    <t>BC313B-8</t>
  </si>
  <si>
    <t>BC313B-9</t>
  </si>
  <si>
    <t>BC313C-1</t>
  </si>
  <si>
    <t>BC313C-2</t>
  </si>
  <si>
    <t>BC313C-3</t>
  </si>
  <si>
    <t>BC313C-4</t>
  </si>
  <si>
    <t>BC313C-5</t>
  </si>
  <si>
    <t>BC313C-6</t>
  </si>
  <si>
    <t>BC313C-7</t>
  </si>
  <si>
    <t>BC313C-8</t>
  </si>
  <si>
    <t>BC313C-9</t>
  </si>
  <si>
    <t>BC313C-10</t>
  </si>
  <si>
    <t>BC313C-11</t>
  </si>
  <si>
    <t>BC313C-12</t>
  </si>
  <si>
    <t>BC313C-13</t>
  </si>
  <si>
    <t>BC313C-14</t>
  </si>
  <si>
    <t>BC313C-15</t>
  </si>
  <si>
    <t>BC313C-16</t>
  </si>
  <si>
    <t>BC313-1</t>
  </si>
  <si>
    <t>19b</t>
  </si>
  <si>
    <t>JCS High School</t>
  </si>
  <si>
    <t>BC413B-1</t>
  </si>
  <si>
    <t>24</t>
  </si>
  <si>
    <t>BC413B-2</t>
  </si>
  <si>
    <t>BC413B-3</t>
  </si>
  <si>
    <t>8</t>
  </si>
  <si>
    <t>BC413B-4</t>
  </si>
  <si>
    <t>12</t>
  </si>
  <si>
    <t>BC413B-5</t>
  </si>
  <si>
    <t>13</t>
  </si>
  <si>
    <t>BC413B-6</t>
  </si>
  <si>
    <t>BC413B-7</t>
  </si>
  <si>
    <t>BC413B-8</t>
  </si>
  <si>
    <t>BC413B-9</t>
  </si>
  <si>
    <t>25</t>
  </si>
  <si>
    <t>BC413B-10</t>
  </si>
  <si>
    <t>BC413B-11</t>
  </si>
  <si>
    <t>21</t>
  </si>
  <si>
    <t>BC413B-12</t>
  </si>
  <si>
    <t>BC413B-13</t>
  </si>
  <si>
    <t>14</t>
  </si>
  <si>
    <t>BC413B-14</t>
  </si>
  <si>
    <t>BC413B-15</t>
  </si>
  <si>
    <t>BC413-1</t>
  </si>
  <si>
    <t>10</t>
  </si>
  <si>
    <t>SM 2540 D</t>
  </si>
  <si>
    <t>BC413-2</t>
  </si>
  <si>
    <t>33</t>
  </si>
  <si>
    <t>BC413-3</t>
  </si>
  <si>
    <t>11</t>
  </si>
  <si>
    <t>BC413-4</t>
  </si>
  <si>
    <t>53</t>
  </si>
  <si>
    <t>BC413-5</t>
  </si>
  <si>
    <t>54</t>
  </si>
  <si>
    <t>BC413-6</t>
  </si>
  <si>
    <t>BC413-7</t>
  </si>
  <si>
    <t>BC513B-1</t>
  </si>
  <si>
    <t>QC 10-107-04-1-C</t>
  </si>
  <si>
    <t>BC513B-2</t>
  </si>
  <si>
    <t>BC513B-3</t>
  </si>
  <si>
    <t>BC513B-4</t>
  </si>
  <si>
    <t>BC513B-5</t>
  </si>
  <si>
    <t>BC513B-6</t>
  </si>
  <si>
    <t>BC513B-7</t>
  </si>
  <si>
    <t>BC513B-8</t>
  </si>
  <si>
    <t>BC513B-9</t>
  </si>
  <si>
    <t>BC513B-10</t>
  </si>
  <si>
    <t>BC513B-11</t>
  </si>
  <si>
    <t>BC513B-12</t>
  </si>
  <si>
    <t>BC513B-13</t>
  </si>
  <si>
    <t>BC513B-14</t>
  </si>
  <si>
    <t>BC513C-1</t>
  </si>
  <si>
    <t>49</t>
  </si>
  <si>
    <t>BC513C-2</t>
  </si>
  <si>
    <t>385</t>
  </si>
  <si>
    <t>BC513C-3</t>
  </si>
  <si>
    <t>143</t>
  </si>
  <si>
    <t>BC513C-4</t>
  </si>
  <si>
    <t>115</t>
  </si>
  <si>
    <t>BC513C-5</t>
  </si>
  <si>
    <t>414</t>
  </si>
  <si>
    <t>BC513C-6</t>
  </si>
  <si>
    <t>Conifer Metro</t>
  </si>
  <si>
    <t>29</t>
  </si>
  <si>
    <t>BC513-1</t>
  </si>
  <si>
    <t>50</t>
  </si>
  <si>
    <t>BC513-2</t>
  </si>
  <si>
    <t>46</t>
  </si>
  <si>
    <t>BC513-3</t>
  </si>
  <si>
    <t>86</t>
  </si>
  <si>
    <t>BC513-4</t>
  </si>
  <si>
    <t>BC513-5</t>
  </si>
  <si>
    <t>BC513-6</t>
  </si>
  <si>
    <t>31</t>
  </si>
  <si>
    <t>BC513-7</t>
  </si>
  <si>
    <t>34</t>
  </si>
  <si>
    <t>BC513-8</t>
  </si>
  <si>
    <t>BC513-9</t>
  </si>
  <si>
    <t>BC513-10</t>
  </si>
  <si>
    <t>BC513-11</t>
  </si>
  <si>
    <t>47</t>
  </si>
  <si>
    <t>BC613B-1</t>
  </si>
  <si>
    <t>BC613B-2</t>
  </si>
  <si>
    <t>BC613B-3</t>
  </si>
  <si>
    <t>BC613B-4</t>
  </si>
  <si>
    <t>BC613B-5</t>
  </si>
  <si>
    <t>BC613B-6</t>
  </si>
  <si>
    <t>BC613B-7</t>
  </si>
  <si>
    <t>BC613B-8</t>
  </si>
  <si>
    <t>BC613B-9</t>
  </si>
  <si>
    <t>BC613B-10</t>
  </si>
  <si>
    <t>BC613B-11</t>
  </si>
  <si>
    <t>BC613B-12</t>
  </si>
  <si>
    <t>BC613B-13</t>
  </si>
  <si>
    <t>BC613B-14</t>
  </si>
  <si>
    <t>BC613B-15</t>
  </si>
  <si>
    <t>BC613B-16</t>
  </si>
  <si>
    <t>BC613B-17</t>
  </si>
  <si>
    <t>BC613C-1</t>
  </si>
  <si>
    <t>BC613C-2</t>
  </si>
  <si>
    <t>32</t>
  </si>
  <si>
    <t>BC613C-3</t>
  </si>
  <si>
    <t>BC613C-4</t>
  </si>
  <si>
    <t>BC613-1</t>
  </si>
  <si>
    <t>BC613-2</t>
  </si>
  <si>
    <t>63</t>
  </si>
  <si>
    <t>BC613-3</t>
  </si>
  <si>
    <t>181</t>
  </si>
  <si>
    <t>BC613-4</t>
  </si>
  <si>
    <t>BC613-5</t>
  </si>
  <si>
    <t>BC613-6</t>
  </si>
  <si>
    <t>47A</t>
  </si>
  <si>
    <t>41</t>
  </si>
  <si>
    <t>BC613-7</t>
  </si>
  <si>
    <t>47B</t>
  </si>
  <si>
    <t>BC613-8</t>
  </si>
  <si>
    <t>35</t>
  </si>
  <si>
    <t>BC613-9</t>
  </si>
  <si>
    <t>BC613-10</t>
  </si>
  <si>
    <t>BC613-11</t>
  </si>
  <si>
    <t>BC613-12</t>
  </si>
  <si>
    <t>BC613-13</t>
  </si>
  <si>
    <t>56</t>
  </si>
  <si>
    <t>BC713B-1</t>
  </si>
  <si>
    <t>BC713B-2</t>
  </si>
  <si>
    <t>480</t>
  </si>
  <si>
    <t>BC713B-3</t>
  </si>
  <si>
    <t>BC713B-4</t>
  </si>
  <si>
    <t>38</t>
  </si>
  <si>
    <t>BC713B-5</t>
  </si>
  <si>
    <t>142</t>
  </si>
  <si>
    <t>BC713B-6</t>
  </si>
  <si>
    <t>BC713B-7</t>
  </si>
  <si>
    <t>BC713B-8</t>
  </si>
  <si>
    <t>BC713B-9</t>
  </si>
  <si>
    <t>BC713B-10</t>
  </si>
  <si>
    <t>62</t>
  </si>
  <si>
    <t>BC713B-11</t>
  </si>
  <si>
    <t>64</t>
  </si>
  <si>
    <t>BC713C-1</t>
  </si>
  <si>
    <t>BC713C-2</t>
  </si>
  <si>
    <t>BC713C-3</t>
  </si>
  <si>
    <t>BC713C-4</t>
  </si>
  <si>
    <t>BC713C-5</t>
  </si>
  <si>
    <t>BC713C-6</t>
  </si>
  <si>
    <t>BC713C-7</t>
  </si>
  <si>
    <t>BC713C-8</t>
  </si>
  <si>
    <t>BC713C-9</t>
  </si>
  <si>
    <t>BC713C-10</t>
  </si>
  <si>
    <t>BC713C-11</t>
  </si>
  <si>
    <t>BC713C-12</t>
  </si>
  <si>
    <t>BC713C-13</t>
  </si>
  <si>
    <t>BC713C-14</t>
  </si>
  <si>
    <t>BC713C-15</t>
  </si>
  <si>
    <t>BC713C-16</t>
  </si>
  <si>
    <t>BC713C-17</t>
  </si>
  <si>
    <t>BC713D-1</t>
  </si>
  <si>
    <t>9</t>
  </si>
  <si>
    <t>BC713D-2</t>
  </si>
  <si>
    <t>BC713D-3</t>
  </si>
  <si>
    <t>42</t>
  </si>
  <si>
    <t>BC713D-4</t>
  </si>
  <si>
    <t>BC713-1</t>
  </si>
  <si>
    <t>BC713-2</t>
  </si>
  <si>
    <t>602</t>
  </si>
  <si>
    <t>BC713-3</t>
  </si>
  <si>
    <t>182</t>
  </si>
  <si>
    <t>BC713-4</t>
  </si>
  <si>
    <t>236</t>
  </si>
  <si>
    <t>BC713-5</t>
  </si>
  <si>
    <t>259</t>
  </si>
  <si>
    <t>BC713E-1</t>
  </si>
  <si>
    <t>37</t>
  </si>
  <si>
    <t>BC713E-2</t>
  </si>
  <si>
    <t>173</t>
  </si>
  <si>
    <t>BC713E-3</t>
  </si>
  <si>
    <t>1887</t>
  </si>
  <si>
    <t>BC713E-4</t>
  </si>
  <si>
    <t>219</t>
  </si>
  <si>
    <t>BC713F-1</t>
  </si>
  <si>
    <t>BC713F-2</t>
  </si>
  <si>
    <t>440</t>
  </si>
  <si>
    <t>BC813B-1</t>
  </si>
  <si>
    <t>BC813B-2</t>
  </si>
  <si>
    <t>BC813B-3</t>
  </si>
  <si>
    <t>BC813B-4</t>
  </si>
  <si>
    <t>BC813B-5</t>
  </si>
  <si>
    <t>BC813B-6</t>
  </si>
  <si>
    <t>BC813B-7</t>
  </si>
  <si>
    <t>BC813B-8</t>
  </si>
  <si>
    <t>BC813B-9</t>
  </si>
  <si>
    <t>BC813B-10</t>
  </si>
  <si>
    <t>BC813B-11</t>
  </si>
  <si>
    <t>BC813B-12</t>
  </si>
  <si>
    <t>BC813C-1</t>
  </si>
  <si>
    <t>BC813C-2</t>
  </si>
  <si>
    <t>BC813C-3</t>
  </si>
  <si>
    <t>BC813C-4</t>
  </si>
  <si>
    <t>BC813C-5</t>
  </si>
  <si>
    <t>BC813C-6</t>
  </si>
  <si>
    <t>BC813C-7</t>
  </si>
  <si>
    <t>BC813C-8</t>
  </si>
  <si>
    <t>BC813C-9</t>
  </si>
  <si>
    <t>BC813C-10</t>
  </si>
  <si>
    <t>BC813C-11</t>
  </si>
  <si>
    <t>BC813C-12</t>
  </si>
  <si>
    <t>BC813C-13</t>
  </si>
  <si>
    <t>BC813C-14</t>
  </si>
  <si>
    <t>BC813C-15</t>
  </si>
  <si>
    <t>BC813C-16</t>
  </si>
  <si>
    <t>BC813C-17</t>
  </si>
  <si>
    <t>BC813D-1</t>
  </si>
  <si>
    <t>BC813D-2</t>
  </si>
  <si>
    <t>BC813D-3</t>
  </si>
  <si>
    <t>Orthophosphate as P</t>
  </si>
  <si>
    <t>BC813D-4</t>
  </si>
  <si>
    <t>BC813-1</t>
  </si>
  <si>
    <t>J, R</t>
  </si>
  <si>
    <t>BC813-2</t>
  </si>
  <si>
    <t>BC813-3</t>
  </si>
  <si>
    <t>BC813-4</t>
  </si>
  <si>
    <t>BC813-5</t>
  </si>
  <si>
    <t>BC913B-1</t>
  </si>
  <si>
    <t>BC913B-2</t>
  </si>
  <si>
    <t>BC913B-3</t>
  </si>
  <si>
    <t>BC913B-4</t>
  </si>
  <si>
    <t>BC913B-5</t>
  </si>
  <si>
    <t>BC913B-6</t>
  </si>
  <si>
    <t>BC913C-1</t>
  </si>
  <si>
    <t>BC913C-2</t>
  </si>
  <si>
    <t>BC913C-3</t>
  </si>
  <si>
    <t>BC913C-4</t>
  </si>
  <si>
    <t>BC913C-5</t>
  </si>
  <si>
    <t>BC913C-6</t>
  </si>
  <si>
    <t>BC913D-8</t>
  </si>
  <si>
    <t>BC913D-9</t>
  </si>
  <si>
    <t>BC913D-10</t>
  </si>
  <si>
    <t>BC913D-11</t>
  </si>
  <si>
    <t>BC913D-12</t>
  </si>
  <si>
    <t>BC913D-13</t>
  </si>
  <si>
    <t>BC913D-14</t>
  </si>
  <si>
    <t>BC913D-15</t>
  </si>
  <si>
    <t>BC913D-16</t>
  </si>
  <si>
    <t>BC913D-17</t>
  </si>
  <si>
    <t>BC913-1</t>
  </si>
  <si>
    <t>BC913-2</t>
  </si>
  <si>
    <t>BC913-3</t>
  </si>
  <si>
    <t>BC913-4</t>
  </si>
  <si>
    <t>BC913-5</t>
  </si>
  <si>
    <t>BC913E-1</t>
  </si>
  <si>
    <t>BC913E-2</t>
  </si>
  <si>
    <t>15</t>
  </si>
  <si>
    <t>BC913E-3</t>
  </si>
  <si>
    <t>BC913E-4</t>
  </si>
  <si>
    <t>BC913E-5</t>
  </si>
  <si>
    <t>217</t>
  </si>
  <si>
    <t>BC913E-6</t>
  </si>
  <si>
    <t>745</t>
  </si>
  <si>
    <t>BC913E-7</t>
  </si>
  <si>
    <t>995</t>
  </si>
  <si>
    <t>BC913E-8</t>
  </si>
  <si>
    <t>BC913E-9</t>
  </si>
  <si>
    <t>168</t>
  </si>
  <si>
    <t>BC913E-10</t>
  </si>
  <si>
    <t>114</t>
  </si>
  <si>
    <t>BC1013B-1</t>
  </si>
  <si>
    <t>BC1013B-2</t>
  </si>
  <si>
    <t>BC1013B-3</t>
  </si>
  <si>
    <t>BC1013C-1</t>
  </si>
  <si>
    <t>BC1013C-2</t>
  </si>
  <si>
    <t>6</t>
  </si>
  <si>
    <t>BC1013C-3</t>
  </si>
  <si>
    <t>39</t>
  </si>
  <si>
    <t>BC1013C-4</t>
  </si>
  <si>
    <t>BC1013C-5</t>
  </si>
  <si>
    <t>BC1013C-6</t>
  </si>
  <si>
    <t>7</t>
  </si>
  <si>
    <t>BC1013C-7</t>
  </si>
  <si>
    <t>BC1013C-8</t>
  </si>
  <si>
    <t>BC1013C-9</t>
  </si>
  <si>
    <t>BC1013C-10</t>
  </si>
  <si>
    <t>BC1013C-11</t>
  </si>
  <si>
    <t>BC1013D-1</t>
  </si>
  <si>
    <t>BC1013D-2</t>
  </si>
  <si>
    <t>BC1013D-3</t>
  </si>
  <si>
    <t>BC1013D-4</t>
  </si>
  <si>
    <t>BC1013D-5</t>
  </si>
  <si>
    <t>BC1013D-6</t>
  </si>
  <si>
    <t>BC1013D-7</t>
  </si>
  <si>
    <t>BC1013D-8</t>
  </si>
  <si>
    <t>BC1013D-9</t>
  </si>
  <si>
    <t>BC1013D-10</t>
  </si>
  <si>
    <t>BC1013D-11</t>
  </si>
  <si>
    <t>BC1013D-12</t>
  </si>
  <si>
    <t>BC1013D-13</t>
  </si>
  <si>
    <t>BC1013D-14</t>
  </si>
  <si>
    <t>BC1013D-15</t>
  </si>
  <si>
    <t>BC1013D-16</t>
  </si>
  <si>
    <t>BC1013D-17</t>
  </si>
  <si>
    <t>BC1013-1</t>
  </si>
  <si>
    <t>BC1013-2</t>
  </si>
  <si>
    <t>BC1113B-1</t>
  </si>
  <si>
    <t>BC1113B-2</t>
  </si>
  <si>
    <t>BC1113B-3</t>
  </si>
  <si>
    <t>BC1113B-4</t>
  </si>
  <si>
    <t>BC1113B-5</t>
  </si>
  <si>
    <t>BC1113B-6</t>
  </si>
  <si>
    <t>BC1113B-7</t>
  </si>
  <si>
    <t>BC1113B-8</t>
  </si>
  <si>
    <t>BC1113B-9</t>
  </si>
  <si>
    <t>BC1113B-10</t>
  </si>
  <si>
    <t>BC1113B-11</t>
  </si>
  <si>
    <t>BC1113B-12</t>
  </si>
  <si>
    <t>BC1113B-13</t>
  </si>
  <si>
    <t>BC1113B-14</t>
  </si>
  <si>
    <t>BC1113B-15</t>
  </si>
  <si>
    <t>BC1113B-16</t>
  </si>
  <si>
    <t>130</t>
  </si>
  <si>
    <t>BC1113B-17</t>
  </si>
  <si>
    <t>3294</t>
  </si>
  <si>
    <t>BC1113B-18</t>
  </si>
  <si>
    <t>1243</t>
  </si>
  <si>
    <t>BC1113B-19</t>
  </si>
  <si>
    <t>106</t>
  </si>
  <si>
    <t>BC1113B-20</t>
  </si>
  <si>
    <t>228</t>
  </si>
  <si>
    <t>BC1113B-21</t>
  </si>
  <si>
    <t>75</t>
  </si>
  <si>
    <t>BC1113-1</t>
  </si>
  <si>
    <t>BC1113-2</t>
  </si>
  <si>
    <t>26</t>
  </si>
  <si>
    <t>BC1113-3</t>
  </si>
  <si>
    <t>BC1113-4</t>
  </si>
  <si>
    <t>BC1113-5</t>
  </si>
  <si>
    <t>176</t>
  </si>
  <si>
    <t>BC1113-6</t>
  </si>
  <si>
    <t>BC1113-7</t>
  </si>
  <si>
    <t>55</t>
  </si>
  <si>
    <t>BC1113-8</t>
  </si>
  <si>
    <t>30</t>
  </si>
  <si>
    <t>BC1113-9</t>
  </si>
  <si>
    <t>45</t>
  </si>
  <si>
    <t>BC1113-10</t>
  </si>
  <si>
    <t>48</t>
  </si>
  <si>
    <t>BC1213-1</t>
  </si>
  <si>
    <t>BC1213-2</t>
  </si>
  <si>
    <t>BC1213-3</t>
  </si>
  <si>
    <t>BC1213-4</t>
  </si>
  <si>
    <t>BC1213-5</t>
  </si>
  <si>
    <t>BC1213-6</t>
  </si>
  <si>
    <t>BC1213-7</t>
  </si>
  <si>
    <t>BC1213-8</t>
  </si>
  <si>
    <t>BC1213-9</t>
  </si>
  <si>
    <t>Site 5a</t>
  </si>
  <si>
    <t>CDOW downtown Little Bear site (upstream 1,000 ft)</t>
  </si>
  <si>
    <t>Site 14</t>
  </si>
  <si>
    <t>Morrison Park east end  at gaging station</t>
  </si>
  <si>
    <t>WWTF Site 56</t>
  </si>
  <si>
    <t>BCR Top, Site 40a</t>
  </si>
  <si>
    <t>BCR  -10m, Site 40c</t>
  </si>
  <si>
    <t>Bear Creek Reservoir 2013 - Summary Statisitics</t>
  </si>
  <si>
    <t>Bear Creek Reservoir Mean Annual Concentrations 1991-2013</t>
  </si>
  <si>
    <t>91-13 Mean</t>
  </si>
  <si>
    <t>91-13 Median</t>
  </si>
  <si>
    <t>GEO Mean</t>
  </si>
  <si>
    <t>2013 Temperature C WAT (1/2-2m)</t>
  </si>
  <si>
    <t>2013 DO Compliance Bear Creek Reservoir</t>
  </si>
  <si>
    <t>EGL 4a</t>
  </si>
  <si>
    <t>EGL 4e</t>
  </si>
  <si>
    <t>Bear Creek In-Flow (cfs)</t>
  </si>
  <si>
    <t>Sum</t>
  </si>
  <si>
    <t>Assume 4hrs/day</t>
  </si>
  <si>
    <t>Horseback Riding (assume 4 hrs/day)</t>
  </si>
  <si>
    <t>Total Manure (tons/yr)</t>
  </si>
  <si>
    <t>Pounds/ year</t>
  </si>
  <si>
    <r>
      <t>Segment 1a</t>
    </r>
    <r>
      <rPr>
        <sz val="12"/>
        <rFont val="Cambria"/>
        <family val="1"/>
        <scheme val="major"/>
      </rPr>
      <t> </t>
    </r>
  </si>
  <si>
    <r>
      <t>Segment 1b</t>
    </r>
    <r>
      <rPr>
        <sz val="12"/>
        <rFont val="Cambria"/>
        <family val="1"/>
        <scheme val="major"/>
      </rPr>
      <t> </t>
    </r>
  </si>
  <si>
    <r>
      <t>Segment 1d</t>
    </r>
    <r>
      <rPr>
        <sz val="12"/>
        <rFont val="Cambria"/>
        <family val="1"/>
        <scheme val="major"/>
      </rPr>
      <t> </t>
    </r>
  </si>
  <si>
    <r>
      <t>Segment 1e</t>
    </r>
    <r>
      <rPr>
        <sz val="12"/>
        <rFont val="Cambria"/>
        <family val="1"/>
        <scheme val="major"/>
      </rPr>
      <t> </t>
    </r>
  </si>
  <si>
    <r>
      <t>Segment 2</t>
    </r>
    <r>
      <rPr>
        <sz val="12"/>
        <rFont val="Cambria"/>
        <family val="1"/>
        <scheme val="major"/>
      </rPr>
      <t> </t>
    </r>
  </si>
  <si>
    <r>
      <t>Segment 3</t>
    </r>
    <r>
      <rPr>
        <sz val="12"/>
        <rFont val="Cambria"/>
        <family val="1"/>
        <scheme val="major"/>
      </rPr>
      <t> </t>
    </r>
  </si>
  <si>
    <r>
      <t>Segment 4a</t>
    </r>
    <r>
      <rPr>
        <sz val="12"/>
        <rFont val="Cambria"/>
        <family val="1"/>
        <scheme val="major"/>
      </rPr>
      <t> </t>
    </r>
  </si>
  <si>
    <r>
      <t>Segment 5</t>
    </r>
    <r>
      <rPr>
        <sz val="12"/>
        <rFont val="Cambria"/>
        <family val="1"/>
        <scheme val="major"/>
      </rPr>
      <t> </t>
    </r>
  </si>
  <si>
    <r>
      <t>Segment 6b</t>
    </r>
    <r>
      <rPr>
        <sz val="12"/>
        <rFont val="Cambria"/>
        <family val="1"/>
        <scheme val="major"/>
      </rPr>
      <t> </t>
    </r>
  </si>
  <si>
    <r>
      <t>Segments 7 and 8</t>
    </r>
    <r>
      <rPr>
        <sz val="12"/>
        <rFont val="Cambria"/>
        <family val="1"/>
        <scheme val="major"/>
      </rPr>
      <t> </t>
    </r>
  </si>
  <si>
    <t>BC913D-1</t>
  </si>
  <si>
    <t>BC913D-2</t>
  </si>
  <si>
    <t>BC913D-3</t>
  </si>
  <si>
    <t>BC913D-4</t>
  </si>
  <si>
    <t>BC913D-5</t>
  </si>
  <si>
    <t>BC913D-6</t>
  </si>
  <si>
    <t>BC913D-7</t>
  </si>
  <si>
    <t>c</t>
  </si>
  <si>
    <t>ice</t>
  </si>
  <si>
    <t>ice edges</t>
  </si>
  <si>
    <t>sm</t>
  </si>
  <si>
    <t>ice off</t>
  </si>
  <si>
    <t>m</t>
  </si>
  <si>
    <t>Segemtn 6b</t>
  </si>
  <si>
    <t>Little Bear Evergreen</t>
  </si>
  <si>
    <t xml:space="preserve"> Keys-on-the-Green</t>
  </si>
  <si>
    <t>Upper Bear Creek - Mt. Evans Wilderness</t>
  </si>
  <si>
    <t>O'Fallon Park</t>
  </si>
  <si>
    <t xml:space="preserve">Lair o' the Bear </t>
  </si>
  <si>
    <t xml:space="preserve"> Idledale, Shady Lane</t>
  </si>
  <si>
    <t>Morrison Park west</t>
  </si>
  <si>
    <t xml:space="preserve">Vance Creek </t>
  </si>
  <si>
    <t>Mt Vernon, Morrison</t>
  </si>
  <si>
    <t>Cub Creek, Brookforest Inn</t>
  </si>
  <si>
    <t>Cub Creek Park</t>
  </si>
  <si>
    <t xml:space="preserve">South Turkey Creek </t>
  </si>
  <si>
    <t xml:space="preserve">North Turkey Creek </t>
  </si>
  <si>
    <t>snowy road</t>
  </si>
  <si>
    <t xml:space="preserve">Upper Coyote </t>
  </si>
  <si>
    <t xml:space="preserve">Lower Coyote </t>
  </si>
  <si>
    <t>Mar-Apr</t>
  </si>
  <si>
    <t>May-Jun</t>
  </si>
  <si>
    <t>Jul-Aug</t>
  </si>
  <si>
    <t>Sep-Oct</t>
  </si>
  <si>
    <t>Nov-Dec</t>
  </si>
  <si>
    <t>Jan-Feb</t>
  </si>
  <si>
    <t>Upper Coyote</t>
  </si>
  <si>
    <t>Lower Coyote</t>
  </si>
  <si>
    <t>Ac-Ft/day</t>
  </si>
  <si>
    <t>Ac-ft/month</t>
  </si>
  <si>
    <t xml:space="preserve">Nitrate/Nitrite </t>
  </si>
  <si>
    <t>Nitrate/Nitrite</t>
  </si>
  <si>
    <t>Loading Pounds/Period</t>
  </si>
  <si>
    <t>Flow Estimate</t>
  </si>
  <si>
    <t>Flooded</t>
  </si>
  <si>
    <t>Annual Pounds</t>
  </si>
  <si>
    <t>Flow Estimate ac-yr</t>
  </si>
  <si>
    <t>Average Loading</t>
  </si>
  <si>
    <t>Annual Maximum at -1/2m - 2m [mg/l]</t>
  </si>
  <si>
    <t>Seasonal Maximum at -1/2 - 2m [mg/l]</t>
  </si>
  <si>
    <t>Phytoplankton Co-dominant Species - Site 40  (July- September 2013)</t>
  </si>
  <si>
    <t>Bear Creek Reservoir Chemistry Comparison, Total Pounds</t>
  </si>
  <si>
    <t>e.coli</t>
  </si>
  <si>
    <t>cts/100 ml</t>
  </si>
  <si>
    <t>Nitzschia acicularis</t>
  </si>
  <si>
    <t>Synedra cyclopum</t>
  </si>
  <si>
    <t>Navicula anglica</t>
  </si>
  <si>
    <t>Glenodinium sp.</t>
  </si>
  <si>
    <t>Density #/ml</t>
  </si>
  <si>
    <t>Biovolume, um3/mL</t>
  </si>
  <si>
    <t>Group</t>
  </si>
  <si>
    <t>Achnanthes flexella</t>
  </si>
  <si>
    <t>Achnanthes lanceolata</t>
  </si>
  <si>
    <t>Amphora perpusilla</t>
  </si>
  <si>
    <t>Asterionella formosa</t>
  </si>
  <si>
    <t>Caloneis ventricosa minuta</t>
  </si>
  <si>
    <t>Cymatopleura solea</t>
  </si>
  <si>
    <t>Diatoma hiemale mesodon</t>
  </si>
  <si>
    <t>Fragilaria vaucheria</t>
  </si>
  <si>
    <t>Gomphonema subclavatum</t>
  </si>
  <si>
    <t>Hannaea arcus</t>
  </si>
  <si>
    <t>Melosira ambigua</t>
  </si>
  <si>
    <t>Melosira granulata angustissima</t>
  </si>
  <si>
    <t>Navicula capitata</t>
  </si>
  <si>
    <t>Navicula decussis</t>
  </si>
  <si>
    <t>Nitzschia linearis</t>
  </si>
  <si>
    <t>Nitzschia microcephala</t>
  </si>
  <si>
    <t>Nitzschia palea</t>
  </si>
  <si>
    <t>Nitzschia recta</t>
  </si>
  <si>
    <t>Nitzschia sp.</t>
  </si>
  <si>
    <t>Pinnularia sp.</t>
  </si>
  <si>
    <t>Pediastrum boryanum</t>
  </si>
  <si>
    <t>Green</t>
  </si>
  <si>
    <t>Peak Density</t>
  </si>
  <si>
    <t>Frequency Occurrence</t>
  </si>
  <si>
    <t>Cts</t>
  </si>
  <si>
    <t>Chrysococcus rufescens</t>
  </si>
  <si>
    <t>chrysophyte</t>
  </si>
  <si>
    <t>Navicula pupula</t>
  </si>
  <si>
    <t>Stephanodiscus hantzschii</t>
  </si>
  <si>
    <t>Synedra radians</t>
  </si>
  <si>
    <t>Unidentified flagellate</t>
  </si>
  <si>
    <t>Scenedesmus quadricauda</t>
  </si>
  <si>
    <t>Functional Group</t>
  </si>
  <si>
    <r>
      <t>Peak Biovolume (um</t>
    </r>
    <r>
      <rPr>
        <vertAlign val="superscript"/>
        <sz val="9"/>
        <rFont val="Arial"/>
        <family val="2"/>
      </rPr>
      <t>3</t>
    </r>
    <r>
      <rPr>
        <sz val="9"/>
        <rFont val="Arial"/>
        <family val="2"/>
      </rPr>
      <t>/mL) = 5,261,667</t>
    </r>
  </si>
  <si>
    <t>Density cells/ml = 3,341</t>
  </si>
  <si>
    <t>tation</t>
  </si>
  <si>
    <t>Date/Time</t>
  </si>
  <si>
    <t>Date/Time (raw)</t>
  </si>
  <si>
    <t>DISCHRG (cfs) (cfs)</t>
  </si>
  <si>
    <t>DWR</t>
  </si>
  <si>
    <t>2013 Sampling Evergreen Lake, Segment 1d</t>
  </si>
  <si>
    <t>Residue, Non-Filterable (TSS) mg/l</t>
  </si>
  <si>
    <t>Chlorophyll a, Average ug/l</t>
  </si>
  <si>
    <t>Turbidity Based</t>
  </si>
  <si>
    <t>Tons/month</t>
  </si>
  <si>
    <t>Cubic Yards/Month</t>
  </si>
  <si>
    <t>TSS Based (SSL Load)</t>
  </si>
  <si>
    <t>Estimated Bedload</t>
  </si>
  <si>
    <t>2013 Reservoir Estimated Pounds</t>
  </si>
  <si>
    <t>flow, BC</t>
  </si>
  <si>
    <t>flow, TC</t>
  </si>
  <si>
    <t>TSS,BC</t>
  </si>
  <si>
    <t>TSS,TC</t>
  </si>
  <si>
    <t>Evergreen Reservoir</t>
  </si>
  <si>
    <t>Total Phosphorus Loading</t>
  </si>
  <si>
    <t>PS</t>
  </si>
  <si>
    <t>NPS</t>
  </si>
  <si>
    <t>%NPS</t>
  </si>
  <si>
    <t>Discharged into Reservoir</t>
  </si>
  <si>
    <t>Species &gt;50% occurrence</t>
  </si>
  <si>
    <t>Water</t>
  </si>
  <si>
    <t>Supply</t>
  </si>
  <si>
    <t>CLASS E (Existing</t>
  </si>
  <si>
    <t>Primary Contact)</t>
  </si>
  <si>
    <t>and CLASS U</t>
  </si>
  <si>
    <t>(Undetermined</t>
  </si>
  <si>
    <t>Use)</t>
  </si>
  <si>
    <t>CLASS P</t>
  </si>
  <si>
    <t>(Potential</t>
  </si>
  <si>
    <t>Primary Contact</t>
  </si>
  <si>
    <t>CLASS N</t>
  </si>
  <si>
    <t>(Not Primary</t>
  </si>
  <si>
    <t>Contact Use)</t>
  </si>
  <si>
    <t>CLASS 1 COLD</t>
  </si>
  <si>
    <t>WATER BIOTA</t>
  </si>
  <si>
    <t>CLASS 1 WARM</t>
  </si>
  <si>
    <t>CLASS 2</t>
  </si>
  <si>
    <t>126(7)</t>
  </si>
  <si>
    <t>205(7)</t>
  </si>
  <si>
    <t>630(7)</t>
  </si>
  <si>
    <t>Recreational</t>
  </si>
  <si>
    <t>Parameter  Aquatic Life Agriculture Domestic</t>
  </si>
  <si>
    <t>Class P (Potential Primary Contact Use)</t>
  </si>
  <si>
    <t>Class E (Existing Primary Contact) and Class U (Undetermined Use)</t>
  </si>
  <si>
    <t>Class N (Not Primary Contct Use)</t>
  </si>
  <si>
    <t>Domestic Water Supply</t>
  </si>
  <si>
    <t>E. coli count per 100 ml</t>
  </si>
  <si>
    <t>Site 34, Mount Vernon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</si>
</sst>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4" formatCode="_(&quot;$&quot;* #,##0.00_);_(&quot;$&quot;* \(#,##0.00\);_(&quot;$&quot;* &quot;-&quot;??_);_(@_)"/>
    <numFmt numFmtId="43" formatCode="_(* #,##0.00_);_(* \(#,##0.00\);_(* &quot;-&quot;??_);_(@_)"/>
    <numFmt numFmtId="164" formatCode="0.0"/>
    <numFmt numFmtId="165" formatCode="0.000"/>
    <numFmt numFmtId="166" formatCode="dd\-mmm\-yy_)"/>
    <numFmt numFmtId="167" formatCode="0_)"/>
    <numFmt numFmtId="168" formatCode="0.0_)"/>
    <numFmt numFmtId="169" formatCode="_(* #,##0_);_(* \(#,##0\);_(* &quot;-&quot;??_);_(@_)"/>
    <numFmt numFmtId="170" formatCode="m/d/yy"/>
    <numFmt numFmtId="171" formatCode="#,##0.0"/>
    <numFmt numFmtId="172" formatCode="mm/dd/yy;@"/>
    <numFmt numFmtId="173" formatCode="_(&quot;$&quot;* #,##0_);_(&quot;$&quot;* \(#,##0\);_(&quot;$&quot;* &quot;-&quot;??_);_(@_)"/>
    <numFmt numFmtId="174" formatCode="m/dd/yy;@"/>
    <numFmt numFmtId="175" formatCode="###0;###0"/>
    <numFmt numFmtId="176" formatCode="h:mm;@"/>
    <numFmt numFmtId="177" formatCode="mm/dd/yy"/>
    <numFmt numFmtId="178" formatCode="0.000000"/>
    <numFmt numFmtId="179" formatCode="0.0000"/>
    <numFmt numFmtId="180" formatCode="&quot;$&quot;#,##0.00"/>
    <numFmt numFmtId="181" formatCode="[$-409]d\-mmm;@"/>
  </numFmts>
  <fonts count="82">
    <font>
      <sz val="10"/>
      <name val="Arial"/>
    </font>
    <font>
      <sz val="10"/>
      <name val="Arial"/>
      <family val="2"/>
    </font>
    <font>
      <b/>
      <sz val="10"/>
      <name val="Arial"/>
      <family val="2"/>
    </font>
    <font>
      <sz val="10"/>
      <name val="Arial"/>
      <family val="2"/>
    </font>
    <font>
      <b/>
      <sz val="12"/>
      <name val="Arial"/>
      <family val="2"/>
    </font>
    <font>
      <u/>
      <sz val="10"/>
      <color indexed="12"/>
      <name val="Arial"/>
      <family val="2"/>
    </font>
    <font>
      <sz val="9"/>
      <name val="Arial"/>
      <family val="2"/>
    </font>
    <font>
      <sz val="8"/>
      <name val="Arial"/>
      <family val="2"/>
    </font>
    <font>
      <sz val="12"/>
      <name val="Arial"/>
      <family val="2"/>
    </font>
    <font>
      <sz val="8"/>
      <name val="Arial Black"/>
      <family val="2"/>
    </font>
    <font>
      <b/>
      <sz val="9"/>
      <name val="Arial"/>
      <family val="2"/>
    </font>
    <font>
      <sz val="10"/>
      <name val="Helv"/>
    </font>
    <font>
      <b/>
      <sz val="8"/>
      <name val="Arial"/>
      <family val="2"/>
    </font>
    <font>
      <sz val="10"/>
      <name val="Arial Black"/>
      <family val="2"/>
    </font>
    <font>
      <b/>
      <sz val="11"/>
      <name val="Arial"/>
      <family val="2"/>
    </font>
    <font>
      <b/>
      <sz val="13.5"/>
      <color indexed="18"/>
      <name val="Arial"/>
      <family val="2"/>
    </font>
    <font>
      <sz val="12"/>
      <name val="Times New Roman"/>
      <family val="1"/>
    </font>
    <font>
      <sz val="8"/>
      <name val="Helv"/>
    </font>
    <font>
      <b/>
      <sz val="12"/>
      <color indexed="10"/>
      <name val="Arial"/>
      <family val="2"/>
    </font>
    <font>
      <sz val="11"/>
      <name val="Arial"/>
      <family val="2"/>
    </font>
    <font>
      <sz val="10"/>
      <color indexed="8"/>
      <name val="Arial"/>
      <family val="2"/>
    </font>
    <font>
      <sz val="10"/>
      <name val="Arial"/>
      <family val="2"/>
    </font>
    <font>
      <sz val="10"/>
      <color indexed="8"/>
      <name val="Arial"/>
      <family val="2"/>
    </font>
    <font>
      <sz val="10"/>
      <name val="Arial"/>
      <family val="2"/>
    </font>
    <font>
      <sz val="10"/>
      <color rgb="FFFF0000"/>
      <name val="Arial"/>
      <family val="2"/>
    </font>
    <font>
      <sz val="10"/>
      <name val="Arial"/>
      <family val="2"/>
    </font>
    <font>
      <b/>
      <sz val="10"/>
      <name val="Times New Roman"/>
      <family val="1"/>
    </font>
    <font>
      <sz val="11"/>
      <name val="Times New Roman"/>
      <family val="1"/>
    </font>
    <font>
      <b/>
      <sz val="11"/>
      <name val="Times New Roman"/>
      <family val="1"/>
    </font>
    <font>
      <sz val="10"/>
      <name val="Times New Roman"/>
      <family val="1"/>
    </font>
    <font>
      <sz val="9"/>
      <color rgb="FF000000"/>
      <name val="Arial"/>
      <family val="2"/>
    </font>
    <font>
      <vertAlign val="superscript"/>
      <sz val="9"/>
      <color rgb="FF000000"/>
      <name val="Arial"/>
      <family val="2"/>
    </font>
    <font>
      <b/>
      <vertAlign val="superscript"/>
      <sz val="8"/>
      <name val="Arial"/>
      <family val="2"/>
    </font>
    <font>
      <b/>
      <vertAlign val="superscript"/>
      <sz val="12"/>
      <name val="Arial"/>
      <family val="2"/>
    </font>
    <font>
      <u/>
      <sz val="10"/>
      <name val="Times New Roman"/>
      <family val="1"/>
    </font>
    <font>
      <strike/>
      <sz val="10"/>
      <name val="Times New Roman"/>
      <family val="1"/>
    </font>
    <font>
      <sz val="10"/>
      <color indexed="8"/>
      <name val="Times New Roman"/>
      <family val="1"/>
    </font>
    <font>
      <b/>
      <sz val="10"/>
      <color indexed="10"/>
      <name val="Arial"/>
      <family val="2"/>
    </font>
    <font>
      <b/>
      <sz val="12"/>
      <name val="Times New Roman"/>
      <family val="1"/>
    </font>
    <font>
      <i/>
      <sz val="10"/>
      <name val="Times New Roman"/>
      <family val="1"/>
    </font>
    <font>
      <i/>
      <sz val="11"/>
      <name val="Times New Roman"/>
      <family val="1"/>
    </font>
    <font>
      <b/>
      <u/>
      <sz val="12"/>
      <name val="Times New Roman"/>
      <family val="1"/>
    </font>
    <font>
      <sz val="9"/>
      <name val="Calibri"/>
      <family val="2"/>
    </font>
    <font>
      <sz val="12"/>
      <color indexed="8"/>
      <name val="Arial"/>
      <family val="2"/>
    </font>
    <font>
      <sz val="10"/>
      <name val="Arial"/>
      <family val="2"/>
    </font>
    <font>
      <b/>
      <sz val="11"/>
      <color rgb="FF000000"/>
      <name val="Times New Roman"/>
      <family val="1"/>
    </font>
    <font>
      <sz val="11"/>
      <color rgb="FF000000"/>
      <name val="Times New Roman"/>
      <family val="1"/>
    </font>
    <font>
      <b/>
      <vertAlign val="superscript"/>
      <sz val="9"/>
      <name val="Arial"/>
      <family val="2"/>
    </font>
    <font>
      <vertAlign val="superscript"/>
      <sz val="9"/>
      <name val="Arial"/>
      <family val="2"/>
    </font>
    <font>
      <sz val="9"/>
      <color indexed="8"/>
      <name val="Arial"/>
      <family val="2"/>
    </font>
    <font>
      <b/>
      <sz val="9"/>
      <color indexed="8"/>
      <name val="Arial"/>
      <family val="1"/>
      <charset val="204"/>
    </font>
    <font>
      <sz val="9"/>
      <color indexed="8"/>
      <name val="Arial"/>
      <family val="1"/>
      <charset val="204"/>
    </font>
    <font>
      <sz val="8"/>
      <color indexed="8"/>
      <name val="Arial"/>
      <family val="1"/>
      <charset val="204"/>
    </font>
    <font>
      <i/>
      <sz val="9"/>
      <color indexed="8"/>
      <name val="Arial"/>
      <family val="1"/>
      <charset val="204"/>
    </font>
    <font>
      <sz val="6"/>
      <color indexed="8"/>
      <name val="Arial"/>
      <family val="1"/>
      <charset val="204"/>
    </font>
    <font>
      <sz val="10"/>
      <color rgb="FF000000"/>
      <name val="Times New Roman"/>
      <family val="1"/>
    </font>
    <font>
      <sz val="9"/>
      <color indexed="8"/>
      <name val="Times New Roman"/>
      <family val="1"/>
    </font>
    <font>
      <sz val="9"/>
      <color rgb="FF000000"/>
      <name val="Times New Roman"/>
      <family val="1"/>
    </font>
    <font>
      <i/>
      <sz val="9"/>
      <color indexed="8"/>
      <name val="Times New Roman"/>
      <family val="1"/>
    </font>
    <font>
      <sz val="10"/>
      <name val="Times New Roman"/>
      <family val="1"/>
      <charset val="204"/>
    </font>
    <font>
      <sz val="11"/>
      <name val="Calibri"/>
      <family val="2"/>
    </font>
    <font>
      <b/>
      <i/>
      <sz val="12"/>
      <name val="Arial"/>
      <family val="2"/>
    </font>
    <font>
      <sz val="16"/>
      <name val="Arial"/>
      <family val="2"/>
    </font>
    <font>
      <sz val="10"/>
      <name val="Verdana"/>
      <family val="2"/>
    </font>
    <font>
      <b/>
      <sz val="10"/>
      <name val="Verdana"/>
      <family val="2"/>
    </font>
    <font>
      <sz val="10"/>
      <name val="Arial Unicode MS"/>
      <family val="2"/>
    </font>
    <font>
      <b/>
      <sz val="10"/>
      <color indexed="8"/>
      <name val="Arial"/>
      <family val="2"/>
    </font>
    <font>
      <vertAlign val="superscript"/>
      <sz val="10"/>
      <name val="Verdana"/>
      <family val="2"/>
    </font>
    <font>
      <sz val="16"/>
      <name val="Times New Roman"/>
      <family val="1"/>
    </font>
    <font>
      <sz val="11"/>
      <color indexed="8"/>
      <name val="Arial"/>
      <family val="2"/>
    </font>
    <font>
      <sz val="10"/>
      <name val="Cambria"/>
      <family val="1"/>
      <scheme val="major"/>
    </font>
    <font>
      <b/>
      <sz val="10"/>
      <name val="Cambria"/>
      <family val="1"/>
      <scheme val="major"/>
    </font>
    <font>
      <sz val="11"/>
      <name val="Cambria"/>
      <family val="1"/>
      <scheme val="major"/>
    </font>
    <font>
      <sz val="12"/>
      <name val="Cambria"/>
      <family val="1"/>
      <scheme val="major"/>
    </font>
    <font>
      <b/>
      <sz val="12"/>
      <name val="Cambria"/>
      <family val="1"/>
      <scheme val="major"/>
    </font>
    <font>
      <sz val="10"/>
      <color theme="1"/>
      <name val="Cambria"/>
      <family val="1"/>
      <scheme val="major"/>
    </font>
    <font>
      <sz val="9"/>
      <name val="Times New Roman"/>
      <family val="1"/>
    </font>
    <font>
      <b/>
      <sz val="9"/>
      <name val="Times New Roman"/>
      <family val="1"/>
    </font>
    <font>
      <b/>
      <sz val="11"/>
      <name val="Calibri"/>
      <family val="2"/>
      <scheme val="minor"/>
    </font>
    <font>
      <b/>
      <sz val="10"/>
      <name val="Calibri"/>
      <family val="2"/>
      <scheme val="minor"/>
    </font>
    <font>
      <sz val="10"/>
      <name val="Calibri"/>
      <family val="2"/>
      <scheme val="minor"/>
    </font>
    <font>
      <i/>
      <sz val="9"/>
      <name val="Calibri"/>
      <family val="2"/>
      <scheme val="minor"/>
    </font>
  </fonts>
  <fills count="25">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theme="6" tint="0.59999389629810485"/>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rgb="FFD8D8D8"/>
        <bgColor indexed="64"/>
      </patternFill>
    </fill>
    <fill>
      <patternFill patternType="solid">
        <fgColor rgb="FFC2D69A"/>
        <bgColor indexed="64"/>
      </patternFill>
    </fill>
    <fill>
      <patternFill patternType="solid">
        <fgColor theme="2" tint="-9.9978637043366805E-2"/>
        <bgColor indexed="64"/>
      </patternFill>
    </fill>
    <fill>
      <patternFill patternType="solid">
        <fgColor theme="6"/>
        <bgColor indexed="64"/>
      </patternFill>
    </fill>
    <fill>
      <patternFill patternType="solid">
        <fgColor theme="8" tint="0.59999389629810485"/>
        <bgColor indexed="64"/>
      </patternFill>
    </fill>
    <fill>
      <patternFill patternType="solid">
        <fgColor rgb="FFC4BC96"/>
        <bgColor indexed="64"/>
      </patternFill>
    </fill>
    <fill>
      <patternFill patternType="solid">
        <fgColor rgb="FFD9D9D9"/>
        <bgColor indexed="64"/>
      </patternFill>
    </fill>
    <fill>
      <patternFill patternType="solid">
        <fgColor rgb="FFFFFFFF"/>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6" tint="0.39997558519241921"/>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top style="thin">
        <color indexed="8"/>
      </top>
      <bottom/>
      <diagonal/>
    </border>
    <border>
      <left style="thin">
        <color indexed="64"/>
      </left>
      <right style="thin">
        <color indexed="64"/>
      </right>
      <top/>
      <bottom/>
      <diagonal/>
    </border>
    <border>
      <left/>
      <right/>
      <top/>
      <bottom style="thin">
        <color indexed="64"/>
      </bottom>
      <diagonal/>
    </border>
    <border>
      <left style="thin">
        <color indexed="8"/>
      </left>
      <right/>
      <top/>
      <bottom/>
      <diagonal/>
    </border>
    <border>
      <left/>
      <right/>
      <top style="thin">
        <color indexed="64"/>
      </top>
      <bottom style="thin">
        <color indexed="64"/>
      </bottom>
      <diagonal/>
    </border>
    <border>
      <left/>
      <right/>
      <top/>
      <bottom style="medium">
        <color indexed="64"/>
      </bottom>
      <diagonal/>
    </border>
    <border>
      <left/>
      <right/>
      <top style="medium">
        <color indexed="64"/>
      </top>
      <bottom style="medium">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bottom/>
      <diagonal/>
    </border>
    <border>
      <left style="medium">
        <color indexed="64"/>
      </left>
      <right style="medium">
        <color indexed="64"/>
      </right>
      <top/>
      <bottom style="medium">
        <color indexed="64"/>
      </bottom>
      <diagonal/>
    </border>
    <border>
      <left style="thick">
        <color indexed="64"/>
      </left>
      <right style="thick">
        <color indexed="64"/>
      </right>
      <top/>
      <bottom/>
      <diagonal/>
    </border>
    <border>
      <left style="thick">
        <color indexed="64"/>
      </left>
      <right/>
      <top/>
      <bottom style="thick">
        <color indexed="64"/>
      </bottom>
      <diagonal/>
    </border>
    <border>
      <left style="thick">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style="thin">
        <color indexed="64"/>
      </top>
      <bottom/>
      <diagonal/>
    </border>
    <border>
      <left style="thin">
        <color indexed="64"/>
      </left>
      <right/>
      <top style="thin">
        <color indexed="64"/>
      </top>
      <bottom/>
      <diagonal/>
    </border>
  </borders>
  <cellStyleXfs count="8">
    <xf numFmtId="164" fontId="0" fillId="0" borderId="0">
      <alignment horizontal="center" vertical="center"/>
    </xf>
    <xf numFmtId="43" fontId="1" fillId="0" borderId="0" applyFont="0" applyFill="0" applyBorder="0" applyAlignment="0" applyProtection="0"/>
    <xf numFmtId="181" fontId="5" fillId="0" borderId="0" applyNumberFormat="0" applyFill="0" applyBorder="0" applyAlignment="0" applyProtection="0">
      <alignment vertical="top"/>
      <protection locked="0"/>
    </xf>
    <xf numFmtId="181" fontId="20" fillId="0" borderId="0"/>
    <xf numFmtId="181" fontId="20" fillId="0" borderId="0"/>
    <xf numFmtId="9" fontId="25" fillId="0" borderId="0" applyFont="0" applyFill="0" applyBorder="0" applyAlignment="0" applyProtection="0"/>
    <xf numFmtId="181" fontId="1" fillId="0" borderId="0">
      <alignment horizontal="left" vertical="center"/>
    </xf>
    <xf numFmtId="44" fontId="44" fillId="0" borderId="0" applyFont="0" applyFill="0" applyBorder="0" applyAlignment="0" applyProtection="0"/>
  </cellStyleXfs>
  <cellXfs count="1458">
    <xf numFmtId="164" fontId="0" fillId="0" borderId="0" xfId="0">
      <alignment horizontal="center" vertical="center"/>
    </xf>
    <xf numFmtId="164" fontId="2" fillId="0" borderId="0" xfId="0" applyFont="1">
      <alignment horizontal="center" vertical="center"/>
    </xf>
    <xf numFmtId="164" fontId="0" fillId="0" borderId="0" xfId="0" applyNumberFormat="1" applyAlignment="1">
      <alignment horizontal="right"/>
    </xf>
    <xf numFmtId="164" fontId="0" fillId="0" borderId="0" xfId="0" applyNumberFormat="1">
      <alignment horizontal="center" vertical="center"/>
    </xf>
    <xf numFmtId="165" fontId="0" fillId="0" borderId="0" xfId="0" applyNumberFormat="1">
      <alignment horizontal="center" vertical="center"/>
    </xf>
    <xf numFmtId="1" fontId="0" fillId="0" borderId="0" xfId="0" applyNumberFormat="1">
      <alignment horizontal="center" vertical="center"/>
    </xf>
    <xf numFmtId="2" fontId="0" fillId="0" borderId="0" xfId="0" applyNumberFormat="1">
      <alignment horizontal="center" vertical="center"/>
    </xf>
    <xf numFmtId="15" fontId="2" fillId="0" borderId="0" xfId="0" applyNumberFormat="1" applyFont="1">
      <alignment horizontal="center" vertical="center"/>
    </xf>
    <xf numFmtId="165" fontId="2" fillId="0" borderId="0" xfId="0" applyNumberFormat="1" applyFont="1">
      <alignment horizontal="center" vertical="center"/>
    </xf>
    <xf numFmtId="2" fontId="0" fillId="0" borderId="0" xfId="0" applyNumberFormat="1" applyFill="1">
      <alignment horizontal="center" vertical="center"/>
    </xf>
    <xf numFmtId="164" fontId="0" fillId="0" borderId="0" xfId="0" applyFill="1">
      <alignment horizontal="center" vertical="center"/>
    </xf>
    <xf numFmtId="164" fontId="3" fillId="0" borderId="0" xfId="0" applyFont="1">
      <alignment horizontal="center" vertical="center"/>
    </xf>
    <xf numFmtId="164" fontId="2" fillId="2" borderId="1" xfId="0" applyFont="1" applyFill="1" applyBorder="1" applyAlignment="1">
      <alignment horizontal="center" vertical="center" wrapText="1"/>
    </xf>
    <xf numFmtId="164" fontId="10" fillId="2" borderId="1" xfId="0" applyNumberFormat="1" applyFont="1" applyFill="1" applyBorder="1" applyAlignment="1">
      <alignment horizontal="center"/>
    </xf>
    <xf numFmtId="164" fontId="9" fillId="0" borderId="1" xfId="0" applyFont="1" applyBorder="1" applyAlignment="1">
      <alignment wrapText="1"/>
    </xf>
    <xf numFmtId="164" fontId="1" fillId="2" borderId="0" xfId="0" applyFont="1" applyFill="1">
      <alignment horizontal="center" vertical="center"/>
    </xf>
    <xf numFmtId="1" fontId="11" fillId="0" borderId="0" xfId="0" applyNumberFormat="1" applyFont="1" applyAlignment="1" applyProtection="1">
      <alignment horizontal="center"/>
    </xf>
    <xf numFmtId="164" fontId="1" fillId="0" borderId="0" xfId="0" applyFont="1">
      <alignment horizontal="center" vertical="center"/>
    </xf>
    <xf numFmtId="1" fontId="1" fillId="0" borderId="0" xfId="0" applyNumberFormat="1" applyFont="1" applyAlignment="1">
      <alignment horizontal="center"/>
    </xf>
    <xf numFmtId="1" fontId="1" fillId="0" borderId="0" xfId="0" applyNumberFormat="1" applyFont="1" applyFill="1" applyAlignment="1" applyProtection="1">
      <alignment horizontal="center"/>
    </xf>
    <xf numFmtId="164" fontId="1" fillId="0" borderId="0" xfId="0" applyFont="1" applyAlignment="1">
      <alignment horizontal="center"/>
    </xf>
    <xf numFmtId="164" fontId="11" fillId="0" borderId="0" xfId="0" applyFont="1" applyProtection="1">
      <alignment horizontal="center" vertical="center"/>
    </xf>
    <xf numFmtId="164" fontId="11" fillId="2" borderId="0" xfId="0" applyFont="1" applyFill="1" applyProtection="1">
      <alignment horizontal="center" vertical="center"/>
    </xf>
    <xf numFmtId="164" fontId="0" fillId="0" borderId="0" xfId="0" applyFill="1" applyProtection="1">
      <alignment horizontal="center" vertical="center"/>
    </xf>
    <xf numFmtId="164" fontId="0" fillId="0" borderId="0" xfId="0" applyProtection="1">
      <alignment horizontal="center" vertical="center"/>
    </xf>
    <xf numFmtId="181" fontId="2" fillId="0" borderId="0" xfId="0" applyNumberFormat="1" applyFont="1">
      <alignment horizontal="center" vertical="center"/>
    </xf>
    <xf numFmtId="181" fontId="2" fillId="0" borderId="0" xfId="0" applyNumberFormat="1" applyFont="1" applyProtection="1">
      <alignment horizontal="center" vertical="center"/>
    </xf>
    <xf numFmtId="181" fontId="0" fillId="0" borderId="0" xfId="0" applyNumberFormat="1">
      <alignment horizontal="center" vertical="center"/>
    </xf>
    <xf numFmtId="164" fontId="6" fillId="0" borderId="0" xfId="0" applyFont="1">
      <alignment horizontal="center" vertical="center"/>
    </xf>
    <xf numFmtId="169" fontId="0" fillId="0" borderId="0" xfId="1" applyNumberFormat="1" applyFont="1"/>
    <xf numFmtId="165" fontId="2" fillId="0" borderId="1" xfId="0" applyNumberFormat="1" applyFont="1" applyBorder="1">
      <alignment horizontal="center" vertical="center"/>
    </xf>
    <xf numFmtId="3" fontId="6" fillId="0" borderId="0" xfId="0" applyNumberFormat="1" applyFont="1">
      <alignment horizontal="center" vertical="center"/>
    </xf>
    <xf numFmtId="15" fontId="10" fillId="0" borderId="0" xfId="0" applyNumberFormat="1" applyFont="1" applyBorder="1">
      <alignment horizontal="center" vertical="center"/>
    </xf>
    <xf numFmtId="167" fontId="6" fillId="0" borderId="0" xfId="0" applyNumberFormat="1" applyFont="1" applyAlignment="1" applyProtection="1">
      <alignment horizontal="center"/>
    </xf>
    <xf numFmtId="164" fontId="6" fillId="0" borderId="0" xfId="0" applyFont="1" applyBorder="1">
      <alignment horizontal="center" vertical="center"/>
    </xf>
    <xf numFmtId="15" fontId="10" fillId="0" borderId="0" xfId="0" applyNumberFormat="1" applyFont="1" applyBorder="1" applyAlignment="1">
      <alignment horizontal="center"/>
    </xf>
    <xf numFmtId="2" fontId="6" fillId="0" borderId="0" xfId="0" applyNumberFormat="1" applyFont="1">
      <alignment horizontal="center" vertical="center"/>
    </xf>
    <xf numFmtId="164" fontId="6" fillId="0" borderId="0" xfId="0" applyNumberFormat="1" applyFont="1" applyBorder="1" applyAlignment="1">
      <alignment horizontal="center"/>
    </xf>
    <xf numFmtId="164" fontId="6" fillId="0" borderId="0" xfId="0" applyNumberFormat="1" applyFont="1" applyAlignment="1">
      <alignment horizontal="center"/>
    </xf>
    <xf numFmtId="164" fontId="0" fillId="2" borderId="0" xfId="0" applyFill="1">
      <alignment horizontal="center" vertical="center"/>
    </xf>
    <xf numFmtId="3" fontId="0" fillId="0" borderId="0" xfId="0" applyNumberFormat="1">
      <alignment horizontal="center" vertical="center"/>
    </xf>
    <xf numFmtId="2" fontId="0" fillId="2" borderId="0" xfId="0" applyNumberFormat="1" applyFill="1">
      <alignment horizontal="center" vertical="center"/>
    </xf>
    <xf numFmtId="164" fontId="13" fillId="0" borderId="0" xfId="0" applyFont="1">
      <alignment horizontal="center" vertical="center"/>
    </xf>
    <xf numFmtId="164" fontId="4" fillId="2" borderId="0" xfId="0" applyFont="1" applyFill="1">
      <alignment horizontal="center" vertical="center"/>
    </xf>
    <xf numFmtId="165" fontId="2" fillId="2" borderId="1" xfId="0" applyNumberFormat="1" applyFont="1" applyFill="1" applyBorder="1">
      <alignment horizontal="center" vertical="center"/>
    </xf>
    <xf numFmtId="164" fontId="2" fillId="2" borderId="1" xfId="0" applyFont="1" applyFill="1" applyBorder="1">
      <alignment horizontal="center" vertical="center"/>
    </xf>
    <xf numFmtId="164" fontId="2" fillId="0" borderId="1" xfId="0" applyNumberFormat="1" applyFont="1" applyBorder="1" applyAlignment="1">
      <alignment horizontal="center"/>
    </xf>
    <xf numFmtId="1" fontId="0" fillId="2" borderId="0" xfId="0" applyNumberFormat="1" applyFill="1" applyAlignment="1">
      <alignment horizontal="center"/>
    </xf>
    <xf numFmtId="164" fontId="0" fillId="0" borderId="0" xfId="0" applyAlignment="1"/>
    <xf numFmtId="164" fontId="2" fillId="2" borderId="1" xfId="0" applyFont="1" applyFill="1" applyBorder="1" applyAlignment="1">
      <alignment horizontal="center" vertical="center"/>
    </xf>
    <xf numFmtId="164" fontId="6" fillId="2" borderId="1" xfId="0" applyFont="1" applyFill="1" applyBorder="1" applyAlignment="1">
      <alignment wrapText="1"/>
    </xf>
    <xf numFmtId="164" fontId="0" fillId="0" borderId="1" xfId="0" applyNumberFormat="1" applyBorder="1">
      <alignment horizontal="center" vertical="center"/>
    </xf>
    <xf numFmtId="164" fontId="2" fillId="2" borderId="0" xfId="0" applyFont="1" applyFill="1">
      <alignment horizontal="center" vertical="center"/>
    </xf>
    <xf numFmtId="164" fontId="0" fillId="0" borderId="1" xfId="0" applyBorder="1">
      <alignment horizontal="center" vertical="center"/>
    </xf>
    <xf numFmtId="164" fontId="0" fillId="0" borderId="0" xfId="0" applyFill="1" applyBorder="1">
      <alignment horizontal="center" vertical="center"/>
    </xf>
    <xf numFmtId="3" fontId="0" fillId="0" borderId="1" xfId="0" applyNumberFormat="1" applyBorder="1">
      <alignment horizontal="center" vertical="center"/>
    </xf>
    <xf numFmtId="166" fontId="2" fillId="0" borderId="0" xfId="0" applyNumberFormat="1" applyFont="1" applyBorder="1" applyProtection="1">
      <alignment horizontal="center" vertical="center"/>
    </xf>
    <xf numFmtId="164" fontId="0" fillId="0" borderId="0" xfId="0" applyBorder="1">
      <alignment horizontal="center" vertical="center"/>
    </xf>
    <xf numFmtId="164" fontId="0" fillId="0" borderId="0" xfId="0" applyAlignment="1">
      <alignment horizontal="center"/>
    </xf>
    <xf numFmtId="164" fontId="2" fillId="0" borderId="1" xfId="0" applyFont="1" applyBorder="1">
      <alignment horizontal="center" vertical="center"/>
    </xf>
    <xf numFmtId="164" fontId="14" fillId="0" borderId="1" xfId="0" applyNumberFormat="1" applyFont="1" applyBorder="1" applyAlignment="1">
      <alignment horizontal="center"/>
    </xf>
    <xf numFmtId="181" fontId="2" fillId="0" borderId="0" xfId="0" applyNumberFormat="1" applyFont="1">
      <alignment horizontal="center" vertical="center"/>
    </xf>
    <xf numFmtId="3" fontId="2" fillId="0" borderId="1" xfId="0" applyNumberFormat="1" applyFont="1" applyFill="1" applyBorder="1" applyAlignment="1">
      <alignment horizontal="center"/>
    </xf>
    <xf numFmtId="164" fontId="17" fillId="0" borderId="0" xfId="0" applyFont="1" applyBorder="1" applyProtection="1">
      <alignment horizontal="center" vertical="center"/>
    </xf>
    <xf numFmtId="164" fontId="2" fillId="4" borderId="1" xfId="0" applyFont="1" applyFill="1" applyBorder="1" applyAlignment="1">
      <alignment horizontal="right"/>
    </xf>
    <xf numFmtId="164" fontId="10" fillId="4" borderId="7" xfId="0" applyFont="1" applyFill="1" applyBorder="1" applyAlignment="1">
      <alignment horizontal="center"/>
    </xf>
    <xf numFmtId="164" fontId="2" fillId="4" borderId="1" xfId="0" applyFont="1" applyFill="1" applyBorder="1" applyAlignment="1">
      <alignment horizontal="center"/>
    </xf>
    <xf numFmtId="15" fontId="2" fillId="5" borderId="0" xfId="0" applyNumberFormat="1" applyFont="1" applyFill="1">
      <alignment horizontal="center" vertical="center"/>
    </xf>
    <xf numFmtId="164" fontId="2" fillId="0" borderId="1" xfId="0" applyNumberFormat="1" applyFont="1" applyFill="1" applyBorder="1">
      <alignment horizontal="center" vertical="center"/>
    </xf>
    <xf numFmtId="164" fontId="2" fillId="0" borderId="1" xfId="0" applyFont="1" applyBorder="1" applyAlignment="1">
      <alignment horizontal="center"/>
    </xf>
    <xf numFmtId="1" fontId="2" fillId="0" borderId="1" xfId="0" applyNumberFormat="1" applyFont="1" applyFill="1" applyBorder="1">
      <alignment horizontal="center" vertical="center"/>
    </xf>
    <xf numFmtId="164" fontId="2" fillId="0" borderId="0" xfId="0" applyFont="1" applyFill="1" applyBorder="1">
      <alignment horizontal="center" vertical="center"/>
    </xf>
    <xf numFmtId="164" fontId="8" fillId="0" borderId="0" xfId="0" applyFont="1">
      <alignment horizontal="center" vertical="center"/>
    </xf>
    <xf numFmtId="164" fontId="8" fillId="0" borderId="1" xfId="0" applyFont="1" applyBorder="1">
      <alignment horizontal="center" vertical="center"/>
    </xf>
    <xf numFmtId="15" fontId="2" fillId="8" borderId="1" xfId="0" applyNumberFormat="1" applyFont="1" applyFill="1" applyBorder="1">
      <alignment horizontal="center" vertical="center"/>
    </xf>
    <xf numFmtId="14" fontId="2" fillId="8" borderId="4" xfId="0" applyNumberFormat="1" applyFont="1" applyFill="1" applyBorder="1" applyAlignment="1">
      <alignment wrapText="1"/>
    </xf>
    <xf numFmtId="14" fontId="2" fillId="8" borderId="1" xfId="0" applyNumberFormat="1" applyFont="1" applyFill="1" applyBorder="1" applyAlignment="1">
      <alignment wrapText="1"/>
    </xf>
    <xf numFmtId="1" fontId="2" fillId="8" borderId="2" xfId="0" applyNumberFormat="1" applyFont="1" applyFill="1" applyBorder="1">
      <alignment horizontal="center" vertical="center"/>
    </xf>
    <xf numFmtId="1" fontId="2" fillId="8" borderId="1" xfId="0" applyNumberFormat="1" applyFont="1" applyFill="1" applyBorder="1">
      <alignment horizontal="center" vertical="center"/>
    </xf>
    <xf numFmtId="164" fontId="14" fillId="0" borderId="0" xfId="0" applyNumberFormat="1" applyFont="1">
      <alignment horizontal="center" vertical="center"/>
    </xf>
    <xf numFmtId="14" fontId="0" fillId="0" borderId="0" xfId="0" applyNumberFormat="1">
      <alignment horizontal="center" vertical="center"/>
    </xf>
    <xf numFmtId="164" fontId="10" fillId="7" borderId="1" xfId="0" applyFont="1" applyFill="1" applyBorder="1">
      <alignment horizontal="center" vertical="center"/>
    </xf>
    <xf numFmtId="164" fontId="8" fillId="7" borderId="1" xfId="0" applyFont="1" applyFill="1" applyBorder="1">
      <alignment horizontal="center" vertical="center"/>
    </xf>
    <xf numFmtId="164" fontId="19" fillId="0" borderId="0" xfId="0" applyFont="1">
      <alignment horizontal="center" vertical="center"/>
    </xf>
    <xf numFmtId="170" fontId="1" fillId="0" borderId="0" xfId="0" applyNumberFormat="1" applyFont="1" applyAlignment="1">
      <alignment horizontal="right"/>
    </xf>
    <xf numFmtId="181" fontId="1" fillId="0" borderId="0" xfId="0" applyNumberFormat="1" applyFont="1">
      <alignment horizontal="center" vertical="center"/>
    </xf>
    <xf numFmtId="1" fontId="1" fillId="0" borderId="0" xfId="0" applyNumberFormat="1" applyFont="1">
      <alignment horizontal="center" vertical="center"/>
    </xf>
    <xf numFmtId="164" fontId="0" fillId="0" borderId="0" xfId="0" applyFill="1" applyBorder="1" applyAlignment="1">
      <alignment horizontal="left"/>
    </xf>
    <xf numFmtId="181" fontId="20" fillId="0" borderId="0" xfId="3" applyNumberFormat="1" applyFont="1" applyFill="1" applyBorder="1" applyAlignment="1">
      <alignment horizontal="right"/>
    </xf>
    <xf numFmtId="181" fontId="20" fillId="0" borderId="0" xfId="3" applyFont="1" applyFill="1" applyBorder="1" applyAlignment="1">
      <alignment horizontal="left"/>
    </xf>
    <xf numFmtId="181" fontId="20" fillId="0" borderId="0" xfId="4" applyFont="1" applyFill="1" applyBorder="1" applyAlignment="1">
      <alignment horizontal="left"/>
    </xf>
    <xf numFmtId="164" fontId="1" fillId="0" borderId="1" xfId="0" applyFont="1" applyBorder="1">
      <alignment horizontal="center" vertical="center"/>
    </xf>
    <xf numFmtId="164" fontId="1" fillId="0" borderId="0" xfId="0" applyNumberFormat="1" applyFont="1">
      <alignment horizontal="center" vertical="center"/>
    </xf>
    <xf numFmtId="164" fontId="2" fillId="0" borderId="0" xfId="0" applyFont="1" applyFill="1" applyBorder="1" applyAlignment="1">
      <alignment horizontal="center"/>
    </xf>
    <xf numFmtId="164" fontId="2" fillId="0" borderId="0" xfId="0" applyFont="1" applyBorder="1" applyAlignment="1">
      <alignment horizontal="center"/>
    </xf>
    <xf numFmtId="164" fontId="2" fillId="7" borderId="1" xfId="0" applyFont="1" applyFill="1" applyBorder="1">
      <alignment horizontal="center" vertical="center"/>
    </xf>
    <xf numFmtId="181" fontId="1" fillId="0" borderId="0" xfId="0" applyNumberFormat="1" applyFont="1" applyFill="1" applyBorder="1" applyAlignment="1">
      <alignment horizontal="left"/>
    </xf>
    <xf numFmtId="181" fontId="1" fillId="0" borderId="0" xfId="0" applyNumberFormat="1" applyFont="1" applyFill="1" applyBorder="1" applyAlignment="1">
      <alignment horizontal="right"/>
    </xf>
    <xf numFmtId="164" fontId="1" fillId="0" borderId="10" xfId="0" applyFont="1" applyBorder="1">
      <alignment horizontal="center" vertical="center"/>
    </xf>
    <xf numFmtId="164" fontId="21" fillId="0" borderId="0" xfId="0" applyFont="1">
      <alignment horizontal="center" vertical="center"/>
    </xf>
    <xf numFmtId="170" fontId="21" fillId="0" borderId="0" xfId="0" applyNumberFormat="1" applyFont="1" applyAlignment="1">
      <alignment horizontal="right"/>
    </xf>
    <xf numFmtId="181" fontId="22" fillId="0" borderId="0" xfId="3" applyNumberFormat="1" applyFont="1" applyFill="1" applyBorder="1" applyAlignment="1">
      <alignment horizontal="right"/>
    </xf>
    <xf numFmtId="164" fontId="21" fillId="0" borderId="0" xfId="0" applyNumberFormat="1" applyFont="1">
      <alignment horizontal="center" vertical="center"/>
    </xf>
    <xf numFmtId="181" fontId="22" fillId="0" borderId="0" xfId="3" applyFont="1" applyFill="1" applyBorder="1" applyAlignment="1">
      <alignment horizontal="left"/>
    </xf>
    <xf numFmtId="181" fontId="22" fillId="0" borderId="0" xfId="4" applyFont="1" applyFill="1" applyBorder="1" applyAlignment="1">
      <alignment horizontal="left"/>
    </xf>
    <xf numFmtId="20" fontId="1" fillId="0" borderId="1" xfId="0" applyNumberFormat="1" applyFont="1" applyBorder="1">
      <alignment horizontal="center" vertical="center"/>
    </xf>
    <xf numFmtId="164" fontId="1" fillId="0" borderId="0" xfId="0" applyFont="1" applyAlignment="1">
      <alignment horizontal="left"/>
    </xf>
    <xf numFmtId="1" fontId="1" fillId="0" borderId="1" xfId="0" applyNumberFormat="1" applyFont="1" applyBorder="1" applyAlignment="1">
      <alignment horizontal="center"/>
    </xf>
    <xf numFmtId="164" fontId="1" fillId="0" borderId="1" xfId="0" applyNumberFormat="1" applyFont="1" applyBorder="1" applyAlignment="1">
      <alignment horizontal="center"/>
    </xf>
    <xf numFmtId="164" fontId="14" fillId="2" borderId="4" xfId="0" applyNumberFormat="1" applyFont="1" applyFill="1" applyBorder="1">
      <alignment horizontal="center" vertical="center"/>
    </xf>
    <xf numFmtId="164" fontId="14" fillId="2" borderId="1" xfId="0" applyNumberFormat="1" applyFont="1" applyFill="1" applyBorder="1">
      <alignment horizontal="center" vertical="center"/>
    </xf>
    <xf numFmtId="164" fontId="2" fillId="10" borderId="1" xfId="0" applyFont="1" applyFill="1" applyBorder="1">
      <alignment horizontal="center" vertical="center"/>
    </xf>
    <xf numFmtId="20" fontId="1" fillId="0" borderId="6" xfId="0" applyNumberFormat="1" applyFont="1" applyBorder="1" applyAlignment="1"/>
    <xf numFmtId="15" fontId="14" fillId="4" borderId="1" xfId="0" applyNumberFormat="1" applyFont="1" applyFill="1" applyBorder="1">
      <alignment horizontal="center" vertical="center"/>
    </xf>
    <xf numFmtId="15" fontId="14" fillId="10" borderId="1" xfId="0" applyNumberFormat="1" applyFont="1" applyFill="1" applyBorder="1">
      <alignment horizontal="center" vertical="center"/>
    </xf>
    <xf numFmtId="15" fontId="14" fillId="4" borderId="1" xfId="0" applyNumberFormat="1" applyFont="1" applyFill="1" applyBorder="1" applyAlignment="1">
      <alignment wrapText="1"/>
    </xf>
    <xf numFmtId="15" fontId="4" fillId="10" borderId="1" xfId="0" applyNumberFormat="1" applyFont="1" applyFill="1" applyBorder="1">
      <alignment horizontal="center" vertical="center"/>
    </xf>
    <xf numFmtId="1" fontId="14" fillId="0" borderId="1" xfId="0" applyNumberFormat="1" applyFont="1" applyBorder="1" applyAlignment="1">
      <alignment horizontal="center"/>
    </xf>
    <xf numFmtId="1" fontId="19" fillId="0" borderId="0" xfId="0" applyNumberFormat="1" applyFont="1">
      <alignment horizontal="center" vertical="center"/>
    </xf>
    <xf numFmtId="164" fontId="4" fillId="10" borderId="1" xfId="0" applyNumberFormat="1" applyFont="1" applyFill="1" applyBorder="1" applyAlignment="1">
      <alignment horizontal="center"/>
    </xf>
    <xf numFmtId="1" fontId="4" fillId="10" borderId="1" xfId="0" applyNumberFormat="1" applyFont="1" applyFill="1" applyBorder="1" applyAlignment="1">
      <alignment horizontal="center"/>
    </xf>
    <xf numFmtId="164" fontId="14" fillId="10" borderId="2" xfId="0" applyNumberFormat="1" applyFont="1" applyFill="1" applyBorder="1">
      <alignment horizontal="center" vertical="center"/>
    </xf>
    <xf numFmtId="15" fontId="14" fillId="10" borderId="1" xfId="0" applyNumberFormat="1" applyFont="1" applyFill="1" applyBorder="1" applyAlignment="1">
      <alignment wrapText="1"/>
    </xf>
    <xf numFmtId="15" fontId="14" fillId="10" borderId="1" xfId="0" applyNumberFormat="1" applyFont="1" applyFill="1" applyBorder="1" applyAlignment="1">
      <alignment horizontal="center" wrapText="1"/>
    </xf>
    <xf numFmtId="15" fontId="14" fillId="4" borderId="6" xfId="0" applyNumberFormat="1" applyFont="1" applyFill="1" applyBorder="1">
      <alignment horizontal="center" vertical="center"/>
    </xf>
    <xf numFmtId="1" fontId="14" fillId="2" borderId="1" xfId="0" applyNumberFormat="1" applyFont="1" applyFill="1" applyBorder="1">
      <alignment horizontal="center" vertical="center"/>
    </xf>
    <xf numFmtId="164" fontId="14" fillId="4" borderId="6" xfId="0" applyNumberFormat="1" applyFont="1" applyFill="1" applyBorder="1" applyAlignment="1">
      <alignment horizontal="left" vertical="top" wrapText="1"/>
    </xf>
    <xf numFmtId="164" fontId="14" fillId="2" borderId="1" xfId="0" applyFont="1" applyFill="1" applyBorder="1">
      <alignment horizontal="center" vertical="center"/>
    </xf>
    <xf numFmtId="165" fontId="14" fillId="2" borderId="1" xfId="0" applyNumberFormat="1" applyFont="1" applyFill="1" applyBorder="1" applyAlignment="1">
      <alignment horizontal="left" vertical="top" wrapText="1"/>
    </xf>
    <xf numFmtId="164" fontId="14" fillId="2" borderId="1" xfId="0" applyNumberFormat="1" applyFont="1" applyFill="1" applyBorder="1" applyAlignment="1">
      <alignment horizontal="left" vertical="top" wrapText="1"/>
    </xf>
    <xf numFmtId="164" fontId="2" fillId="7" borderId="0" xfId="0" applyFont="1" applyFill="1">
      <alignment horizontal="center" vertical="center"/>
    </xf>
    <xf numFmtId="15" fontId="2" fillId="7" borderId="1" xfId="0" applyNumberFormat="1" applyFont="1" applyFill="1" applyBorder="1">
      <alignment horizontal="center" vertical="center"/>
    </xf>
    <xf numFmtId="164" fontId="2" fillId="7" borderId="1" xfId="0" applyFont="1" applyFill="1" applyBorder="1" applyAlignment="1">
      <alignment horizontal="center"/>
    </xf>
    <xf numFmtId="15" fontId="2" fillId="7" borderId="1" xfId="0" applyNumberFormat="1" applyFont="1" applyFill="1" applyBorder="1" applyAlignment="1">
      <alignment vertical="top" wrapText="1"/>
    </xf>
    <xf numFmtId="15" fontId="2" fillId="7" borderId="6" xfId="0" applyNumberFormat="1" applyFont="1" applyFill="1" applyBorder="1" applyAlignment="1">
      <alignment vertical="top" wrapText="1"/>
    </xf>
    <xf numFmtId="168" fontId="1" fillId="0" borderId="0" xfId="0" applyNumberFormat="1" applyFont="1" applyProtection="1">
      <alignment horizontal="center" vertical="center"/>
    </xf>
    <xf numFmtId="164" fontId="2" fillId="2" borderId="7" xfId="0" applyFont="1" applyFill="1" applyBorder="1">
      <alignment horizontal="center" vertical="center"/>
    </xf>
    <xf numFmtId="164" fontId="0" fillId="7" borderId="1" xfId="0" applyFill="1" applyBorder="1">
      <alignment horizontal="center" vertical="center"/>
    </xf>
    <xf numFmtId="164" fontId="1" fillId="7" borderId="1" xfId="0" applyFont="1" applyFill="1" applyBorder="1" applyAlignment="1">
      <alignment horizontal="center"/>
    </xf>
    <xf numFmtId="164" fontId="1" fillId="7" borderId="1" xfId="0" applyFont="1" applyFill="1" applyBorder="1">
      <alignment horizontal="center" vertical="center"/>
    </xf>
    <xf numFmtId="164" fontId="0" fillId="0" borderId="1" xfId="0" applyBorder="1" applyAlignment="1">
      <alignment wrapText="1"/>
    </xf>
    <xf numFmtId="181" fontId="5" fillId="0" borderId="0" xfId="2" applyFill="1" applyBorder="1" applyAlignment="1" applyProtection="1">
      <alignment horizontal="left"/>
    </xf>
    <xf numFmtId="164" fontId="0" fillId="0" borderId="0" xfId="0" applyFill="1" applyBorder="1" applyAlignment="1">
      <alignment wrapText="1"/>
    </xf>
    <xf numFmtId="164" fontId="15" fillId="0" borderId="0" xfId="0" applyFont="1">
      <alignment horizontal="center" vertical="center"/>
    </xf>
    <xf numFmtId="164" fontId="12" fillId="3" borderId="8" xfId="0" applyFont="1" applyFill="1" applyBorder="1" applyAlignment="1">
      <alignment horizontal="center" vertical="center" wrapText="1"/>
    </xf>
    <xf numFmtId="164" fontId="12" fillId="3" borderId="1" xfId="0" applyFont="1" applyFill="1" applyBorder="1" applyAlignment="1">
      <alignment vertical="top" wrapText="1"/>
    </xf>
    <xf numFmtId="164" fontId="0" fillId="0" borderId="0" xfId="0" applyBorder="1" applyAlignment="1">
      <alignment wrapText="1"/>
    </xf>
    <xf numFmtId="3" fontId="0" fillId="0" borderId="1" xfId="0" applyNumberFormat="1" applyFill="1" applyBorder="1">
      <alignment horizontal="center" vertical="center"/>
    </xf>
    <xf numFmtId="164" fontId="0" fillId="0" borderId="4" xfId="0" applyFill="1" applyBorder="1">
      <alignment horizontal="center" vertical="center"/>
    </xf>
    <xf numFmtId="3" fontId="0" fillId="0" borderId="4" xfId="0" applyNumberFormat="1" applyFill="1" applyBorder="1">
      <alignment horizontal="center" vertical="center"/>
    </xf>
    <xf numFmtId="164" fontId="2" fillId="0" borderId="1" xfId="0" applyFont="1" applyBorder="1" applyAlignment="1">
      <alignment horizontal="left"/>
    </xf>
    <xf numFmtId="164" fontId="0" fillId="0" borderId="7" xfId="0" applyBorder="1" applyAlignment="1">
      <alignment wrapText="1"/>
    </xf>
    <xf numFmtId="164" fontId="16" fillId="0" borderId="1" xfId="0" applyFont="1" applyBorder="1">
      <alignment horizontal="center" vertical="center"/>
    </xf>
    <xf numFmtId="164" fontId="2" fillId="0" borderId="1" xfId="0" applyFont="1" applyFill="1" applyBorder="1" applyAlignment="1">
      <alignment horizontal="center"/>
    </xf>
    <xf numFmtId="164" fontId="1" fillId="0" borderId="1" xfId="0" applyFont="1" applyFill="1" applyBorder="1">
      <alignment horizontal="center" vertical="center"/>
    </xf>
    <xf numFmtId="2" fontId="0" fillId="0" borderId="1" xfId="0" applyNumberFormat="1" applyBorder="1" applyAlignment="1">
      <alignment horizontal="center"/>
    </xf>
    <xf numFmtId="164" fontId="24" fillId="0" borderId="0" xfId="0" applyFont="1">
      <alignment horizontal="center" vertical="center"/>
    </xf>
    <xf numFmtId="2" fontId="0" fillId="0" borderId="1" xfId="0" applyNumberFormat="1" applyBorder="1">
      <alignment horizontal="center" vertical="center"/>
    </xf>
    <xf numFmtId="164" fontId="10" fillId="7" borderId="2" xfId="0" applyFont="1" applyFill="1" applyBorder="1">
      <alignment horizontal="center" vertical="center"/>
    </xf>
    <xf numFmtId="164" fontId="10" fillId="7" borderId="2" xfId="0" applyFont="1" applyFill="1" applyBorder="1" applyAlignment="1">
      <alignment wrapText="1"/>
    </xf>
    <xf numFmtId="164" fontId="3" fillId="9" borderId="1" xfId="0" applyFont="1" applyFill="1" applyBorder="1">
      <alignment horizontal="center" vertical="center"/>
    </xf>
    <xf numFmtId="164" fontId="3" fillId="9" borderId="1" xfId="0" applyFont="1" applyFill="1" applyBorder="1" applyAlignment="1">
      <alignment horizontal="left" vertical="top" wrapText="1"/>
    </xf>
    <xf numFmtId="2" fontId="0" fillId="0" borderId="0" xfId="0" applyNumberFormat="1" applyBorder="1">
      <alignment horizontal="center" vertical="center"/>
    </xf>
    <xf numFmtId="2" fontId="0" fillId="0" borderId="9" xfId="0" applyNumberFormat="1" applyFill="1" applyBorder="1" applyAlignment="1">
      <alignment horizontal="center"/>
    </xf>
    <xf numFmtId="164" fontId="1" fillId="0" borderId="13" xfId="0" applyFont="1" applyFill="1" applyBorder="1" applyAlignment="1">
      <alignment horizontal="center"/>
    </xf>
    <xf numFmtId="20" fontId="1" fillId="0" borderId="12" xfId="0" applyNumberFormat="1" applyFont="1" applyBorder="1" applyAlignment="1"/>
    <xf numFmtId="164" fontId="2" fillId="0" borderId="12" xfId="0" applyFont="1" applyBorder="1" applyAlignment="1">
      <alignment horizontal="left"/>
    </xf>
    <xf numFmtId="164" fontId="2" fillId="9" borderId="12" xfId="0" applyFont="1" applyFill="1" applyBorder="1" applyAlignment="1"/>
    <xf numFmtId="181" fontId="2" fillId="7" borderId="1" xfId="0" applyNumberFormat="1" applyFont="1" applyFill="1" applyBorder="1" applyAlignment="1">
      <alignment horizontal="right"/>
    </xf>
    <xf numFmtId="164" fontId="3" fillId="9" borderId="6" xfId="0" applyFont="1" applyFill="1" applyBorder="1">
      <alignment horizontal="center" vertical="center"/>
    </xf>
    <xf numFmtId="164" fontId="3" fillId="9" borderId="6" xfId="0" applyFont="1" applyFill="1" applyBorder="1" applyAlignment="1">
      <alignment horizontal="left" vertical="top" wrapText="1"/>
    </xf>
    <xf numFmtId="164" fontId="1" fillId="0" borderId="0" xfId="0" applyFont="1" applyBorder="1">
      <alignment horizontal="center" vertical="center"/>
    </xf>
    <xf numFmtId="164" fontId="1" fillId="0" borderId="10" xfId="0" applyFont="1" applyFill="1" applyBorder="1" applyAlignment="1">
      <alignment horizontal="center"/>
    </xf>
    <xf numFmtId="164" fontId="0" fillId="0" borderId="0" xfId="0" applyAlignment="1">
      <alignment horizontal="left" vertical="top" wrapText="1"/>
    </xf>
    <xf numFmtId="164" fontId="6" fillId="0" borderId="1" xfId="0" applyFont="1" applyBorder="1" applyAlignment="1">
      <alignment horizontal="left" vertical="top" wrapText="1"/>
    </xf>
    <xf numFmtId="164" fontId="30" fillId="0" borderId="1" xfId="0" applyFont="1" applyBorder="1" applyAlignment="1">
      <alignment horizontal="left" vertical="top" wrapText="1" indent="1"/>
    </xf>
    <xf numFmtId="164" fontId="1" fillId="0" borderId="1" xfId="0" applyFont="1" applyBorder="1" applyAlignment="1">
      <alignment horizontal="left" vertical="top"/>
    </xf>
    <xf numFmtId="164" fontId="30" fillId="0" borderId="1" xfId="0" applyFont="1" applyBorder="1" applyAlignment="1">
      <alignment horizontal="left" vertical="top" indent="1"/>
    </xf>
    <xf numFmtId="164" fontId="0" fillId="0" borderId="1" xfId="0" applyNumberFormat="1" applyBorder="1" applyAlignment="1">
      <alignment horizontal="left" vertical="top"/>
    </xf>
    <xf numFmtId="164" fontId="0" fillId="0" borderId="1" xfId="0" applyBorder="1" applyAlignment="1">
      <alignment horizontal="left" vertical="top"/>
    </xf>
    <xf numFmtId="164" fontId="1" fillId="0" borderId="1" xfId="0" applyFont="1" applyFill="1" applyBorder="1" applyAlignment="1">
      <alignment horizontal="left" vertical="top"/>
    </xf>
    <xf numFmtId="164" fontId="1" fillId="0" borderId="0" xfId="0" applyFont="1" applyFill="1" applyAlignment="1">
      <alignment horizontal="left"/>
    </xf>
    <xf numFmtId="164" fontId="1" fillId="0" borderId="1" xfId="0" applyNumberFormat="1" applyFont="1" applyFill="1" applyBorder="1" applyAlignment="1">
      <alignment horizontal="center"/>
    </xf>
    <xf numFmtId="1" fontId="0" fillId="7" borderId="1" xfId="0" applyNumberFormat="1" applyFill="1" applyBorder="1" applyAlignment="1">
      <alignment horizontal="center"/>
    </xf>
    <xf numFmtId="1" fontId="0" fillId="0" borderId="1" xfId="0" applyNumberFormat="1" applyBorder="1">
      <alignment horizontal="center" vertical="center"/>
    </xf>
    <xf numFmtId="164" fontId="10" fillId="7" borderId="1" xfId="0" applyFont="1" applyFill="1" applyBorder="1" applyAlignment="1">
      <alignment horizontal="center" wrapText="1"/>
    </xf>
    <xf numFmtId="164" fontId="2" fillId="0" borderId="0" xfId="0" applyFont="1" applyAlignment="1">
      <alignment horizontal="center"/>
    </xf>
    <xf numFmtId="2" fontId="2" fillId="0" borderId="0" xfId="0" applyNumberFormat="1" applyFont="1" applyAlignment="1">
      <alignment horizontal="center"/>
    </xf>
    <xf numFmtId="164" fontId="2" fillId="2" borderId="0" xfId="0" applyFont="1" applyFill="1" applyAlignment="1">
      <alignment horizontal="center"/>
    </xf>
    <xf numFmtId="164" fontId="0" fillId="0" borderId="0" xfId="0" applyAlignment="1">
      <alignment horizontal="left"/>
    </xf>
    <xf numFmtId="164" fontId="1" fillId="0" borderId="1" xfId="0" applyFont="1" applyBorder="1" applyAlignment="1">
      <alignment horizontal="center"/>
    </xf>
    <xf numFmtId="164" fontId="1" fillId="0" borderId="1" xfId="0" applyFont="1" applyBorder="1" applyAlignment="1">
      <alignment wrapText="1"/>
    </xf>
    <xf numFmtId="164" fontId="1" fillId="2" borderId="1" xfId="0" applyNumberFormat="1" applyFont="1" applyFill="1" applyBorder="1" applyAlignment="1">
      <alignment horizontal="center"/>
    </xf>
    <xf numFmtId="1" fontId="1" fillId="2" borderId="1" xfId="0" applyNumberFormat="1" applyFont="1" applyFill="1" applyBorder="1" applyAlignment="1">
      <alignment horizontal="center"/>
    </xf>
    <xf numFmtId="164" fontId="1" fillId="2" borderId="1" xfId="0" applyFont="1" applyFill="1" applyBorder="1" applyAlignment="1">
      <alignment horizontal="center"/>
    </xf>
    <xf numFmtId="1" fontId="1" fillId="0" borderId="1" xfId="0" applyNumberFormat="1" applyFont="1" applyFill="1" applyBorder="1">
      <alignment horizontal="center" vertical="center"/>
    </xf>
    <xf numFmtId="164" fontId="1" fillId="0" borderId="1" xfId="0" applyNumberFormat="1" applyFont="1" applyFill="1" applyBorder="1">
      <alignment horizontal="center" vertical="center"/>
    </xf>
    <xf numFmtId="1" fontId="1" fillId="0" borderId="0" xfId="0" applyNumberFormat="1" applyFont="1" applyProtection="1">
      <alignment horizontal="center" vertical="center"/>
    </xf>
    <xf numFmtId="1" fontId="1" fillId="0" borderId="0" xfId="0" applyNumberFormat="1" applyFont="1" applyFill="1" applyProtection="1">
      <alignment horizontal="center" vertical="center"/>
    </xf>
    <xf numFmtId="164" fontId="1" fillId="0" borderId="0" xfId="0" applyFont="1" applyProtection="1">
      <alignment horizontal="center" vertical="center"/>
    </xf>
    <xf numFmtId="2" fontId="1" fillId="0" borderId="0" xfId="0" applyNumberFormat="1" applyFont="1">
      <alignment horizontal="center" vertical="center"/>
    </xf>
    <xf numFmtId="165" fontId="1" fillId="0" borderId="0" xfId="0" applyNumberFormat="1" applyFont="1">
      <alignment horizontal="center" vertical="center"/>
    </xf>
    <xf numFmtId="171" fontId="2" fillId="0" borderId="1" xfId="0" applyNumberFormat="1" applyFont="1" applyBorder="1" applyAlignment="1">
      <alignment horizontal="center"/>
    </xf>
    <xf numFmtId="165" fontId="2" fillId="2" borderId="1" xfId="0" applyNumberFormat="1" applyFont="1" applyFill="1" applyBorder="1" applyAlignment="1">
      <alignment horizontal="right"/>
    </xf>
    <xf numFmtId="171" fontId="2" fillId="2" borderId="1" xfId="0" applyNumberFormat="1" applyFont="1" applyFill="1" applyBorder="1" applyAlignment="1">
      <alignment horizontal="center"/>
    </xf>
    <xf numFmtId="164" fontId="1" fillId="0" borderId="2" xfId="0" applyFont="1" applyBorder="1">
      <alignment horizontal="center" vertical="center"/>
    </xf>
    <xf numFmtId="164" fontId="1" fillId="0" borderId="13" xfId="0" applyFont="1" applyBorder="1" applyAlignment="1">
      <alignment horizontal="center"/>
    </xf>
    <xf numFmtId="2" fontId="2" fillId="0" borderId="0" xfId="0" applyNumberFormat="1" applyFont="1" applyAlignment="1">
      <alignment horizontal="center"/>
    </xf>
    <xf numFmtId="164" fontId="1" fillId="0" borderId="1" xfId="0" applyFont="1" applyBorder="1" applyAlignment="1">
      <alignment horizontal="center"/>
    </xf>
    <xf numFmtId="164" fontId="1" fillId="0" borderId="1" xfId="0" applyFont="1" applyBorder="1" applyAlignment="1">
      <alignment horizontal="center" vertical="top" wrapText="1"/>
    </xf>
    <xf numFmtId="15" fontId="2" fillId="0" borderId="0" xfId="0" applyNumberFormat="1" applyFont="1" applyFill="1">
      <alignment horizontal="center" vertical="center"/>
    </xf>
    <xf numFmtId="165" fontId="0" fillId="0" borderId="0" xfId="0" applyNumberFormat="1" applyFill="1">
      <alignment horizontal="center" vertical="center"/>
    </xf>
    <xf numFmtId="164" fontId="12" fillId="3" borderId="11" xfId="0" applyFont="1" applyFill="1" applyBorder="1" applyAlignment="1">
      <alignment horizontal="center" vertical="center" wrapText="1"/>
    </xf>
    <xf numFmtId="164" fontId="12" fillId="3" borderId="2" xfId="0" applyFont="1" applyFill="1" applyBorder="1" applyAlignment="1">
      <alignment horizontal="center" vertical="center" wrapText="1"/>
    </xf>
    <xf numFmtId="164" fontId="1" fillId="7" borderId="0" xfId="0" applyFont="1" applyFill="1">
      <alignment horizontal="center" vertical="center"/>
    </xf>
    <xf numFmtId="164" fontId="1" fillId="0" borderId="0" xfId="0" applyFont="1" applyFill="1" applyBorder="1">
      <alignment horizontal="center" vertical="center"/>
    </xf>
    <xf numFmtId="164" fontId="1" fillId="0" borderId="1" xfId="0" applyFont="1" applyBorder="1" applyAlignment="1">
      <alignment horizontal="right"/>
    </xf>
    <xf numFmtId="164" fontId="2" fillId="0" borderId="0" xfId="0" applyFont="1" applyFill="1" applyBorder="1" applyAlignment="1"/>
    <xf numFmtId="164" fontId="0" fillId="0" borderId="0" xfId="0" applyNumberFormat="1" applyBorder="1">
      <alignment horizontal="center" vertical="center"/>
    </xf>
    <xf numFmtId="164" fontId="2" fillId="0" borderId="0" xfId="0" applyFont="1" applyFill="1" applyBorder="1" applyAlignment="1">
      <alignment horizontal="center" wrapText="1"/>
    </xf>
    <xf numFmtId="164" fontId="10" fillId="0" borderId="0" xfId="0" applyFont="1" applyFill="1" applyBorder="1" applyAlignment="1"/>
    <xf numFmtId="165" fontId="12" fillId="0" borderId="0" xfId="0" applyNumberFormat="1" applyFont="1" applyFill="1" applyBorder="1">
      <alignment horizontal="center" vertical="center"/>
    </xf>
    <xf numFmtId="3" fontId="2" fillId="0" borderId="0" xfId="0" applyNumberFormat="1" applyFont="1" applyFill="1" applyBorder="1">
      <alignment horizontal="center" vertical="center"/>
    </xf>
    <xf numFmtId="165" fontId="12" fillId="0" borderId="0" xfId="0" applyNumberFormat="1" applyFont="1" applyFill="1" applyBorder="1" applyAlignment="1">
      <alignment horizontal="right"/>
    </xf>
    <xf numFmtId="1" fontId="24" fillId="0" borderId="9" xfId="0" applyNumberFormat="1" applyFont="1" applyFill="1" applyBorder="1" applyAlignment="1">
      <alignment horizontal="center"/>
    </xf>
    <xf numFmtId="164" fontId="24" fillId="0" borderId="9" xfId="0" applyFont="1" applyFill="1" applyBorder="1">
      <alignment horizontal="center" vertical="center"/>
    </xf>
    <xf numFmtId="164" fontId="27" fillId="0" borderId="1" xfId="0" applyFont="1" applyBorder="1">
      <alignment horizontal="center" vertical="center"/>
    </xf>
    <xf numFmtId="164" fontId="2" fillId="7" borderId="1" xfId="0" applyFont="1" applyFill="1" applyBorder="1" applyAlignment="1">
      <alignment horizontal="right"/>
    </xf>
    <xf numFmtId="164" fontId="1" fillId="0" borderId="10" xfId="0" applyFont="1" applyBorder="1" applyAlignment="1">
      <alignment horizontal="right"/>
    </xf>
    <xf numFmtId="164" fontId="1" fillId="9" borderId="1" xfId="0" applyFont="1" applyFill="1" applyBorder="1" applyAlignment="1">
      <alignment horizontal="left" vertical="top" wrapText="1"/>
    </xf>
    <xf numFmtId="164" fontId="2" fillId="9" borderId="1" xfId="0" applyFont="1" applyFill="1" applyBorder="1">
      <alignment horizontal="center" vertical="center"/>
    </xf>
    <xf numFmtId="164" fontId="1" fillId="9" borderId="1" xfId="0" applyFont="1" applyFill="1" applyBorder="1">
      <alignment horizontal="center" vertical="center"/>
    </xf>
    <xf numFmtId="164" fontId="0" fillId="0" borderId="1" xfId="0" applyBorder="1" applyAlignment="1">
      <alignment horizontal="right"/>
    </xf>
    <xf numFmtId="164" fontId="1" fillId="0" borderId="1" xfId="0" applyFont="1" applyBorder="1" applyAlignment="1">
      <alignment horizontal="center"/>
    </xf>
    <xf numFmtId="164" fontId="0" fillId="0" borderId="1" xfId="0" applyBorder="1" applyAlignment="1">
      <alignment horizontal="center" vertical="center"/>
    </xf>
    <xf numFmtId="164" fontId="29" fillId="0" borderId="0" xfId="0" applyFont="1">
      <alignment horizontal="center" vertical="center"/>
    </xf>
    <xf numFmtId="164" fontId="29" fillId="0" borderId="0" xfId="0" applyFont="1" applyAlignment="1">
      <alignment wrapText="1"/>
    </xf>
    <xf numFmtId="164" fontId="29" fillId="0" borderId="1" xfId="0" applyFont="1" applyBorder="1" applyAlignment="1">
      <alignment horizontal="left" vertical="top" wrapText="1"/>
    </xf>
    <xf numFmtId="164" fontId="29" fillId="0" borderId="1" xfId="0" applyFont="1" applyBorder="1" applyAlignment="1">
      <alignment horizontal="left" vertical="top"/>
    </xf>
    <xf numFmtId="164" fontId="34" fillId="0" borderId="1" xfId="0" applyFont="1" applyBorder="1" applyAlignment="1">
      <alignment horizontal="left" vertical="top" wrapText="1"/>
    </xf>
    <xf numFmtId="164" fontId="26" fillId="7" borderId="1" xfId="0" applyFont="1" applyFill="1" applyBorder="1" applyAlignment="1">
      <alignment horizontal="left" vertical="top" wrapText="1"/>
    </xf>
    <xf numFmtId="164" fontId="35" fillId="0" borderId="1" xfId="0" applyFont="1" applyBorder="1" applyAlignment="1">
      <alignment horizontal="left" vertical="top" wrapText="1"/>
    </xf>
    <xf numFmtId="164" fontId="0" fillId="0" borderId="1" xfId="0" applyBorder="1" applyAlignment="1">
      <alignment horizontal="center"/>
    </xf>
    <xf numFmtId="14" fontId="1" fillId="0" borderId="0" xfId="0" applyNumberFormat="1" applyFont="1" applyAlignment="1">
      <alignment horizontal="right"/>
    </xf>
    <xf numFmtId="164" fontId="1" fillId="0" borderId="6" xfId="0" applyFont="1" applyBorder="1">
      <alignment horizontal="center" vertical="center"/>
    </xf>
    <xf numFmtId="164" fontId="2" fillId="0" borderId="0" xfId="0" applyFont="1" applyFill="1" applyBorder="1" applyAlignment="1">
      <alignment horizontal="right"/>
    </xf>
    <xf numFmtId="164" fontId="1" fillId="0" borderId="0" xfId="0" applyFont="1" applyAlignment="1">
      <alignment horizontal="left" vertical="top"/>
    </xf>
    <xf numFmtId="164" fontId="0" fillId="0" borderId="0" xfId="0" applyAlignment="1">
      <alignment horizontal="left" vertical="top"/>
    </xf>
    <xf numFmtId="181" fontId="0" fillId="0" borderId="0" xfId="0" applyNumberFormat="1" applyFont="1">
      <alignment horizontal="center" vertical="center"/>
    </xf>
    <xf numFmtId="164" fontId="29" fillId="7" borderId="0" xfId="0" applyFont="1" applyFill="1">
      <alignment horizontal="center" vertical="center"/>
    </xf>
    <xf numFmtId="14" fontId="29" fillId="7" borderId="0" xfId="0" applyNumberFormat="1" applyFont="1" applyFill="1">
      <alignment horizontal="center" vertical="center"/>
    </xf>
    <xf numFmtId="164" fontId="26" fillId="7" borderId="1" xfId="0" applyFont="1" applyFill="1" applyBorder="1">
      <alignment horizontal="center" vertical="center"/>
    </xf>
    <xf numFmtId="164" fontId="26" fillId="0" borderId="1" xfId="0" applyFont="1" applyBorder="1" applyAlignment="1">
      <alignment horizontal="center"/>
    </xf>
    <xf numFmtId="20" fontId="29" fillId="0" borderId="1" xfId="0" applyNumberFormat="1" applyFont="1" applyBorder="1">
      <alignment horizontal="center" vertical="center"/>
    </xf>
    <xf numFmtId="164" fontId="29" fillId="0" borderId="1" xfId="0" applyFont="1" applyBorder="1" applyAlignment="1">
      <alignment horizontal="center"/>
    </xf>
    <xf numFmtId="164" fontId="29" fillId="0" borderId="1" xfId="0" applyFont="1" applyFill="1" applyBorder="1">
      <alignment horizontal="center" vertical="center"/>
    </xf>
    <xf numFmtId="164" fontId="29" fillId="0" borderId="1" xfId="0" applyFont="1" applyBorder="1">
      <alignment horizontal="center" vertical="center"/>
    </xf>
    <xf numFmtId="164" fontId="29" fillId="0" borderId="0" xfId="0" applyFont="1" applyBorder="1">
      <alignment horizontal="center" vertical="center"/>
    </xf>
    <xf numFmtId="164" fontId="29" fillId="0" borderId="1" xfId="0" applyFont="1" applyBorder="1" applyAlignment="1">
      <alignment horizontal="center" vertical="center"/>
    </xf>
    <xf numFmtId="164" fontId="26" fillId="7" borderId="9" xfId="0" applyFont="1" applyFill="1" applyBorder="1" applyAlignment="1">
      <alignment horizontal="center"/>
    </xf>
    <xf numFmtId="172" fontId="29" fillId="7" borderId="0" xfId="0" applyNumberFormat="1" applyFont="1" applyFill="1">
      <alignment horizontal="center" vertical="center"/>
    </xf>
    <xf numFmtId="164" fontId="29" fillId="7" borderId="0" xfId="0" applyFont="1" applyFill="1" applyBorder="1" applyAlignment="1">
      <alignment horizontal="left"/>
    </xf>
    <xf numFmtId="164" fontId="26" fillId="7" borderId="1" xfId="0" applyFont="1" applyFill="1" applyBorder="1" applyAlignment="1">
      <alignment horizontal="center"/>
    </xf>
    <xf numFmtId="164" fontId="29" fillId="0" borderId="0" xfId="0" applyFont="1" applyAlignment="1">
      <alignment horizontal="left"/>
    </xf>
    <xf numFmtId="181" fontId="29" fillId="0" borderId="0" xfId="0" applyNumberFormat="1" applyFont="1" applyFill="1" applyBorder="1" applyAlignment="1">
      <alignment horizontal="left"/>
    </xf>
    <xf numFmtId="181" fontId="36" fillId="0" borderId="0" xfId="3" applyFont="1" applyFill="1" applyBorder="1" applyAlignment="1">
      <alignment horizontal="left"/>
    </xf>
    <xf numFmtId="181" fontId="29" fillId="0" borderId="1" xfId="0" applyNumberFormat="1" applyFont="1" applyFill="1" applyBorder="1" applyAlignment="1">
      <alignment horizontal="left"/>
    </xf>
    <xf numFmtId="164" fontId="29" fillId="0" borderId="0" xfId="0" applyFont="1" applyAlignment="1">
      <alignment horizontal="left" vertical="top"/>
    </xf>
    <xf numFmtId="14" fontId="29" fillId="0" borderId="0" xfId="0" applyNumberFormat="1" applyFont="1">
      <alignment horizontal="center" vertical="center"/>
    </xf>
    <xf numFmtId="164" fontId="1" fillId="7" borderId="1" xfId="0" applyFont="1" applyFill="1" applyBorder="1" applyAlignment="1">
      <alignment horizontal="center" wrapText="1"/>
    </xf>
    <xf numFmtId="164" fontId="1" fillId="7" borderId="9" xfId="0" applyFont="1" applyFill="1" applyBorder="1">
      <alignment horizontal="center" vertical="center"/>
    </xf>
    <xf numFmtId="165" fontId="29" fillId="0" borderId="0" xfId="0" applyNumberFormat="1" applyFont="1">
      <alignment horizontal="center" vertical="center"/>
    </xf>
    <xf numFmtId="2" fontId="29" fillId="0" borderId="0" xfId="0" applyNumberFormat="1" applyFont="1">
      <alignment horizontal="center" vertical="center"/>
    </xf>
    <xf numFmtId="164" fontId="27" fillId="0" borderId="0" xfId="0" applyFont="1">
      <alignment horizontal="center" vertical="center"/>
    </xf>
    <xf numFmtId="164" fontId="1" fillId="0" borderId="4" xfId="0" applyFont="1" applyBorder="1">
      <alignment horizontal="center" vertical="center"/>
    </xf>
    <xf numFmtId="164" fontId="27" fillId="0" borderId="1" xfId="0" applyFont="1" applyFill="1" applyBorder="1">
      <alignment horizontal="center" vertical="center"/>
    </xf>
    <xf numFmtId="165" fontId="0" fillId="0" borderId="1" xfId="0" applyNumberFormat="1" applyBorder="1">
      <alignment horizontal="center" vertical="center"/>
    </xf>
    <xf numFmtId="164" fontId="2" fillId="0" borderId="1" xfId="0" applyFont="1" applyBorder="1" applyAlignment="1">
      <alignment horizontal="center"/>
    </xf>
    <xf numFmtId="164" fontId="1" fillId="0" borderId="1" xfId="0" applyFont="1" applyBorder="1" applyAlignment="1">
      <alignment horizontal="center" vertical="center"/>
    </xf>
    <xf numFmtId="164" fontId="2" fillId="0" borderId="1" xfId="0" applyFont="1" applyBorder="1" applyAlignment="1">
      <alignment horizontal="center" vertical="center"/>
    </xf>
    <xf numFmtId="164" fontId="2" fillId="0" borderId="1" xfId="0" applyFont="1" applyFill="1" applyBorder="1">
      <alignment horizontal="center" vertical="center"/>
    </xf>
    <xf numFmtId="164" fontId="0" fillId="0" borderId="0" xfId="0" applyAlignment="1">
      <alignment horizontal="left"/>
    </xf>
    <xf numFmtId="3" fontId="0" fillId="0" borderId="2" xfId="0" applyNumberFormat="1" applyFill="1" applyBorder="1">
      <alignment horizontal="center" vertical="center"/>
    </xf>
    <xf numFmtId="164" fontId="2" fillId="0" borderId="1" xfId="0" applyFont="1" applyBorder="1" applyAlignment="1">
      <alignment horizontal="center"/>
    </xf>
    <xf numFmtId="164" fontId="2" fillId="7" borderId="1" xfId="0" applyFont="1" applyFill="1" applyBorder="1" applyAlignment="1">
      <alignment horizontal="center"/>
    </xf>
    <xf numFmtId="14" fontId="1" fillId="0" borderId="0" xfId="0" applyNumberFormat="1" applyFont="1">
      <alignment horizontal="center" vertical="center"/>
    </xf>
    <xf numFmtId="164" fontId="26" fillId="16" borderId="1" xfId="0" applyFont="1" applyFill="1" applyBorder="1">
      <alignment horizontal="center" vertical="center"/>
    </xf>
    <xf numFmtId="14" fontId="29" fillId="0" borderId="1" xfId="0" applyNumberFormat="1" applyFont="1" applyBorder="1">
      <alignment horizontal="center" vertical="center"/>
    </xf>
    <xf numFmtId="164" fontId="1" fillId="6" borderId="1" xfId="0" applyFont="1" applyFill="1" applyBorder="1">
      <alignment horizontal="center" vertical="center"/>
    </xf>
    <xf numFmtId="164" fontId="26" fillId="0" borderId="1" xfId="0" applyFont="1" applyBorder="1">
      <alignment horizontal="center" vertical="center"/>
    </xf>
    <xf numFmtId="164" fontId="26" fillId="0" borderId="1" xfId="0" applyFont="1" applyBorder="1" applyAlignment="1">
      <alignment wrapText="1"/>
    </xf>
    <xf numFmtId="164" fontId="29" fillId="7" borderId="1" xfId="0" applyFont="1" applyFill="1" applyBorder="1">
      <alignment horizontal="center" vertical="center"/>
    </xf>
    <xf numFmtId="164" fontId="1" fillId="0" borderId="12" xfId="0" applyFont="1" applyBorder="1">
      <alignment horizontal="center" vertical="center"/>
    </xf>
    <xf numFmtId="164" fontId="2" fillId="9" borderId="6" xfId="0" applyFont="1" applyFill="1" applyBorder="1" applyAlignment="1"/>
    <xf numFmtId="164" fontId="2" fillId="9" borderId="4" xfId="0" applyFont="1" applyFill="1" applyBorder="1" applyAlignment="1"/>
    <xf numFmtId="20" fontId="1" fillId="0" borderId="1" xfId="0" applyNumberFormat="1" applyFont="1" applyBorder="1" applyAlignment="1">
      <alignment horizontal="left"/>
    </xf>
    <xf numFmtId="164" fontId="1" fillId="0" borderId="1" xfId="0" applyFont="1" applyBorder="1" applyAlignment="1">
      <alignment horizontal="left"/>
    </xf>
    <xf numFmtId="164" fontId="37" fillId="0" borderId="1" xfId="0" applyFont="1" applyBorder="1" applyAlignment="1">
      <alignment horizontal="left"/>
    </xf>
    <xf numFmtId="164" fontId="1" fillId="0" borderId="1" xfId="0" applyFont="1" applyBorder="1" applyAlignment="1">
      <alignment vertical="top" wrapText="1"/>
    </xf>
    <xf numFmtId="164" fontId="2" fillId="7" borderId="2" xfId="0" applyFont="1" applyFill="1" applyBorder="1">
      <alignment horizontal="center" vertical="center"/>
    </xf>
    <xf numFmtId="164" fontId="2" fillId="7" borderId="2" xfId="0" applyFont="1" applyFill="1" applyBorder="1" applyAlignment="1">
      <alignment wrapText="1"/>
    </xf>
    <xf numFmtId="2" fontId="1" fillId="0" borderId="1" xfId="0" applyNumberFormat="1" applyFont="1" applyBorder="1">
      <alignment horizontal="center" vertical="center"/>
    </xf>
    <xf numFmtId="164" fontId="1" fillId="0" borderId="4" xfId="0" applyFont="1" applyBorder="1" applyAlignment="1">
      <alignment horizontal="left"/>
    </xf>
    <xf numFmtId="2" fontId="1" fillId="0" borderId="0" xfId="0" applyNumberFormat="1" applyFont="1" applyBorder="1">
      <alignment horizontal="center" vertical="center"/>
    </xf>
    <xf numFmtId="164" fontId="1" fillId="0" borderId="13" xfId="0" applyFont="1" applyBorder="1">
      <alignment horizontal="center" vertical="center"/>
    </xf>
    <xf numFmtId="164" fontId="1" fillId="0" borderId="14" xfId="0" applyFont="1" applyBorder="1">
      <alignment horizontal="center" vertical="center"/>
    </xf>
    <xf numFmtId="164" fontId="1" fillId="0" borderId="14" xfId="0" applyFont="1" applyBorder="1" applyAlignment="1">
      <alignment horizontal="center"/>
    </xf>
    <xf numFmtId="164" fontId="2" fillId="7" borderId="9" xfId="0" applyFont="1" applyFill="1" applyBorder="1" applyAlignment="1">
      <alignment horizontal="right"/>
    </xf>
    <xf numFmtId="2" fontId="0" fillId="0" borderId="0" xfId="0" applyNumberFormat="1" applyAlignment="1">
      <alignment horizontal="center"/>
    </xf>
    <xf numFmtId="20" fontId="27" fillId="0" borderId="1" xfId="0" applyNumberFormat="1" applyFont="1" applyBorder="1">
      <alignment horizontal="center" vertical="center"/>
    </xf>
    <xf numFmtId="164" fontId="0" fillId="0" borderId="0" xfId="0" applyAlignment="1">
      <alignment wrapText="1"/>
    </xf>
    <xf numFmtId="164" fontId="0" fillId="17" borderId="1" xfId="0" applyNumberFormat="1" applyFill="1" applyBorder="1" applyAlignment="1">
      <alignment horizontal="center"/>
    </xf>
    <xf numFmtId="2" fontId="2" fillId="0" borderId="0" xfId="0" applyNumberFormat="1" applyFont="1" applyAlignment="1">
      <alignment horizontal="center"/>
    </xf>
    <xf numFmtId="164" fontId="2" fillId="2" borderId="0" xfId="0" applyFont="1" applyFill="1" applyAlignment="1">
      <alignment horizontal="center"/>
    </xf>
    <xf numFmtId="1" fontId="1" fillId="0" borderId="1" xfId="0" applyNumberFormat="1" applyFont="1" applyFill="1" applyBorder="1" applyAlignment="1">
      <alignment horizontal="center"/>
    </xf>
    <xf numFmtId="3" fontId="2" fillId="10" borderId="1" xfId="0" applyNumberFormat="1" applyFont="1" applyFill="1" applyBorder="1" applyAlignment="1">
      <alignment horizontal="center"/>
    </xf>
    <xf numFmtId="181" fontId="1" fillId="0" borderId="0" xfId="6" applyBorder="1">
      <alignment horizontal="left" vertical="center"/>
    </xf>
    <xf numFmtId="3" fontId="1" fillId="0" borderId="0" xfId="6" applyNumberFormat="1" applyBorder="1">
      <alignment horizontal="left" vertical="center"/>
    </xf>
    <xf numFmtId="164" fontId="6" fillId="0" borderId="0" xfId="0" applyFont="1" applyFill="1">
      <alignment horizontal="center" vertical="center"/>
    </xf>
    <xf numFmtId="164" fontId="6" fillId="0" borderId="0" xfId="0" applyFont="1" applyFill="1" applyBorder="1">
      <alignment horizontal="center" vertical="center"/>
    </xf>
    <xf numFmtId="3" fontId="0" fillId="0" borderId="0" xfId="0" applyNumberFormat="1" applyBorder="1">
      <alignment horizontal="center" vertical="center"/>
    </xf>
    <xf numFmtId="164" fontId="0" fillId="0" borderId="0" xfId="0" applyBorder="1" applyAlignment="1">
      <alignment horizontal="right"/>
    </xf>
    <xf numFmtId="15" fontId="0" fillId="0" borderId="0" xfId="0" applyNumberFormat="1" applyBorder="1" applyAlignment="1"/>
    <xf numFmtId="164" fontId="38" fillId="2" borderId="1" xfId="0" applyFont="1" applyFill="1" applyBorder="1">
      <alignment horizontal="center" vertical="center"/>
    </xf>
    <xf numFmtId="164" fontId="38" fillId="2" borderId="1" xfId="0" applyFont="1" applyFill="1" applyBorder="1" applyAlignment="1">
      <alignment horizontal="center"/>
    </xf>
    <xf numFmtId="164" fontId="27" fillId="0" borderId="1" xfId="0" applyFont="1" applyBorder="1" applyAlignment="1">
      <alignment wrapText="1"/>
    </xf>
    <xf numFmtId="164" fontId="27" fillId="0" borderId="1" xfId="0" applyNumberFormat="1" applyFont="1" applyBorder="1" applyAlignment="1">
      <alignment horizontal="center"/>
    </xf>
    <xf numFmtId="164" fontId="27" fillId="0" borderId="1" xfId="0" applyFont="1" applyBorder="1" applyAlignment="1">
      <alignment horizontal="center"/>
    </xf>
    <xf numFmtId="181" fontId="40" fillId="0" borderId="1" xfId="6" applyFont="1" applyBorder="1">
      <alignment horizontal="left" vertical="center"/>
    </xf>
    <xf numFmtId="164" fontId="2" fillId="17" borderId="1" xfId="0" applyFont="1" applyFill="1" applyBorder="1" applyAlignment="1">
      <alignment wrapText="1"/>
    </xf>
    <xf numFmtId="1" fontId="0" fillId="0" borderId="1" xfId="0" applyNumberFormat="1" applyBorder="1" applyAlignment="1">
      <alignment horizontal="center" vertical="center"/>
    </xf>
    <xf numFmtId="1" fontId="0" fillId="0" borderId="0" xfId="0" applyNumberFormat="1" applyBorder="1" applyAlignment="1">
      <alignment horizontal="center" vertical="center"/>
    </xf>
    <xf numFmtId="164" fontId="1" fillId="0" borderId="0" xfId="0" applyNumberFormat="1" applyFont="1" applyFill="1" applyBorder="1" applyAlignment="1">
      <alignment horizontal="right"/>
    </xf>
    <xf numFmtId="164" fontId="28" fillId="7" borderId="1" xfId="0" applyFont="1" applyFill="1" applyBorder="1" applyAlignment="1">
      <alignment horizontal="center"/>
    </xf>
    <xf numFmtId="164" fontId="16" fillId="0" borderId="0" xfId="0" applyFont="1">
      <alignment horizontal="center" vertical="center"/>
    </xf>
    <xf numFmtId="164" fontId="16" fillId="0" borderId="0" xfId="0" applyFont="1" applyAlignment="1">
      <alignment horizontal="left" indent="8"/>
    </xf>
    <xf numFmtId="164" fontId="41" fillId="0" borderId="0" xfId="0" applyFont="1">
      <alignment horizontal="center" vertical="center"/>
    </xf>
    <xf numFmtId="164" fontId="16" fillId="0" borderId="0" xfId="0" applyFont="1" applyAlignment="1">
      <alignment horizontal="left" vertical="center"/>
    </xf>
    <xf numFmtId="164" fontId="16" fillId="0" borderId="1" xfId="0" applyFont="1" applyBorder="1" applyAlignment="1">
      <alignment vertical="center"/>
    </xf>
    <xf numFmtId="164" fontId="1" fillId="0" borderId="1" xfId="0" applyFont="1" applyFill="1" applyBorder="1" applyAlignment="1">
      <alignment horizontal="center" vertical="center"/>
    </xf>
    <xf numFmtId="164" fontId="28" fillId="7" borderId="1" xfId="0" applyFont="1" applyFill="1" applyBorder="1">
      <alignment horizontal="center" vertical="center"/>
    </xf>
    <xf numFmtId="164" fontId="28" fillId="0" borderId="1" xfId="0" applyFont="1" applyBorder="1" applyAlignment="1">
      <alignment horizontal="center"/>
    </xf>
    <xf numFmtId="164" fontId="27" fillId="0" borderId="0" xfId="0" applyFont="1" applyBorder="1">
      <alignment horizontal="center" vertical="center"/>
    </xf>
    <xf numFmtId="172" fontId="27" fillId="7" borderId="1" xfId="0" applyNumberFormat="1" applyFont="1" applyFill="1" applyBorder="1">
      <alignment horizontal="center" vertical="center"/>
    </xf>
    <xf numFmtId="164" fontId="29" fillId="0" borderId="6" xfId="0" applyFont="1" applyBorder="1" applyAlignment="1">
      <alignment horizontal="center"/>
    </xf>
    <xf numFmtId="164" fontId="29" fillId="0" borderId="4" xfId="0" applyFont="1" applyBorder="1" applyAlignment="1">
      <alignment horizontal="center"/>
    </xf>
    <xf numFmtId="164" fontId="27" fillId="0" borderId="0" xfId="0" applyFont="1" applyBorder="1" applyAlignment="1">
      <alignment horizontal="center"/>
    </xf>
    <xf numFmtId="164" fontId="29" fillId="0" borderId="0" xfId="0" applyFont="1" applyFill="1" applyBorder="1">
      <alignment horizontal="center" vertical="center"/>
    </xf>
    <xf numFmtId="164" fontId="26" fillId="16" borderId="0" xfId="0" applyFont="1" applyFill="1" applyBorder="1" applyAlignment="1">
      <alignment horizontal="center"/>
    </xf>
    <xf numFmtId="164" fontId="26" fillId="0" borderId="0" xfId="0" applyFont="1" applyBorder="1" applyAlignment="1">
      <alignment wrapText="1"/>
    </xf>
    <xf numFmtId="164" fontId="26" fillId="0" borderId="0" xfId="0" applyFont="1" applyFill="1" applyBorder="1" applyAlignment="1">
      <alignment horizontal="center"/>
    </xf>
    <xf numFmtId="14" fontId="0" fillId="0" borderId="0" xfId="0" applyNumberFormat="1" applyBorder="1">
      <alignment horizontal="center" vertical="center"/>
    </xf>
    <xf numFmtId="20" fontId="0" fillId="0" borderId="0" xfId="0" applyNumberFormat="1" applyBorder="1">
      <alignment horizontal="center" vertical="center"/>
    </xf>
    <xf numFmtId="164" fontId="16" fillId="0" borderId="0" xfId="0" applyFont="1" applyFill="1" applyBorder="1" applyAlignment="1">
      <alignment vertical="top" wrapText="1"/>
    </xf>
    <xf numFmtId="164" fontId="2" fillId="0" borderId="1" xfId="0" applyFont="1" applyBorder="1" applyAlignment="1">
      <alignment horizontal="center"/>
    </xf>
    <xf numFmtId="181" fontId="2" fillId="7" borderId="6" xfId="0" applyNumberFormat="1" applyFont="1" applyFill="1" applyBorder="1" applyAlignment="1">
      <alignment horizontal="right"/>
    </xf>
    <xf numFmtId="2" fontId="14" fillId="0" borderId="1" xfId="0" applyNumberFormat="1" applyFont="1" applyFill="1" applyBorder="1" applyAlignment="1">
      <alignment horizontal="center"/>
    </xf>
    <xf numFmtId="2" fontId="23" fillId="0" borderId="1" xfId="0" applyNumberFormat="1" applyFont="1" applyBorder="1" applyAlignment="1">
      <alignment horizontal="center"/>
    </xf>
    <xf numFmtId="2" fontId="2" fillId="0" borderId="1" xfId="0" applyNumberFormat="1" applyFont="1" applyFill="1" applyBorder="1" applyAlignment="1">
      <alignment horizontal="center"/>
    </xf>
    <xf numFmtId="2" fontId="14" fillId="7" borderId="1" xfId="0" applyNumberFormat="1" applyFont="1" applyFill="1" applyBorder="1" applyAlignment="1">
      <alignment horizontal="center"/>
    </xf>
    <xf numFmtId="164" fontId="2" fillId="2" borderId="0" xfId="0" applyFont="1" applyFill="1" applyAlignment="1">
      <alignment horizontal="center"/>
    </xf>
    <xf numFmtId="164" fontId="0" fillId="0" borderId="0" xfId="0" applyAlignment="1">
      <alignment horizontal="left"/>
    </xf>
    <xf numFmtId="164" fontId="2" fillId="0" borderId="1" xfId="0" applyFont="1" applyBorder="1" applyAlignment="1">
      <alignment horizontal="center"/>
    </xf>
    <xf numFmtId="164" fontId="29" fillId="0" borderId="1" xfId="0" applyFont="1" applyBorder="1" applyAlignment="1">
      <alignment horizontal="center"/>
    </xf>
    <xf numFmtId="2" fontId="2" fillId="0" borderId="0" xfId="0" applyNumberFormat="1" applyFont="1">
      <alignment horizontal="center" vertical="center"/>
    </xf>
    <xf numFmtId="1" fontId="2" fillId="0" borderId="0" xfId="0" applyNumberFormat="1" applyFont="1" applyAlignment="1">
      <alignment horizontal="center"/>
    </xf>
    <xf numFmtId="1" fontId="0" fillId="0" borderId="0" xfId="0" applyNumberFormat="1" applyAlignment="1">
      <alignment horizontal="center"/>
    </xf>
    <xf numFmtId="164" fontId="2" fillId="0" borderId="9" xfId="0" applyFont="1" applyFill="1" applyBorder="1">
      <alignment horizontal="center" vertical="center"/>
    </xf>
    <xf numFmtId="2" fontId="2" fillId="0" borderId="1" xfId="0" applyNumberFormat="1" applyFont="1" applyBorder="1">
      <alignment horizontal="center" vertical="center"/>
    </xf>
    <xf numFmtId="164" fontId="2" fillId="0" borderId="1" xfId="0" applyNumberFormat="1" applyFont="1" applyBorder="1">
      <alignment horizontal="center" vertical="center"/>
    </xf>
    <xf numFmtId="164" fontId="2" fillId="0" borderId="9" xfId="0" applyNumberFormat="1" applyFont="1" applyFill="1" applyBorder="1">
      <alignment horizontal="center" vertical="center"/>
    </xf>
    <xf numFmtId="181" fontId="2" fillId="7" borderId="1" xfId="0" applyNumberFormat="1" applyFont="1" applyFill="1" applyBorder="1" applyAlignment="1">
      <alignment horizontal="center"/>
    </xf>
    <xf numFmtId="164" fontId="14" fillId="2" borderId="0" xfId="0" applyNumberFormat="1" applyFont="1" applyFill="1" applyBorder="1" applyAlignment="1">
      <alignment horizontal="left" vertical="top" wrapText="1"/>
    </xf>
    <xf numFmtId="181" fontId="1" fillId="0" borderId="0" xfId="0" applyNumberFormat="1" applyFont="1" applyFill="1" applyBorder="1" applyAlignment="1">
      <alignment horizontal="center"/>
    </xf>
    <xf numFmtId="2" fontId="2" fillId="2" borderId="1" xfId="0" applyNumberFormat="1" applyFont="1" applyFill="1" applyBorder="1">
      <alignment horizontal="center" vertical="center"/>
    </xf>
    <xf numFmtId="2" fontId="4" fillId="2" borderId="1" xfId="0" applyNumberFormat="1" applyFont="1" applyFill="1" applyBorder="1">
      <alignment horizontal="center" vertical="center"/>
    </xf>
    <xf numFmtId="2" fontId="2" fillId="2" borderId="4" xfId="0" applyNumberFormat="1" applyFont="1" applyFill="1" applyBorder="1">
      <alignment horizontal="center" vertical="center"/>
    </xf>
    <xf numFmtId="171" fontId="4" fillId="2" borderId="1" xfId="0" applyNumberFormat="1" applyFont="1" applyFill="1" applyBorder="1">
      <alignment horizontal="center" vertical="center"/>
    </xf>
    <xf numFmtId="171" fontId="2" fillId="4" borderId="1" xfId="0" applyNumberFormat="1" applyFont="1" applyFill="1" applyBorder="1" applyAlignment="1">
      <alignment horizontal="center"/>
    </xf>
    <xf numFmtId="165" fontId="29" fillId="0" borderId="1" xfId="0" applyNumberFormat="1" applyFont="1" applyBorder="1" applyAlignment="1">
      <alignment horizontal="center"/>
    </xf>
    <xf numFmtId="1" fontId="14" fillId="0" borderId="0" xfId="0" applyNumberFormat="1" applyFont="1" applyFill="1" applyBorder="1">
      <alignment horizontal="center" vertical="center"/>
    </xf>
    <xf numFmtId="165" fontId="14" fillId="2" borderId="6" xfId="0" applyNumberFormat="1" applyFont="1" applyFill="1" applyBorder="1" applyAlignment="1">
      <alignment horizontal="left" vertical="top" wrapText="1"/>
    </xf>
    <xf numFmtId="164" fontId="14" fillId="2" borderId="6" xfId="0" applyNumberFormat="1" applyFont="1" applyFill="1" applyBorder="1" applyAlignment="1">
      <alignment horizontal="left" vertical="top" wrapText="1"/>
    </xf>
    <xf numFmtId="181" fontId="2" fillId="0" borderId="1" xfId="0" applyNumberFormat="1" applyFont="1" applyFill="1" applyBorder="1" applyAlignment="1">
      <alignment horizontal="center"/>
    </xf>
    <xf numFmtId="164" fontId="8" fillId="0" borderId="1" xfId="0" applyFont="1" applyBorder="1" applyAlignment="1">
      <alignment horizontal="center"/>
    </xf>
    <xf numFmtId="14" fontId="42" fillId="0" borderId="0" xfId="0" applyNumberFormat="1" applyFont="1">
      <alignment horizontal="center" vertical="center"/>
    </xf>
    <xf numFmtId="164" fontId="8" fillId="0" borderId="1" xfId="0" applyFont="1" applyFill="1" applyBorder="1" applyAlignment="1">
      <alignment horizontal="center"/>
    </xf>
    <xf numFmtId="164" fontId="8" fillId="0" borderId="1" xfId="0" applyFont="1" applyFill="1" applyBorder="1">
      <alignment horizontal="center" vertical="center"/>
    </xf>
    <xf numFmtId="164" fontId="8" fillId="0" borderId="0" xfId="0" applyFont="1" applyBorder="1">
      <alignment horizontal="center" vertical="center"/>
    </xf>
    <xf numFmtId="164" fontId="8" fillId="18" borderId="1" xfId="0" applyFont="1" applyFill="1" applyBorder="1" applyAlignment="1">
      <alignment vertical="top" wrapText="1"/>
    </xf>
    <xf numFmtId="181" fontId="43" fillId="0" borderId="1" xfId="3" applyFont="1" applyFill="1" applyBorder="1" applyAlignment="1">
      <alignment horizontal="left"/>
    </xf>
    <xf numFmtId="164" fontId="8" fillId="0" borderId="1" xfId="0" applyFont="1" applyBorder="1" applyAlignment="1">
      <alignment horizontal="left"/>
    </xf>
    <xf numFmtId="164" fontId="8" fillId="0" borderId="0" xfId="0" applyFont="1" applyBorder="1" applyAlignment="1">
      <alignment horizontal="center"/>
    </xf>
    <xf numFmtId="164" fontId="8" fillId="0" borderId="0" xfId="0" applyFont="1" applyBorder="1" applyAlignment="1">
      <alignment horizontal="center"/>
    </xf>
    <xf numFmtId="164" fontId="45" fillId="19" borderId="1" xfId="0" applyFont="1" applyFill="1" applyBorder="1" applyAlignment="1">
      <alignment vertical="top" wrapText="1"/>
    </xf>
    <xf numFmtId="164" fontId="45" fillId="19" borderId="1" xfId="0" applyFont="1" applyFill="1" applyBorder="1" applyAlignment="1">
      <alignment horizontal="center" vertical="top" wrapText="1"/>
    </xf>
    <xf numFmtId="164" fontId="45" fillId="0" borderId="1" xfId="0" applyFont="1" applyBorder="1" applyAlignment="1">
      <alignment horizontal="center" vertical="top" wrapText="1"/>
    </xf>
    <xf numFmtId="164" fontId="46" fillId="0" borderId="1" xfId="0" applyFont="1" applyBorder="1" applyAlignment="1">
      <alignment vertical="top" wrapText="1"/>
    </xf>
    <xf numFmtId="164" fontId="16" fillId="0" borderId="1" xfId="0" applyFont="1" applyBorder="1" applyAlignment="1">
      <alignment horizontal="left"/>
    </xf>
    <xf numFmtId="164" fontId="16" fillId="0" borderId="1" xfId="0" applyFont="1" applyBorder="1" applyAlignment="1">
      <alignment horizontal="center"/>
    </xf>
    <xf numFmtId="164" fontId="46" fillId="0" borderId="0" xfId="0" applyFont="1" applyBorder="1" applyAlignment="1">
      <alignment horizontal="center" vertical="top" wrapText="1"/>
    </xf>
    <xf numFmtId="164" fontId="8" fillId="0" borderId="0" xfId="0" applyFont="1" applyFill="1">
      <alignment horizontal="center" vertical="center"/>
    </xf>
    <xf numFmtId="164" fontId="8" fillId="0" borderId="0" xfId="0" applyFont="1" applyFill="1" applyBorder="1" applyAlignment="1">
      <alignment horizontal="center"/>
    </xf>
    <xf numFmtId="164" fontId="4" fillId="0" borderId="0" xfId="0" applyFont="1" applyFill="1" applyBorder="1" applyAlignment="1">
      <alignment horizontal="center" vertical="center"/>
    </xf>
    <xf numFmtId="44" fontId="8" fillId="0" borderId="1" xfId="7" applyFont="1" applyBorder="1"/>
    <xf numFmtId="164" fontId="8" fillId="0" borderId="0" xfId="0" applyFont="1" applyFill="1" applyBorder="1" applyAlignment="1">
      <alignment vertical="center"/>
    </xf>
    <xf numFmtId="164" fontId="4" fillId="0" borderId="1" xfId="0" applyFont="1" applyFill="1" applyBorder="1" applyAlignment="1">
      <alignment horizontal="center" vertical="center"/>
    </xf>
    <xf numFmtId="44" fontId="8" fillId="0" borderId="0" xfId="0" applyNumberFormat="1" applyFont="1" applyBorder="1">
      <alignment horizontal="center" vertical="center"/>
    </xf>
    <xf numFmtId="173" fontId="8" fillId="0" borderId="1" xfId="0" applyNumberFormat="1" applyFont="1" applyBorder="1">
      <alignment horizontal="center" vertical="center"/>
    </xf>
    <xf numFmtId="44" fontId="8" fillId="0" borderId="1" xfId="0" applyNumberFormat="1" applyFont="1" applyFill="1" applyBorder="1" applyAlignment="1">
      <alignment horizontal="center"/>
    </xf>
    <xf numFmtId="44" fontId="8" fillId="0" borderId="1" xfId="0" applyNumberFormat="1" applyFont="1" applyBorder="1">
      <alignment horizontal="center" vertical="center"/>
    </xf>
    <xf numFmtId="44" fontId="8" fillId="0" borderId="1" xfId="7" applyFont="1" applyBorder="1" applyAlignment="1">
      <alignment horizontal="center"/>
    </xf>
    <xf numFmtId="173" fontId="8" fillId="0" borderId="1" xfId="0" applyNumberFormat="1" applyFont="1" applyBorder="1" applyAlignment="1">
      <alignment horizontal="center"/>
    </xf>
    <xf numFmtId="164" fontId="8" fillId="0" borderId="7" xfId="0" applyFont="1" applyBorder="1" applyAlignment="1">
      <alignment vertical="center" wrapText="1"/>
    </xf>
    <xf numFmtId="181" fontId="43" fillId="0" borderId="7" xfId="3" applyFont="1" applyFill="1" applyBorder="1" applyAlignment="1">
      <alignment vertical="center" wrapText="1"/>
    </xf>
    <xf numFmtId="164" fontId="8" fillId="0" borderId="0" xfId="0" applyFont="1" applyBorder="1" applyAlignment="1">
      <alignment horizontal="center"/>
    </xf>
    <xf numFmtId="164" fontId="4" fillId="0" borderId="1" xfId="0" applyFont="1" applyBorder="1" applyAlignment="1">
      <alignment horizontal="center"/>
    </xf>
    <xf numFmtId="164" fontId="46" fillId="0" borderId="1" xfId="0" applyFont="1" applyBorder="1" applyAlignment="1">
      <alignment horizontal="left" vertical="top" wrapText="1" indent="1"/>
    </xf>
    <xf numFmtId="164" fontId="46" fillId="0" borderId="1" xfId="0" applyFont="1" applyBorder="1" applyAlignment="1">
      <alignment horizontal="center" vertical="top" wrapText="1"/>
    </xf>
    <xf numFmtId="164" fontId="29" fillId="0" borderId="1" xfId="0" applyFont="1" applyBorder="1" applyAlignment="1">
      <alignment horizontal="left" vertical="top" wrapText="1"/>
    </xf>
    <xf numFmtId="164" fontId="8" fillId="0" borderId="0" xfId="0" applyFont="1" applyFill="1" applyBorder="1">
      <alignment horizontal="center" vertical="center"/>
    </xf>
    <xf numFmtId="164" fontId="4" fillId="0" borderId="0" xfId="0" applyFont="1" applyFill="1" applyBorder="1" applyAlignment="1">
      <alignment vertical="center" wrapText="1"/>
    </xf>
    <xf numFmtId="164" fontId="8" fillId="0" borderId="0" xfId="0" applyFont="1" applyBorder="1" applyAlignment="1">
      <alignment horizontal="center"/>
    </xf>
    <xf numFmtId="164" fontId="4" fillId="7" borderId="1" xfId="0" applyFont="1" applyFill="1" applyBorder="1" applyAlignment="1">
      <alignment horizontal="center" vertical="center"/>
    </xf>
    <xf numFmtId="44" fontId="4" fillId="7" borderId="1" xfId="7" applyFont="1" applyFill="1" applyBorder="1" applyAlignment="1">
      <alignment horizontal="center" vertical="center"/>
    </xf>
    <xf numFmtId="44" fontId="8" fillId="0" borderId="1" xfId="7" applyFont="1" applyFill="1" applyBorder="1" applyAlignment="1">
      <alignment horizontal="center"/>
    </xf>
    <xf numFmtId="2" fontId="2" fillId="0" borderId="0" xfId="0" applyNumberFormat="1" applyFont="1" applyAlignment="1">
      <alignment horizontal="center"/>
    </xf>
    <xf numFmtId="164" fontId="6" fillId="0" borderId="1" xfId="0" applyFont="1" applyFill="1" applyBorder="1" applyAlignment="1">
      <alignment wrapText="1"/>
    </xf>
    <xf numFmtId="1" fontId="28" fillId="0" borderId="1" xfId="0" applyNumberFormat="1" applyFont="1" applyBorder="1" applyAlignment="1">
      <alignment horizontal="center"/>
    </xf>
    <xf numFmtId="164" fontId="28" fillId="0" borderId="1" xfId="0" applyNumberFormat="1" applyFont="1" applyBorder="1" applyAlignment="1">
      <alignment horizontal="center"/>
    </xf>
    <xf numFmtId="165" fontId="28" fillId="0" borderId="0" xfId="0" applyNumberFormat="1" applyFont="1">
      <alignment horizontal="center" vertical="center"/>
    </xf>
    <xf numFmtId="165" fontId="28" fillId="0" borderId="1" xfId="0" applyNumberFormat="1" applyFont="1" applyBorder="1" applyAlignment="1">
      <alignment horizontal="right"/>
    </xf>
    <xf numFmtId="15" fontId="28" fillId="2" borderId="1" xfId="0" applyNumberFormat="1" applyFont="1" applyFill="1" applyBorder="1" applyAlignment="1">
      <alignment horizontal="center"/>
    </xf>
    <xf numFmtId="164" fontId="28" fillId="2" borderId="1" xfId="0" applyNumberFormat="1" applyFont="1" applyFill="1" applyBorder="1">
      <alignment horizontal="center" vertical="center"/>
    </xf>
    <xf numFmtId="165" fontId="28" fillId="2" borderId="1" xfId="0" applyNumberFormat="1" applyFont="1" applyFill="1" applyBorder="1" applyAlignment="1">
      <alignment horizontal="left" vertical="top" wrapText="1"/>
    </xf>
    <xf numFmtId="3" fontId="28" fillId="2" borderId="1" xfId="0" applyNumberFormat="1" applyFont="1" applyFill="1" applyBorder="1" applyAlignment="1">
      <alignment horizontal="center"/>
    </xf>
    <xf numFmtId="164" fontId="28" fillId="2" borderId="1" xfId="0" applyNumberFormat="1" applyFont="1" applyFill="1" applyBorder="1" applyAlignment="1">
      <alignment horizontal="center"/>
    </xf>
    <xf numFmtId="164" fontId="28" fillId="2" borderId="1" xfId="0" applyFont="1" applyFill="1" applyBorder="1">
      <alignment horizontal="center" vertical="center"/>
    </xf>
    <xf numFmtId="164" fontId="28" fillId="2" borderId="1" xfId="0" applyFont="1" applyFill="1" applyBorder="1" applyAlignment="1">
      <alignment horizontal="center"/>
    </xf>
    <xf numFmtId="164" fontId="28" fillId="2" borderId="1" xfId="0" applyFont="1" applyFill="1" applyBorder="1" applyAlignment="1">
      <alignment horizontal="right"/>
    </xf>
    <xf numFmtId="164" fontId="28" fillId="0" borderId="0" xfId="0" applyFont="1" applyFill="1" applyBorder="1" applyAlignment="1">
      <alignment horizontal="right"/>
    </xf>
    <xf numFmtId="3" fontId="28" fillId="0" borderId="0" xfId="0" applyNumberFormat="1" applyFont="1" applyFill="1" applyBorder="1" applyAlignment="1">
      <alignment horizontal="center"/>
    </xf>
    <xf numFmtId="1" fontId="27" fillId="0" borderId="1" xfId="0" applyNumberFormat="1" applyFont="1" applyFill="1" applyBorder="1" applyAlignment="1">
      <alignment horizontal="center"/>
    </xf>
    <xf numFmtId="165" fontId="28" fillId="0" borderId="1" xfId="0" applyNumberFormat="1" applyFont="1" applyFill="1" applyBorder="1" applyAlignment="1">
      <alignment horizontal="left" vertical="top" wrapText="1"/>
    </xf>
    <xf numFmtId="3" fontId="28" fillId="0" borderId="1" xfId="0" applyNumberFormat="1" applyFont="1" applyFill="1" applyBorder="1" applyAlignment="1">
      <alignment horizontal="center"/>
    </xf>
    <xf numFmtId="164" fontId="28" fillId="0" borderId="1" xfId="0" applyFont="1" applyBorder="1">
      <alignment horizontal="center" vertical="center"/>
    </xf>
    <xf numFmtId="164" fontId="28" fillId="2" borderId="2" xfId="0" applyNumberFormat="1" applyFont="1" applyFill="1" applyBorder="1" applyAlignment="1">
      <alignment horizontal="center"/>
    </xf>
    <xf numFmtId="1" fontId="28" fillId="2" borderId="1" xfId="0" applyNumberFormat="1" applyFont="1" applyFill="1" applyBorder="1" applyAlignment="1">
      <alignment horizontal="center"/>
    </xf>
    <xf numFmtId="164" fontId="28" fillId="2" borderId="1" xfId="0" applyFont="1" applyFill="1" applyBorder="1" applyAlignment="1">
      <alignment wrapText="1"/>
    </xf>
    <xf numFmtId="15" fontId="28" fillId="2" borderId="1" xfId="0" applyNumberFormat="1" applyFont="1" applyFill="1" applyBorder="1">
      <alignment horizontal="center" vertical="center"/>
    </xf>
    <xf numFmtId="164" fontId="28" fillId="0" borderId="3" xfId="0" applyNumberFormat="1" applyFont="1" applyBorder="1" applyAlignment="1">
      <alignment horizontal="center"/>
    </xf>
    <xf numFmtId="3" fontId="27" fillId="0" borderId="1" xfId="0" applyNumberFormat="1" applyFont="1" applyBorder="1" applyAlignment="1">
      <alignment horizontal="center"/>
    </xf>
    <xf numFmtId="164" fontId="27" fillId="0" borderId="1" xfId="0" applyFont="1" applyBorder="1" applyAlignment="1">
      <alignment horizontal="left"/>
    </xf>
    <xf numFmtId="164" fontId="27" fillId="0" borderId="6" xfId="0" applyFont="1" applyFill="1" applyBorder="1" applyAlignment="1">
      <alignment horizontal="left"/>
    </xf>
    <xf numFmtId="164" fontId="27" fillId="0" borderId="6" xfId="0" applyFont="1" applyBorder="1" applyAlignment="1">
      <alignment horizontal="left"/>
    </xf>
    <xf numFmtId="164" fontId="28" fillId="7" borderId="1" xfId="0" applyFont="1" applyFill="1" applyBorder="1" applyAlignment="1">
      <alignment horizontal="center" vertical="top" wrapText="1"/>
    </xf>
    <xf numFmtId="164" fontId="28" fillId="7" borderId="6" xfId="0" applyFont="1" applyFill="1" applyBorder="1" applyAlignment="1">
      <alignment horizontal="center" vertical="top" wrapText="1"/>
    </xf>
    <xf numFmtId="164" fontId="4" fillId="7" borderId="1" xfId="0" applyFont="1" applyFill="1" applyBorder="1" applyAlignment="1">
      <alignment horizontal="center"/>
    </xf>
    <xf numFmtId="164" fontId="1" fillId="7" borderId="7" xfId="0" applyFont="1" applyFill="1" applyBorder="1">
      <alignment horizontal="center" vertical="center"/>
    </xf>
    <xf numFmtId="1" fontId="0" fillId="0" borderId="1" xfId="0" applyNumberFormat="1" applyBorder="1" applyAlignment="1">
      <alignment horizontal="center"/>
    </xf>
    <xf numFmtId="3" fontId="0" fillId="7" borderId="1" xfId="0" applyNumberFormat="1" applyFill="1" applyBorder="1">
      <alignment horizontal="center" vertical="center"/>
    </xf>
    <xf numFmtId="165" fontId="14" fillId="2" borderId="4" xfId="0" applyNumberFormat="1" applyFont="1" applyFill="1" applyBorder="1">
      <alignment horizontal="center" vertical="center"/>
    </xf>
    <xf numFmtId="165" fontId="14" fillId="2" borderId="1" xfId="0" applyNumberFormat="1" applyFont="1" applyFill="1" applyBorder="1">
      <alignment horizontal="center" vertical="center"/>
    </xf>
    <xf numFmtId="165" fontId="27" fillId="0" borderId="1" xfId="0" applyNumberFormat="1" applyFont="1" applyBorder="1" applyAlignment="1">
      <alignment horizontal="center"/>
    </xf>
    <xf numFmtId="165" fontId="28" fillId="0" borderId="0" xfId="0" applyNumberFormat="1" applyFont="1" applyBorder="1" applyAlignment="1">
      <alignment horizontal="right"/>
    </xf>
    <xf numFmtId="1" fontId="28" fillId="0" borderId="0" xfId="0" applyNumberFormat="1" applyFont="1" applyBorder="1" applyAlignment="1">
      <alignment horizontal="center"/>
    </xf>
    <xf numFmtId="164" fontId="28" fillId="0" borderId="0" xfId="0" applyNumberFormat="1" applyFont="1" applyBorder="1" applyAlignment="1">
      <alignment horizontal="center"/>
    </xf>
    <xf numFmtId="165" fontId="28" fillId="0" borderId="0" xfId="0" applyNumberFormat="1" applyFont="1" applyFill="1" applyBorder="1" applyAlignment="1">
      <alignment horizontal="left" vertical="top" wrapText="1"/>
    </xf>
    <xf numFmtId="164" fontId="28" fillId="0" borderId="5" xfId="0" applyFont="1" applyFill="1" applyBorder="1" applyAlignment="1">
      <alignment horizontal="right"/>
    </xf>
    <xf numFmtId="164" fontId="28" fillId="0" borderId="1" xfId="0" applyNumberFormat="1" applyFont="1" applyFill="1" applyBorder="1" applyAlignment="1">
      <alignment horizontal="center"/>
    </xf>
    <xf numFmtId="164" fontId="28" fillId="0" borderId="3" xfId="0" applyNumberFormat="1" applyFont="1" applyFill="1" applyBorder="1" applyAlignment="1">
      <alignment horizontal="center"/>
    </xf>
    <xf numFmtId="165" fontId="27" fillId="0" borderId="1" xfId="0" applyNumberFormat="1" applyFont="1" applyFill="1" applyBorder="1" applyAlignment="1">
      <alignment horizontal="left" vertical="top" wrapText="1"/>
    </xf>
    <xf numFmtId="164" fontId="2" fillId="0" borderId="0" xfId="0" applyFont="1" applyBorder="1" applyAlignment="1">
      <alignment horizontal="center"/>
    </xf>
    <xf numFmtId="164" fontId="0" fillId="0" borderId="0" xfId="0" applyBorder="1" applyAlignment="1">
      <alignment horizontal="left"/>
    </xf>
    <xf numFmtId="15" fontId="0" fillId="0" borderId="0" xfId="0" applyNumberFormat="1" applyFill="1" applyBorder="1">
      <alignment horizontal="center" vertical="center"/>
    </xf>
    <xf numFmtId="15" fontId="0" fillId="0" borderId="0" xfId="0" applyNumberFormat="1" applyFill="1" applyBorder="1" applyAlignment="1"/>
    <xf numFmtId="164" fontId="10" fillId="0" borderId="1" xfId="0" applyFont="1" applyBorder="1" applyAlignment="1">
      <alignment horizontal="right"/>
    </xf>
    <xf numFmtId="164" fontId="0" fillId="0" borderId="0" xfId="0" applyBorder="1" applyAlignment="1"/>
    <xf numFmtId="3" fontId="6" fillId="0" borderId="1" xfId="0" applyNumberFormat="1" applyFont="1" applyBorder="1" applyAlignment="1">
      <alignment horizontal="right"/>
    </xf>
    <xf numFmtId="164" fontId="6" fillId="0" borderId="1" xfId="0" applyNumberFormat="1" applyFont="1" applyBorder="1" applyAlignment="1">
      <alignment horizontal="right"/>
    </xf>
    <xf numFmtId="164" fontId="10" fillId="0" borderId="0" xfId="0" applyFont="1" applyFill="1" applyBorder="1" applyAlignment="1">
      <alignment horizontal="left"/>
    </xf>
    <xf numFmtId="3" fontId="6" fillId="0" borderId="0" xfId="0" applyNumberFormat="1" applyFont="1" applyFill="1" applyBorder="1" applyAlignment="1">
      <alignment horizontal="right"/>
    </xf>
    <xf numFmtId="3" fontId="6" fillId="0" borderId="0" xfId="6" applyNumberFormat="1" applyFont="1" applyFill="1" applyBorder="1" applyAlignment="1">
      <alignment horizontal="right"/>
    </xf>
    <xf numFmtId="3" fontId="10" fillId="0" borderId="1" xfId="0" applyNumberFormat="1" applyFont="1" applyFill="1" applyBorder="1" applyAlignment="1">
      <alignment horizontal="left"/>
    </xf>
    <xf numFmtId="1" fontId="6" fillId="0" borderId="0" xfId="0" applyNumberFormat="1" applyFont="1" applyFill="1" applyBorder="1">
      <alignment horizontal="center" vertical="center"/>
    </xf>
    <xf numFmtId="169" fontId="6" fillId="0" borderId="0" xfId="1" applyNumberFormat="1" applyFont="1" applyFill="1" applyBorder="1"/>
    <xf numFmtId="3" fontId="0" fillId="0" borderId="0" xfId="0" applyNumberFormat="1" applyFill="1" applyBorder="1">
      <alignment horizontal="center" vertical="center"/>
    </xf>
    <xf numFmtId="3" fontId="1" fillId="0" borderId="0" xfId="6" applyNumberFormat="1" applyFill="1" applyBorder="1">
      <alignment horizontal="left" vertical="center"/>
    </xf>
    <xf numFmtId="169" fontId="27" fillId="0" borderId="1" xfId="1" applyNumberFormat="1" applyFont="1" applyBorder="1" applyAlignment="1">
      <alignment horizontal="center" vertical="center"/>
    </xf>
    <xf numFmtId="169" fontId="27" fillId="0" borderId="1" xfId="1" applyNumberFormat="1" applyFont="1" applyBorder="1" applyAlignment="1">
      <alignment horizontal="center"/>
    </xf>
    <xf numFmtId="3" fontId="29" fillId="0" borderId="1" xfId="0" applyNumberFormat="1" applyFont="1" applyBorder="1">
      <alignment horizontal="center" vertical="center"/>
    </xf>
    <xf numFmtId="164" fontId="6" fillId="0" borderId="1" xfId="0" applyFont="1" applyBorder="1" applyAlignment="1">
      <alignment horizontal="left"/>
    </xf>
    <xf numFmtId="181" fontId="40" fillId="0" borderId="6" xfId="6" applyFont="1" applyBorder="1">
      <alignment horizontal="left" vertical="center"/>
    </xf>
    <xf numFmtId="164" fontId="6" fillId="0" borderId="4" xfId="0" applyFont="1" applyBorder="1" applyAlignment="1">
      <alignment horizontal="left"/>
    </xf>
    <xf numFmtId="164" fontId="2" fillId="0" borderId="1" xfId="0" applyFont="1" applyBorder="1" applyAlignment="1">
      <alignment horizontal="center"/>
    </xf>
    <xf numFmtId="164" fontId="50" fillId="20" borderId="19" xfId="0" applyFont="1" applyFill="1" applyBorder="1" applyAlignment="1">
      <alignment horizontal="left" vertical="top" wrapText="1"/>
    </xf>
    <xf numFmtId="164" fontId="50" fillId="20" borderId="19" xfId="0" applyFont="1" applyFill="1" applyBorder="1" applyAlignment="1">
      <alignment horizontal="center" vertical="top" wrapText="1"/>
    </xf>
    <xf numFmtId="164" fontId="51" fillId="20" borderId="19" xfId="0" applyFont="1" applyFill="1" applyBorder="1" applyAlignment="1">
      <alignment horizontal="left" vertical="top" wrapText="1"/>
    </xf>
    <xf numFmtId="164" fontId="51" fillId="20" borderId="19" xfId="0" applyFont="1" applyFill="1" applyBorder="1" applyAlignment="1">
      <alignment horizontal="center" vertical="top" wrapText="1"/>
    </xf>
    <xf numFmtId="164" fontId="52" fillId="20" borderId="0" xfId="0" applyFont="1" applyFill="1" applyAlignment="1">
      <alignment horizontal="left" vertical="top"/>
    </xf>
    <xf numFmtId="174" fontId="49" fillId="20" borderId="20" xfId="0" applyNumberFormat="1" applyFont="1" applyFill="1" applyBorder="1" applyAlignment="1">
      <alignment horizontal="center" vertical="top" wrapText="1"/>
    </xf>
    <xf numFmtId="164" fontId="51" fillId="20" borderId="21" xfId="0" applyFont="1" applyFill="1" applyBorder="1" applyAlignment="1">
      <alignment horizontal="left" vertical="top" wrapText="1"/>
    </xf>
    <xf numFmtId="164" fontId="51" fillId="20" borderId="1" xfId="0" applyFont="1" applyFill="1" applyBorder="1" applyAlignment="1">
      <alignment horizontal="left" vertical="top" wrapText="1"/>
    </xf>
    <xf numFmtId="164" fontId="51" fillId="20" borderId="1" xfId="0" applyFont="1" applyFill="1" applyBorder="1" applyAlignment="1">
      <alignment horizontal="center" vertical="top" wrapText="1"/>
    </xf>
    <xf numFmtId="164" fontId="50" fillId="20" borderId="1" xfId="0" applyFont="1" applyFill="1" applyBorder="1" applyAlignment="1">
      <alignment horizontal="left" vertical="top" wrapText="1"/>
    </xf>
    <xf numFmtId="164" fontId="50" fillId="20" borderId="1" xfId="0" applyFont="1" applyFill="1" applyBorder="1" applyAlignment="1">
      <alignment horizontal="center" vertical="top" wrapText="1"/>
    </xf>
    <xf numFmtId="175" fontId="49" fillId="20" borderId="1" xfId="0" applyNumberFormat="1" applyFont="1" applyFill="1" applyBorder="1" applyAlignment="1">
      <alignment horizontal="center" vertical="top" wrapText="1"/>
    </xf>
    <xf numFmtId="164" fontId="45" fillId="19" borderId="1" xfId="0" applyFont="1" applyFill="1" applyBorder="1" applyAlignment="1">
      <alignment wrapText="1"/>
    </xf>
    <xf numFmtId="164" fontId="46" fillId="0" borderId="1" xfId="0" applyFont="1" applyBorder="1" applyAlignment="1">
      <alignment wrapText="1"/>
    </xf>
    <xf numFmtId="164" fontId="46" fillId="0" borderId="1" xfId="0" applyFont="1" applyFill="1" applyBorder="1" applyAlignment="1">
      <alignment wrapText="1"/>
    </xf>
    <xf numFmtId="164" fontId="55" fillId="0" borderId="1" xfId="0" applyFont="1" applyBorder="1" applyAlignment="1">
      <alignment vertical="top" wrapText="1"/>
    </xf>
    <xf numFmtId="164" fontId="56" fillId="20" borderId="1" xfId="0" applyFont="1" applyFill="1" applyBorder="1" applyAlignment="1">
      <alignment horizontal="left" vertical="top" wrapText="1"/>
    </xf>
    <xf numFmtId="164" fontId="56" fillId="20" borderId="19" xfId="0" applyFont="1" applyFill="1" applyBorder="1" applyAlignment="1">
      <alignment horizontal="left" vertical="top" wrapText="1"/>
    </xf>
    <xf numFmtId="164" fontId="57" fillId="0" borderId="1" xfId="0" applyFont="1" applyBorder="1" applyAlignment="1">
      <alignment wrapText="1"/>
    </xf>
    <xf numFmtId="164" fontId="59" fillId="20" borderId="19" xfId="0" applyFont="1" applyFill="1" applyBorder="1" applyAlignment="1">
      <alignment horizontal="left" vertical="top" wrapText="1"/>
    </xf>
    <xf numFmtId="164" fontId="60" fillId="0" borderId="0" xfId="0" applyFont="1">
      <alignment horizontal="center" vertical="center"/>
    </xf>
    <xf numFmtId="164" fontId="27" fillId="0" borderId="1" xfId="0" applyFont="1" applyFill="1" applyBorder="1" applyAlignment="1">
      <alignment horizontal="left"/>
    </xf>
    <xf numFmtId="164" fontId="4" fillId="0" borderId="1" xfId="0" applyFont="1" applyBorder="1" applyAlignment="1">
      <alignment horizontal="center"/>
    </xf>
    <xf numFmtId="164" fontId="8" fillId="0" borderId="2" xfId="0" applyFont="1" applyBorder="1" applyAlignment="1">
      <alignment horizontal="left"/>
    </xf>
    <xf numFmtId="164" fontId="8" fillId="0" borderId="7" xfId="0" applyFont="1" applyBorder="1">
      <alignment horizontal="center" vertical="center"/>
    </xf>
    <xf numFmtId="164" fontId="8" fillId="0" borderId="2" xfId="0" applyFont="1" applyBorder="1">
      <alignment horizontal="center" vertical="center"/>
    </xf>
    <xf numFmtId="15" fontId="8" fillId="9" borderId="1" xfId="0" applyNumberFormat="1" applyFont="1" applyFill="1" applyBorder="1">
      <alignment horizontal="center" vertical="center"/>
    </xf>
    <xf numFmtId="164" fontId="27" fillId="0" borderId="6" xfId="0" applyFont="1" applyBorder="1">
      <alignment horizontal="center" vertical="center"/>
    </xf>
    <xf numFmtId="164" fontId="8" fillId="0" borderId="1" xfId="0" applyFont="1" applyBorder="1" applyAlignment="1">
      <alignment wrapText="1"/>
    </xf>
    <xf numFmtId="164" fontId="4" fillId="0" borderId="1" xfId="0" applyFont="1" applyBorder="1" applyAlignment="1">
      <alignment horizontal="center"/>
    </xf>
    <xf numFmtId="164" fontId="4" fillId="9" borderId="6" xfId="0" applyFont="1" applyFill="1" applyBorder="1" applyAlignment="1"/>
    <xf numFmtId="164" fontId="4" fillId="9" borderId="12" xfId="0" applyFont="1" applyFill="1" applyBorder="1" applyAlignment="1"/>
    <xf numFmtId="164" fontId="4" fillId="9" borderId="4" xfId="0" applyFont="1" applyFill="1" applyBorder="1" applyAlignment="1"/>
    <xf numFmtId="164" fontId="26" fillId="16" borderId="6" xfId="0" applyFont="1" applyFill="1" applyBorder="1" applyAlignment="1"/>
    <xf numFmtId="164" fontId="26" fillId="16" borderId="12" xfId="0" applyFont="1" applyFill="1" applyBorder="1" applyAlignment="1"/>
    <xf numFmtId="164" fontId="26" fillId="16" borderId="4" xfId="0" applyFont="1" applyFill="1" applyBorder="1" applyAlignment="1"/>
    <xf numFmtId="164" fontId="8" fillId="0" borderId="0" xfId="0" applyFont="1" applyBorder="1" applyAlignment="1">
      <alignment horizontal="left"/>
    </xf>
    <xf numFmtId="164" fontId="38" fillId="0" borderId="0" xfId="0" applyFont="1" applyFill="1" applyBorder="1" applyAlignment="1">
      <alignment horizontal="center" vertical="top" wrapText="1"/>
    </xf>
    <xf numFmtId="164" fontId="38" fillId="0" borderId="0" xfId="0" applyFont="1" applyFill="1" applyBorder="1" applyAlignment="1">
      <alignment vertical="top" wrapText="1"/>
    </xf>
    <xf numFmtId="164" fontId="16" fillId="0" borderId="0" xfId="0" applyFont="1" applyFill="1" applyBorder="1" applyAlignment="1">
      <alignment horizontal="center" vertical="top" wrapText="1"/>
    </xf>
    <xf numFmtId="181" fontId="16" fillId="0" borderId="0" xfId="0" applyNumberFormat="1" applyFont="1" applyFill="1" applyBorder="1" applyAlignment="1">
      <alignment horizontal="center" vertical="top" wrapText="1"/>
    </xf>
    <xf numFmtId="164" fontId="27" fillId="0" borderId="0" xfId="0" applyFont="1" applyFill="1" applyBorder="1" applyAlignment="1">
      <alignment horizontal="center" vertical="top" wrapText="1"/>
    </xf>
    <xf numFmtId="14" fontId="1" fillId="0" borderId="0" xfId="0" applyNumberFormat="1" applyFont="1" applyBorder="1">
      <alignment horizontal="center" vertical="center"/>
    </xf>
    <xf numFmtId="164" fontId="9" fillId="0" borderId="7" xfId="0" applyFont="1" applyBorder="1" applyAlignment="1">
      <alignment vertical="top" wrapText="1"/>
    </xf>
    <xf numFmtId="164" fontId="2" fillId="2" borderId="1" xfId="0" applyFont="1" applyFill="1" applyBorder="1" applyAlignment="1">
      <alignment horizontal="center"/>
    </xf>
    <xf numFmtId="164" fontId="4" fillId="0" borderId="1" xfId="0" applyFont="1" applyBorder="1" applyAlignment="1">
      <alignment horizontal="center"/>
    </xf>
    <xf numFmtId="164" fontId="2" fillId="2" borderId="1" xfId="0" applyFont="1" applyFill="1" applyBorder="1" applyAlignment="1">
      <alignment horizontal="center" wrapText="1"/>
    </xf>
    <xf numFmtId="164" fontId="29" fillId="0" borderId="6" xfId="0" applyFont="1" applyBorder="1" applyAlignment="1">
      <alignment horizontal="center"/>
    </xf>
    <xf numFmtId="164" fontId="29" fillId="0" borderId="4" xfId="0" applyFont="1" applyBorder="1" applyAlignment="1">
      <alignment horizontal="center"/>
    </xf>
    <xf numFmtId="164" fontId="29" fillId="0" borderId="1" xfId="0" applyFont="1" applyBorder="1" applyAlignment="1">
      <alignment horizontal="left"/>
    </xf>
    <xf numFmtId="2" fontId="29" fillId="0" borderId="1" xfId="0" applyNumberFormat="1" applyFont="1" applyBorder="1" applyAlignment="1">
      <alignment horizontal="center"/>
    </xf>
    <xf numFmtId="164" fontId="10" fillId="7" borderId="6" xfId="0" applyFont="1" applyFill="1" applyBorder="1" applyAlignment="1">
      <alignment horizontal="right"/>
    </xf>
    <xf numFmtId="164" fontId="10" fillId="7" borderId="1" xfId="0" applyFont="1" applyFill="1" applyBorder="1" applyAlignment="1">
      <alignment horizontal="right"/>
    </xf>
    <xf numFmtId="16" fontId="10" fillId="7" borderId="1" xfId="0" applyNumberFormat="1" applyFont="1" applyFill="1" applyBorder="1" applyAlignment="1">
      <alignment horizontal="left"/>
    </xf>
    <xf numFmtId="15" fontId="10" fillId="7" borderId="1" xfId="0" applyNumberFormat="1" applyFont="1" applyFill="1" applyBorder="1" applyAlignment="1">
      <alignment horizontal="left"/>
    </xf>
    <xf numFmtId="181" fontId="10" fillId="7" borderId="1" xfId="6" applyNumberFormat="1" applyFont="1" applyFill="1" applyBorder="1" applyAlignment="1">
      <alignment horizontal="right"/>
    </xf>
    <xf numFmtId="164" fontId="6" fillId="7" borderId="1" xfId="0" applyFont="1" applyFill="1" applyBorder="1">
      <alignment horizontal="center" vertical="center"/>
    </xf>
    <xf numFmtId="164" fontId="29" fillId="0" borderId="6" xfId="0" applyFont="1" applyBorder="1" applyAlignment="1">
      <alignment horizontal="center"/>
    </xf>
    <xf numFmtId="164" fontId="29" fillId="0" borderId="4" xfId="0" applyFont="1" applyBorder="1" applyAlignment="1">
      <alignment horizontal="center"/>
    </xf>
    <xf numFmtId="15" fontId="27" fillId="6" borderId="1" xfId="0" applyNumberFormat="1" applyFont="1" applyFill="1" applyBorder="1">
      <alignment horizontal="center" vertical="center"/>
    </xf>
    <xf numFmtId="164" fontId="16" fillId="0" borderId="1" xfId="0" applyFont="1" applyBorder="1" applyAlignment="1">
      <alignment wrapText="1"/>
    </xf>
    <xf numFmtId="9" fontId="0" fillId="0" borderId="1" xfId="5" applyFont="1" applyBorder="1"/>
    <xf numFmtId="9" fontId="0" fillId="0" borderId="1" xfId="5" applyNumberFormat="1" applyFont="1" applyBorder="1"/>
    <xf numFmtId="181" fontId="1" fillId="7" borderId="1" xfId="0" applyNumberFormat="1" applyFont="1" applyFill="1" applyBorder="1">
      <alignment horizontal="center" vertical="center"/>
    </xf>
    <xf numFmtId="181" fontId="29" fillId="0" borderId="1" xfId="0" applyNumberFormat="1" applyFont="1" applyBorder="1">
      <alignment horizontal="center" vertical="center"/>
    </xf>
    <xf numFmtId="181" fontId="26" fillId="0" borderId="1" xfId="0" applyNumberFormat="1" applyFont="1" applyBorder="1">
      <alignment horizontal="center" vertical="center"/>
    </xf>
    <xf numFmtId="181" fontId="26" fillId="0" borderId="1" xfId="0" applyNumberFormat="1" applyFont="1" applyBorder="1" applyAlignment="1">
      <alignment wrapText="1"/>
    </xf>
    <xf numFmtId="181" fontId="1" fillId="0" borderId="1" xfId="0" applyNumberFormat="1" applyFont="1" applyBorder="1">
      <alignment horizontal="center" vertical="center"/>
    </xf>
    <xf numFmtId="181" fontId="0" fillId="0" borderId="1" xfId="0" applyNumberFormat="1" applyBorder="1">
      <alignment horizontal="center" vertical="center"/>
    </xf>
    <xf numFmtId="181" fontId="29" fillId="0" borderId="1" xfId="0" applyNumberFormat="1" applyFont="1" applyFill="1" applyBorder="1">
      <alignment horizontal="center" vertical="center"/>
    </xf>
    <xf numFmtId="181" fontId="26" fillId="0" borderId="1" xfId="0" applyNumberFormat="1" applyFont="1" applyFill="1" applyBorder="1" applyAlignment="1">
      <alignment horizontal="center"/>
    </xf>
    <xf numFmtId="181" fontId="8" fillId="7" borderId="1" xfId="0" applyNumberFormat="1" applyFont="1" applyFill="1" applyBorder="1">
      <alignment horizontal="center" vertical="center"/>
    </xf>
    <xf numFmtId="181" fontId="8" fillId="0" borderId="1" xfId="0" applyNumberFormat="1" applyFont="1" applyBorder="1">
      <alignment horizontal="center" vertical="center"/>
    </xf>
    <xf numFmtId="181" fontId="27" fillId="0" borderId="1" xfId="0" applyNumberFormat="1" applyFont="1" applyBorder="1" applyAlignment="1">
      <alignment horizontal="left"/>
    </xf>
    <xf numFmtId="181" fontId="27" fillId="0" borderId="6" xfId="0" applyNumberFormat="1" applyFont="1" applyFill="1" applyBorder="1" applyAlignment="1">
      <alignment horizontal="left"/>
    </xf>
    <xf numFmtId="181" fontId="27" fillId="0" borderId="1" xfId="0" applyNumberFormat="1" applyFont="1" applyBorder="1">
      <alignment horizontal="center" vertical="center"/>
    </xf>
    <xf numFmtId="181" fontId="27" fillId="0" borderId="1" xfId="0" applyNumberFormat="1" applyFont="1" applyBorder="1" applyAlignment="1">
      <alignment horizontal="center"/>
    </xf>
    <xf numFmtId="181" fontId="27" fillId="0" borderId="6" xfId="0" applyNumberFormat="1" applyFont="1" applyBorder="1" applyAlignment="1">
      <alignment horizontal="left"/>
    </xf>
    <xf numFmtId="15" fontId="27" fillId="9" borderId="1" xfId="0" applyNumberFormat="1" applyFont="1" applyFill="1" applyBorder="1">
      <alignment horizontal="center" vertical="center"/>
    </xf>
    <xf numFmtId="164" fontId="28" fillId="9" borderId="1" xfId="0" applyFont="1" applyFill="1" applyBorder="1" applyAlignment="1"/>
    <xf numFmtId="164" fontId="28" fillId="9" borderId="12" xfId="0" applyFont="1" applyFill="1" applyBorder="1" applyAlignment="1"/>
    <xf numFmtId="164" fontId="28" fillId="9" borderId="4" xfId="0" applyFont="1" applyFill="1" applyBorder="1" applyAlignment="1"/>
    <xf numFmtId="1" fontId="29" fillId="0" borderId="1" xfId="0" applyNumberFormat="1" applyFont="1" applyBorder="1">
      <alignment horizontal="center" vertical="center"/>
    </xf>
    <xf numFmtId="1" fontId="8" fillId="0" borderId="1" xfId="0" applyNumberFormat="1" applyFont="1" applyBorder="1" applyAlignment="1">
      <alignment horizontal="center" vertical="center"/>
    </xf>
    <xf numFmtId="2" fontId="1" fillId="0" borderId="1" xfId="0" applyNumberFormat="1" applyFont="1" applyBorder="1" applyAlignment="1">
      <alignment horizontal="center" vertical="top"/>
    </xf>
    <xf numFmtId="2" fontId="19" fillId="0" borderId="1" xfId="0" applyNumberFormat="1" applyFont="1" applyBorder="1" applyAlignment="1">
      <alignment horizontal="center" vertical="top"/>
    </xf>
    <xf numFmtId="2" fontId="19" fillId="0" borderId="1" xfId="0" applyNumberFormat="1" applyFont="1" applyBorder="1" applyAlignment="1">
      <alignment horizontal="center" vertical="top" wrapText="1"/>
    </xf>
    <xf numFmtId="164" fontId="2" fillId="7" borderId="1" xfId="0" applyFont="1" applyFill="1" applyBorder="1" applyAlignment="1">
      <alignment horizontal="center" vertical="center"/>
    </xf>
    <xf numFmtId="181" fontId="1" fillId="0" borderId="0" xfId="0" applyNumberFormat="1" applyFont="1" applyAlignment="1">
      <alignment horizontal="left"/>
    </xf>
    <xf numFmtId="181" fontId="1" fillId="0" borderId="0" xfId="0" applyNumberFormat="1" applyFont="1" applyFill="1" applyBorder="1" applyAlignment="1">
      <alignment horizontal="left"/>
    </xf>
    <xf numFmtId="181" fontId="1" fillId="0" borderId="0" xfId="0" applyNumberFormat="1" applyFont="1" applyFill="1" applyAlignment="1">
      <alignment horizontal="left"/>
    </xf>
    <xf numFmtId="181" fontId="0" fillId="0" borderId="0" xfId="0" applyNumberFormat="1" applyBorder="1" applyAlignment="1">
      <alignment horizontal="center" vertical="center"/>
    </xf>
    <xf numFmtId="181" fontId="1" fillId="0" borderId="0" xfId="6">
      <alignment horizontal="left" vertical="center"/>
    </xf>
    <xf numFmtId="1" fontId="14" fillId="2" borderId="4" xfId="0" applyNumberFormat="1" applyFont="1" applyFill="1" applyBorder="1">
      <alignment horizontal="center" vertical="center"/>
    </xf>
    <xf numFmtId="181" fontId="1" fillId="0" borderId="0" xfId="0" applyNumberFormat="1" applyFont="1" applyAlignment="1"/>
    <xf numFmtId="181" fontId="20" fillId="0" borderId="0" xfId="3" applyNumberFormat="1" applyFont="1" applyFill="1" applyBorder="1" applyAlignment="1">
      <alignment horizontal="left"/>
    </xf>
    <xf numFmtId="181" fontId="20" fillId="0" borderId="0" xfId="3" applyNumberFormat="1" applyFont="1" applyFill="1" applyBorder="1" applyAlignment="1">
      <alignment horizontal="right"/>
    </xf>
    <xf numFmtId="164" fontId="1" fillId="0" borderId="0" xfId="0" applyNumberFormat="1" applyFont="1" applyAlignment="1"/>
    <xf numFmtId="181" fontId="2" fillId="7" borderId="1" xfId="0" applyNumberFormat="1" applyFont="1" applyFill="1" applyBorder="1" applyAlignment="1">
      <alignment horizontal="center"/>
    </xf>
    <xf numFmtId="181" fontId="2" fillId="7" borderId="0" xfId="0" applyNumberFormat="1" applyFont="1" applyFill="1" applyAlignment="1">
      <alignment horizontal="center"/>
    </xf>
    <xf numFmtId="181" fontId="1" fillId="0" borderId="1" xfId="0" applyNumberFormat="1" applyFont="1" applyBorder="1" applyAlignment="1"/>
    <xf numFmtId="181" fontId="1" fillId="7" borderId="0" xfId="0" applyNumberFormat="1" applyFont="1" applyFill="1" applyAlignment="1"/>
    <xf numFmtId="164" fontId="1" fillId="0" borderId="6" xfId="0" applyFont="1" applyBorder="1" applyAlignment="1">
      <alignment horizontal="left" vertical="center"/>
    </xf>
    <xf numFmtId="164" fontId="0" fillId="0" borderId="6" xfId="0" applyBorder="1" applyAlignment="1">
      <alignment horizontal="left" vertical="center"/>
    </xf>
    <xf numFmtId="181" fontId="20" fillId="0" borderId="6" xfId="3" applyFont="1" applyFill="1" applyBorder="1" applyAlignment="1">
      <alignment horizontal="left"/>
    </xf>
    <xf numFmtId="164" fontId="1" fillId="7" borderId="6" xfId="0" applyFont="1" applyFill="1" applyBorder="1" applyAlignment="1">
      <alignment horizontal="left" vertical="center"/>
    </xf>
    <xf numFmtId="164" fontId="0" fillId="7" borderId="6" xfId="0" applyFill="1" applyBorder="1" applyAlignment="1">
      <alignment horizontal="left" vertical="center"/>
    </xf>
    <xf numFmtId="181" fontId="20" fillId="7" borderId="6" xfId="3" applyFont="1" applyFill="1" applyBorder="1" applyAlignment="1">
      <alignment horizontal="left"/>
    </xf>
    <xf numFmtId="181" fontId="3" fillId="0" borderId="6" xfId="0" applyNumberFormat="1" applyFont="1" applyFill="1" applyBorder="1" applyAlignment="1">
      <alignment horizontal="left"/>
    </xf>
    <xf numFmtId="181" fontId="2" fillId="7" borderId="7" xfId="0" applyNumberFormat="1" applyFont="1" applyFill="1" applyBorder="1" applyAlignment="1">
      <alignment horizontal="center"/>
    </xf>
    <xf numFmtId="181" fontId="1" fillId="0" borderId="1" xfId="0" applyNumberFormat="1" applyFont="1" applyBorder="1" applyAlignment="1">
      <alignment horizontal="center" vertical="center"/>
    </xf>
    <xf numFmtId="164" fontId="1" fillId="0" borderId="1" xfId="0" applyNumberFormat="1" applyFont="1" applyBorder="1" applyAlignment="1">
      <alignment horizontal="center" vertical="center"/>
    </xf>
    <xf numFmtId="165" fontId="2" fillId="0" borderId="1" xfId="0" applyNumberFormat="1" applyFont="1" applyBorder="1" applyAlignment="1"/>
    <xf numFmtId="14" fontId="2" fillId="0" borderId="1" xfId="6" applyNumberFormat="1" applyFont="1" applyBorder="1">
      <alignment horizontal="left" vertical="center"/>
    </xf>
    <xf numFmtId="14" fontId="2" fillId="0" borderId="1" xfId="0" applyNumberFormat="1" applyFont="1" applyBorder="1" applyAlignment="1">
      <alignment horizontal="right"/>
    </xf>
    <xf numFmtId="181" fontId="1" fillId="0" borderId="1" xfId="0" applyNumberFormat="1" applyFont="1" applyBorder="1" applyAlignment="1">
      <alignment horizontal="left"/>
    </xf>
    <xf numFmtId="181" fontId="1" fillId="0" borderId="1" xfId="0" applyNumberFormat="1" applyFont="1" applyFill="1" applyBorder="1" applyAlignment="1">
      <alignment horizontal="left"/>
    </xf>
    <xf numFmtId="181" fontId="0" fillId="0" borderId="1" xfId="0" applyNumberFormat="1" applyFill="1" applyBorder="1" applyAlignment="1">
      <alignment horizontal="left"/>
    </xf>
    <xf numFmtId="177" fontId="1" fillId="0" borderId="1" xfId="0" applyNumberFormat="1" applyFont="1" applyFill="1" applyBorder="1" applyAlignment="1">
      <alignment horizontal="left"/>
    </xf>
    <xf numFmtId="1" fontId="1" fillId="0" borderId="1" xfId="0" applyNumberFormat="1" applyFont="1" applyBorder="1" applyAlignment="1">
      <alignment horizontal="center" vertical="center"/>
    </xf>
    <xf numFmtId="1" fontId="0" fillId="0" borderId="9" xfId="0" applyNumberFormat="1" applyFill="1" applyBorder="1">
      <alignment horizontal="center" vertical="center"/>
    </xf>
    <xf numFmtId="181" fontId="2" fillId="7" borderId="0" xfId="0" applyNumberFormat="1" applyFont="1" applyFill="1" applyAlignment="1">
      <alignment horizontal="center" vertical="center"/>
    </xf>
    <xf numFmtId="181" fontId="2" fillId="7" borderId="1" xfId="0" applyNumberFormat="1" applyFont="1" applyFill="1" applyBorder="1" applyAlignment="1">
      <alignment horizontal="center" vertical="center"/>
    </xf>
    <xf numFmtId="164" fontId="0" fillId="0" borderId="1" xfId="0" applyNumberFormat="1" applyBorder="1" applyAlignment="1">
      <alignment horizontal="center" vertical="center"/>
    </xf>
    <xf numFmtId="1" fontId="0" fillId="7" borderId="1" xfId="0" applyNumberFormat="1" applyFill="1" applyBorder="1">
      <alignment horizontal="center" vertical="center"/>
    </xf>
    <xf numFmtId="14" fontId="2" fillId="7" borderId="1" xfId="0" applyNumberFormat="1" applyFont="1" applyFill="1" applyBorder="1" applyAlignment="1">
      <alignment horizontal="left"/>
    </xf>
    <xf numFmtId="164" fontId="1" fillId="7" borderId="1" xfId="0" applyFont="1" applyFill="1" applyBorder="1" applyAlignment="1">
      <alignment horizontal="left"/>
    </xf>
    <xf numFmtId="3" fontId="2" fillId="7" borderId="1" xfId="0" applyNumberFormat="1" applyFont="1" applyFill="1" applyBorder="1" applyAlignment="1">
      <alignment horizontal="center" vertical="center"/>
    </xf>
    <xf numFmtId="181" fontId="19" fillId="0" borderId="1" xfId="0" applyNumberFormat="1" applyFont="1" applyBorder="1" applyAlignment="1"/>
    <xf numFmtId="164" fontId="8" fillId="0" borderId="0" xfId="0" applyFont="1" applyAlignment="1">
      <alignment horizontal="left" vertical="center"/>
    </xf>
    <xf numFmtId="164" fontId="8" fillId="0" borderId="1" xfId="0" applyFont="1" applyBorder="1" applyAlignment="1">
      <alignment horizontal="left" vertical="center"/>
    </xf>
    <xf numFmtId="164" fontId="8" fillId="0" borderId="1" xfId="0" applyFont="1" applyFill="1" applyBorder="1" applyAlignment="1">
      <alignment horizontal="left" vertical="center"/>
    </xf>
    <xf numFmtId="164" fontId="27" fillId="0" borderId="1" xfId="0" applyFont="1" applyBorder="1" applyAlignment="1">
      <alignment horizontal="center" vertical="center"/>
    </xf>
    <xf numFmtId="164" fontId="27" fillId="0" borderId="1" xfId="0" applyFont="1" applyBorder="1" applyAlignment="1">
      <alignment horizontal="left" vertical="center"/>
    </xf>
    <xf numFmtId="181" fontId="16" fillId="0" borderId="1" xfId="0" applyNumberFormat="1" applyFont="1" applyBorder="1" applyAlignment="1">
      <alignment horizontal="left"/>
    </xf>
    <xf numFmtId="181" fontId="16" fillId="0" borderId="1" xfId="0" applyNumberFormat="1" applyFont="1" applyFill="1" applyBorder="1" applyAlignment="1">
      <alignment horizontal="left"/>
    </xf>
    <xf numFmtId="164" fontId="16" fillId="0" borderId="1" xfId="0" applyFont="1" applyBorder="1" applyAlignment="1">
      <alignment horizontal="left" vertical="center"/>
    </xf>
    <xf numFmtId="164" fontId="16" fillId="0" borderId="4" xfId="0" applyFont="1" applyBorder="1" applyAlignment="1">
      <alignment horizontal="left" vertical="center"/>
    </xf>
    <xf numFmtId="164" fontId="28" fillId="7" borderId="1" xfId="0" applyFont="1" applyFill="1" applyBorder="1" applyAlignment="1">
      <alignment horizontal="center"/>
    </xf>
    <xf numFmtId="164" fontId="16" fillId="0" borderId="15" xfId="0" applyFont="1" applyFill="1" applyBorder="1" applyAlignment="1">
      <alignment horizontal="left" vertical="center"/>
    </xf>
    <xf numFmtId="181" fontId="2" fillId="0" borderId="0" xfId="0" applyNumberFormat="1" applyFont="1" applyAlignment="1"/>
    <xf numFmtId="49" fontId="2" fillId="0" borderId="0" xfId="0" applyNumberFormat="1" applyFont="1" applyAlignment="1"/>
    <xf numFmtId="177" fontId="1" fillId="0" borderId="0" xfId="0" applyNumberFormat="1" applyFont="1" applyFill="1" applyBorder="1" applyAlignment="1">
      <alignment horizontal="left"/>
    </xf>
    <xf numFmtId="14" fontId="16" fillId="0" borderId="0" xfId="0" applyNumberFormat="1" applyFont="1">
      <alignment horizontal="center" vertical="center"/>
    </xf>
    <xf numFmtId="164" fontId="1" fillId="0" borderId="0" xfId="0" applyFont="1" applyAlignment="1">
      <alignment vertical="center"/>
    </xf>
    <xf numFmtId="181" fontId="2" fillId="0" borderId="1" xfId="0" applyNumberFormat="1" applyFont="1" applyBorder="1" applyAlignment="1"/>
    <xf numFmtId="49" fontId="2" fillId="0" borderId="1" xfId="0" applyNumberFormat="1" applyFont="1" applyBorder="1" applyAlignment="1"/>
    <xf numFmtId="181" fontId="20" fillId="0" borderId="1" xfId="3" applyNumberFormat="1" applyFont="1" applyFill="1" applyBorder="1" applyAlignment="1">
      <alignment horizontal="left"/>
    </xf>
    <xf numFmtId="164" fontId="1" fillId="0" borderId="1" xfId="0" applyNumberFormat="1" applyFont="1" applyBorder="1" applyAlignment="1">
      <alignment horizontal="left"/>
    </xf>
    <xf numFmtId="164" fontId="63" fillId="0" borderId="19" xfId="0" applyFont="1" applyBorder="1" applyAlignment="1">
      <alignment horizontal="center" vertical="center"/>
    </xf>
    <xf numFmtId="164" fontId="64" fillId="0" borderId="21" xfId="0" applyFont="1" applyBorder="1" applyAlignment="1">
      <alignment horizontal="center" vertical="center" wrapText="1"/>
    </xf>
    <xf numFmtId="164" fontId="64" fillId="0" borderId="22" xfId="0" applyFont="1" applyBorder="1" applyAlignment="1">
      <alignment horizontal="center" vertical="center" wrapText="1"/>
    </xf>
    <xf numFmtId="164" fontId="64" fillId="0" borderId="19" xfId="0" applyFont="1" applyBorder="1" applyAlignment="1">
      <alignment horizontal="center" vertical="center" wrapText="1"/>
    </xf>
    <xf numFmtId="164" fontId="63" fillId="0" borderId="19" xfId="0" applyFont="1" applyBorder="1" applyAlignment="1">
      <alignment horizontal="center" vertical="center" wrapText="1"/>
    </xf>
    <xf numFmtId="164" fontId="0" fillId="0" borderId="23" xfId="0" applyBorder="1">
      <alignment horizontal="center" vertical="center"/>
    </xf>
    <xf numFmtId="164" fontId="27" fillId="0" borderId="1" xfId="0" applyFont="1" applyBorder="1" applyAlignment="1">
      <alignment vertical="top" wrapText="1"/>
    </xf>
    <xf numFmtId="164" fontId="27" fillId="0" borderId="6" xfId="0" applyFont="1" applyBorder="1" applyAlignment="1">
      <alignment vertical="top" wrapText="1"/>
    </xf>
    <xf numFmtId="164" fontId="27" fillId="0" borderId="1" xfId="0" applyFont="1" applyFill="1" applyBorder="1" applyAlignment="1">
      <alignment vertical="top" wrapText="1"/>
    </xf>
    <xf numFmtId="14" fontId="27" fillId="7" borderId="1" xfId="0" applyNumberFormat="1" applyFont="1" applyFill="1" applyBorder="1" applyAlignment="1">
      <alignment vertical="top" wrapText="1"/>
    </xf>
    <xf numFmtId="181" fontId="27" fillId="7" borderId="7" xfId="0" applyNumberFormat="1" applyFont="1" applyFill="1" applyBorder="1" applyAlignment="1">
      <alignment horizontal="center"/>
    </xf>
    <xf numFmtId="181" fontId="27" fillId="7" borderId="1" xfId="0" applyNumberFormat="1" applyFont="1" applyFill="1" applyBorder="1" applyAlignment="1">
      <alignment horizontal="center" vertical="center"/>
    </xf>
    <xf numFmtId="176" fontId="27" fillId="0" borderId="1" xfId="0" applyNumberFormat="1" applyFont="1" applyBorder="1">
      <alignment horizontal="center" vertical="center"/>
    </xf>
    <xf numFmtId="2" fontId="27" fillId="0" borderId="1" xfId="0" applyNumberFormat="1" applyFont="1" applyBorder="1">
      <alignment horizontal="center" vertical="center"/>
    </xf>
    <xf numFmtId="165" fontId="27" fillId="0" borderId="1" xfId="0" applyNumberFormat="1" applyFont="1" applyBorder="1">
      <alignment horizontal="center" vertical="center"/>
    </xf>
    <xf numFmtId="20" fontId="27" fillId="0" borderId="6" xfId="0" applyNumberFormat="1" applyFont="1" applyBorder="1">
      <alignment horizontal="center" vertical="center"/>
    </xf>
    <xf numFmtId="2" fontId="27" fillId="0" borderId="6" xfId="0" applyNumberFormat="1" applyFont="1" applyBorder="1">
      <alignment horizontal="center" vertical="center"/>
    </xf>
    <xf numFmtId="165" fontId="27" fillId="0" borderId="6" xfId="0" applyNumberFormat="1" applyFont="1" applyBorder="1">
      <alignment horizontal="center" vertical="center"/>
    </xf>
    <xf numFmtId="9" fontId="27" fillId="0" borderId="1" xfId="5" applyFont="1" applyFill="1" applyBorder="1" applyAlignment="1">
      <alignment horizontal="center" vertical="center"/>
    </xf>
    <xf numFmtId="9" fontId="27" fillId="0" borderId="1" xfId="5" applyFont="1" applyBorder="1" applyAlignment="1">
      <alignment horizontal="center" vertical="center"/>
    </xf>
    <xf numFmtId="20" fontId="27" fillId="0" borderId="6" xfId="0" applyNumberFormat="1" applyFont="1" applyBorder="1" applyAlignment="1">
      <alignment horizontal="center" vertical="top" wrapText="1"/>
    </xf>
    <xf numFmtId="20" fontId="27" fillId="0" borderId="1" xfId="0" applyNumberFormat="1" applyFont="1" applyBorder="1" applyAlignment="1">
      <alignment horizontal="center" vertical="top" wrapText="1"/>
    </xf>
    <xf numFmtId="20" fontId="27" fillId="0" borderId="1" xfId="0" applyNumberFormat="1" applyFont="1" applyBorder="1" applyAlignment="1">
      <alignment horizontal="center" vertical="center"/>
    </xf>
    <xf numFmtId="2" fontId="27" fillId="0" borderId="6" xfId="0" applyNumberFormat="1" applyFont="1" applyBorder="1" applyAlignment="1">
      <alignment horizontal="center" vertical="top" wrapText="1"/>
    </xf>
    <xf numFmtId="2" fontId="27" fillId="0" borderId="1" xfId="0" applyNumberFormat="1" applyFont="1" applyBorder="1" applyAlignment="1">
      <alignment horizontal="center" vertical="top" wrapText="1"/>
    </xf>
    <xf numFmtId="2" fontId="27" fillId="0" borderId="1" xfId="0" applyNumberFormat="1" applyFont="1" applyFill="1" applyBorder="1" applyAlignment="1">
      <alignment horizontal="center" vertical="top" wrapText="1"/>
    </xf>
    <xf numFmtId="165" fontId="27" fillId="0" borderId="6" xfId="0" applyNumberFormat="1" applyFont="1" applyBorder="1" applyAlignment="1">
      <alignment horizontal="center" vertical="top" wrapText="1"/>
    </xf>
    <xf numFmtId="165" fontId="27" fillId="0" borderId="1" xfId="0" applyNumberFormat="1" applyFont="1" applyBorder="1" applyAlignment="1">
      <alignment horizontal="center" vertical="top" wrapText="1"/>
    </xf>
    <xf numFmtId="165" fontId="27" fillId="0" borderId="1" xfId="0" applyNumberFormat="1" applyFont="1" applyFill="1" applyBorder="1" applyAlignment="1">
      <alignment horizontal="center" vertical="top" wrapText="1"/>
    </xf>
    <xf numFmtId="181" fontId="26" fillId="7" borderId="1" xfId="0" applyNumberFormat="1" applyFont="1" applyFill="1" applyBorder="1" applyAlignment="1">
      <alignment horizontal="center" vertical="center"/>
    </xf>
    <xf numFmtId="164" fontId="26" fillId="7" borderId="1" xfId="0" applyFont="1" applyFill="1" applyBorder="1" applyAlignment="1">
      <alignment horizontal="center"/>
    </xf>
    <xf numFmtId="181" fontId="29" fillId="0" borderId="1" xfId="0" applyNumberFormat="1" applyFont="1" applyFill="1" applyBorder="1" applyAlignment="1"/>
    <xf numFmtId="164" fontId="29" fillId="0" borderId="1" xfId="0" applyFont="1" applyBorder="1" applyAlignment="1">
      <alignment vertical="center"/>
    </xf>
    <xf numFmtId="164" fontId="29" fillId="0" borderId="1" xfId="0" applyFont="1" applyFill="1" applyBorder="1" applyAlignment="1">
      <alignment horizontal="left"/>
    </xf>
    <xf numFmtId="164" fontId="29" fillId="0" borderId="1" xfId="0" applyFont="1" applyBorder="1" applyAlignment="1">
      <alignment horizontal="left" vertical="center"/>
    </xf>
    <xf numFmtId="1" fontId="28" fillId="7" borderId="1" xfId="1" applyNumberFormat="1" applyFont="1" applyFill="1" applyBorder="1" applyAlignment="1">
      <alignment horizontal="center"/>
    </xf>
    <xf numFmtId="1" fontId="29" fillId="0" borderId="1" xfId="1" applyNumberFormat="1" applyFont="1" applyBorder="1" applyAlignment="1">
      <alignment vertical="center"/>
    </xf>
    <xf numFmtId="1" fontId="29" fillId="0" borderId="1" xfId="1" applyNumberFormat="1" applyFont="1" applyFill="1" applyBorder="1" applyAlignment="1">
      <alignment vertical="center"/>
    </xf>
    <xf numFmtId="178" fontId="27" fillId="0" borderId="0" xfId="0" applyNumberFormat="1" applyFont="1" applyFill="1" applyBorder="1">
      <alignment horizontal="center" vertical="center"/>
    </xf>
    <xf numFmtId="164" fontId="26" fillId="0" borderId="1" xfId="0" applyFont="1" applyFill="1" applyBorder="1" applyAlignment="1">
      <alignment horizontal="left" vertical="center"/>
    </xf>
    <xf numFmtId="164" fontId="26" fillId="7" borderId="1" xfId="0" applyFont="1" applyFill="1" applyBorder="1" applyAlignment="1">
      <alignment horizontal="left" vertical="center"/>
    </xf>
    <xf numFmtId="181" fontId="26" fillId="7" borderId="7" xfId="0" applyNumberFormat="1" applyFont="1" applyFill="1" applyBorder="1" applyAlignment="1">
      <alignment horizontal="center" vertical="center"/>
    </xf>
    <xf numFmtId="164" fontId="28" fillId="7" borderId="1" xfId="0" applyFont="1" applyFill="1" applyBorder="1" applyAlignment="1">
      <alignment horizontal="center" vertical="center"/>
    </xf>
    <xf numFmtId="164" fontId="2" fillId="0" borderId="1" xfId="0" applyFont="1" applyBorder="1" applyAlignment="1">
      <alignment horizontal="center"/>
    </xf>
    <xf numFmtId="181" fontId="0" fillId="0" borderId="0" xfId="0" applyNumberFormat="1" applyAlignment="1"/>
    <xf numFmtId="14" fontId="0" fillId="0" borderId="0" xfId="0" applyNumberFormat="1" applyAlignment="1"/>
    <xf numFmtId="164" fontId="26" fillId="7" borderId="2" xfId="0" applyFont="1" applyFill="1" applyBorder="1" applyAlignment="1">
      <alignment horizontal="center" vertical="center" wrapText="1"/>
    </xf>
    <xf numFmtId="164" fontId="26" fillId="7" borderId="1" xfId="0" applyFont="1" applyFill="1" applyBorder="1" applyAlignment="1">
      <alignment horizontal="center" wrapText="1"/>
    </xf>
    <xf numFmtId="164" fontId="38" fillId="7" borderId="2" xfId="0" applyFont="1" applyFill="1" applyBorder="1" applyAlignment="1">
      <alignment horizontal="left" vertical="center"/>
    </xf>
    <xf numFmtId="1" fontId="16" fillId="0" borderId="1" xfId="0" applyNumberFormat="1" applyFont="1" applyBorder="1" applyAlignment="1">
      <alignment horizontal="center"/>
    </xf>
    <xf numFmtId="1" fontId="16" fillId="0" borderId="1" xfId="0" applyNumberFormat="1" applyFont="1" applyBorder="1">
      <alignment horizontal="center" vertical="center"/>
    </xf>
    <xf numFmtId="1" fontId="16" fillId="0" borderId="1" xfId="1" applyNumberFormat="1" applyFont="1" applyBorder="1" applyAlignment="1">
      <alignment horizontal="center" vertical="center"/>
    </xf>
    <xf numFmtId="1" fontId="29" fillId="0" borderId="1" xfId="1" applyNumberFormat="1" applyFont="1" applyBorder="1" applyAlignment="1"/>
    <xf numFmtId="1" fontId="29" fillId="0" borderId="1" xfId="1" applyNumberFormat="1" applyFont="1" applyFill="1" applyBorder="1" applyAlignment="1"/>
    <xf numFmtId="164" fontId="26" fillId="16" borderId="4" xfId="0" applyFont="1" applyFill="1" applyBorder="1" applyAlignment="1">
      <alignment horizontal="center"/>
    </xf>
    <xf numFmtId="164" fontId="29" fillId="0" borderId="15" xfId="0" applyFont="1" applyBorder="1">
      <alignment horizontal="center" vertical="center"/>
    </xf>
    <xf numFmtId="164" fontId="0" fillId="0" borderId="4" xfId="0" applyBorder="1">
      <alignment horizontal="center" vertical="center"/>
    </xf>
    <xf numFmtId="181" fontId="26" fillId="16" borderId="1" xfId="0" applyNumberFormat="1" applyFont="1" applyFill="1" applyBorder="1" applyAlignment="1">
      <alignment horizontal="center"/>
    </xf>
    <xf numFmtId="20" fontId="2" fillId="7" borderId="0" xfId="0" applyNumberFormat="1" applyFont="1" applyFill="1">
      <alignment horizontal="center" vertical="center"/>
    </xf>
    <xf numFmtId="164" fontId="2" fillId="7" borderId="0" xfId="0" applyFont="1" applyFill="1" applyBorder="1">
      <alignment horizontal="center" vertical="center"/>
    </xf>
    <xf numFmtId="1" fontId="27" fillId="0" borderId="1" xfId="0" applyNumberFormat="1" applyFont="1" applyBorder="1">
      <alignment horizontal="center" vertical="center"/>
    </xf>
    <xf numFmtId="164" fontId="0" fillId="0" borderId="0" xfId="0" applyAlignment="1">
      <alignment horizontal="left"/>
    </xf>
    <xf numFmtId="164" fontId="8" fillId="0" borderId="1" xfId="0" applyFont="1" applyBorder="1" applyAlignment="1">
      <alignment horizontal="left" vertical="top" wrapText="1"/>
    </xf>
    <xf numFmtId="164" fontId="8" fillId="0" borderId="1" xfId="0" applyFont="1" applyBorder="1" applyAlignment="1">
      <alignment horizontal="left" vertical="top"/>
    </xf>
    <xf numFmtId="164" fontId="8" fillId="0" borderId="1" xfId="0" applyFont="1" applyFill="1" applyBorder="1" applyAlignment="1">
      <alignment horizontal="left" vertical="top" wrapText="1"/>
    </xf>
    <xf numFmtId="164" fontId="19" fillId="0" borderId="1" xfId="0" applyFont="1" applyBorder="1" applyAlignment="1">
      <alignment horizontal="left" vertical="center"/>
    </xf>
    <xf numFmtId="164" fontId="16" fillId="0" borderId="9" xfId="0" applyFont="1" applyFill="1" applyBorder="1" applyAlignment="1">
      <alignment horizontal="left" vertical="center"/>
    </xf>
    <xf numFmtId="164" fontId="16" fillId="0" borderId="1" xfId="0" applyFont="1" applyFill="1" applyBorder="1" applyAlignment="1">
      <alignment horizontal="left" vertical="center"/>
    </xf>
    <xf numFmtId="1" fontId="16" fillId="0" borderId="1" xfId="0" applyNumberFormat="1" applyFont="1" applyFill="1" applyBorder="1" applyAlignment="1">
      <alignment horizontal="center"/>
    </xf>
    <xf numFmtId="1" fontId="16" fillId="0" borderId="9" xfId="0" applyNumberFormat="1" applyFont="1" applyFill="1" applyBorder="1" applyAlignment="1">
      <alignment horizontal="center"/>
    </xf>
    <xf numFmtId="181" fontId="1" fillId="0" borderId="0" xfId="0" applyNumberFormat="1" applyFont="1" applyAlignment="1">
      <alignment horizontal="center" vertical="center"/>
    </xf>
    <xf numFmtId="181" fontId="20" fillId="0" borderId="0" xfId="3" applyNumberFormat="1" applyFont="1" applyFill="1" applyBorder="1" applyAlignment="1">
      <alignment horizontal="center" vertical="center"/>
    </xf>
    <xf numFmtId="164" fontId="1" fillId="0" borderId="0" xfId="0" applyNumberFormat="1" applyFont="1" applyAlignment="1">
      <alignment horizontal="center" vertical="center"/>
    </xf>
    <xf numFmtId="181" fontId="2" fillId="7" borderId="1" xfId="0" applyNumberFormat="1" applyFont="1" applyFill="1" applyBorder="1">
      <alignment horizontal="center" vertical="center"/>
    </xf>
    <xf numFmtId="181" fontId="2" fillId="7" borderId="1" xfId="0" applyNumberFormat="1" applyFont="1" applyFill="1" applyBorder="1" applyAlignment="1">
      <alignment horizontal="right"/>
    </xf>
    <xf numFmtId="181" fontId="2" fillId="7" borderId="1" xfId="0" applyNumberFormat="1" applyFont="1" applyFill="1" applyBorder="1" applyAlignment="1">
      <alignment horizontal="left"/>
    </xf>
    <xf numFmtId="164" fontId="65" fillId="0" borderId="0" xfId="0" applyFont="1" applyAlignment="1">
      <alignment horizontal="center" vertical="center"/>
    </xf>
    <xf numFmtId="164" fontId="0" fillId="11" borderId="0" xfId="0" applyFill="1">
      <alignment horizontal="center" vertical="center"/>
    </xf>
    <xf numFmtId="14" fontId="6" fillId="0" borderId="0" xfId="0" applyNumberFormat="1" applyFont="1" applyFill="1">
      <alignment horizontal="center" vertical="center"/>
    </xf>
    <xf numFmtId="14" fontId="0" fillId="0" borderId="0" xfId="0" applyNumberFormat="1" applyFill="1">
      <alignment horizontal="center" vertical="center"/>
    </xf>
    <xf numFmtId="164" fontId="8" fillId="0" borderId="1" xfId="0" applyFont="1" applyBorder="1" applyAlignment="1">
      <alignment vertical="center"/>
    </xf>
    <xf numFmtId="164" fontId="1" fillId="0" borderId="1" xfId="0" applyNumberFormat="1" applyFont="1" applyBorder="1" applyAlignment="1"/>
    <xf numFmtId="164" fontId="1" fillId="0" borderId="1" xfId="0" applyNumberFormat="1" applyFont="1" applyFill="1" applyBorder="1" applyAlignment="1">
      <alignment horizontal="center" vertical="center"/>
    </xf>
    <xf numFmtId="177" fontId="1" fillId="0" borderId="1" xfId="0" applyNumberFormat="1" applyFont="1" applyFill="1" applyBorder="1" applyAlignment="1">
      <alignment horizontal="center" vertical="center"/>
    </xf>
    <xf numFmtId="181" fontId="2" fillId="9" borderId="1" xfId="0" applyNumberFormat="1" applyFont="1" applyFill="1" applyBorder="1" applyAlignment="1"/>
    <xf numFmtId="181" fontId="2" fillId="9" borderId="1" xfId="0" applyNumberFormat="1" applyFont="1" applyFill="1" applyBorder="1" applyAlignment="1"/>
    <xf numFmtId="164" fontId="6" fillId="0" borderId="1" xfId="0" applyFont="1" applyBorder="1">
      <alignment horizontal="center" vertical="center"/>
    </xf>
    <xf numFmtId="3" fontId="6" fillId="0" borderId="1" xfId="0" applyNumberFormat="1" applyFont="1" applyBorder="1">
      <alignment horizontal="center" vertical="center"/>
    </xf>
    <xf numFmtId="3" fontId="6" fillId="0" borderId="1" xfId="0" applyNumberFormat="1" applyFont="1" applyFill="1" applyBorder="1">
      <alignment horizontal="center" vertical="center"/>
    </xf>
    <xf numFmtId="181" fontId="2" fillId="0" borderId="1" xfId="0" applyNumberFormat="1" applyFont="1" applyFill="1" applyBorder="1" applyAlignment="1">
      <alignment horizontal="left"/>
    </xf>
    <xf numFmtId="181" fontId="66" fillId="0" borderId="1" xfId="3" applyNumberFormat="1" applyFont="1" applyFill="1" applyBorder="1" applyAlignment="1">
      <alignment horizontal="left"/>
    </xf>
    <xf numFmtId="164" fontId="6" fillId="9" borderId="1" xfId="0" applyFont="1" applyFill="1" applyBorder="1">
      <alignment horizontal="center" vertical="center"/>
    </xf>
    <xf numFmtId="164" fontId="10" fillId="9" borderId="1" xfId="0" applyFont="1" applyFill="1" applyBorder="1">
      <alignment horizontal="center" vertical="center"/>
    </xf>
    <xf numFmtId="3" fontId="10" fillId="0" borderId="1" xfId="0" applyNumberFormat="1" applyFont="1" applyBorder="1">
      <alignment horizontal="center" vertical="center"/>
    </xf>
    <xf numFmtId="3" fontId="10" fillId="0" borderId="1" xfId="0" applyNumberFormat="1" applyFont="1" applyFill="1" applyBorder="1">
      <alignment horizontal="center" vertical="center"/>
    </xf>
    <xf numFmtId="9" fontId="2" fillId="0" borderId="1" xfId="5" applyFont="1" applyBorder="1" applyAlignment="1">
      <alignment horizontal="center" vertical="center"/>
    </xf>
    <xf numFmtId="1" fontId="1" fillId="0" borderId="0" xfId="0" applyNumberFormat="1" applyFont="1" applyFill="1" applyBorder="1" applyAlignment="1">
      <alignment vertical="center"/>
    </xf>
    <xf numFmtId="181" fontId="0" fillId="0" borderId="0" xfId="0" applyNumberFormat="1">
      <alignment horizontal="center" vertical="center"/>
    </xf>
    <xf numFmtId="3" fontId="1" fillId="0" borderId="0" xfId="0" applyNumberFormat="1" applyFont="1" applyAlignment="1">
      <alignment horizontal="left" vertical="center"/>
    </xf>
    <xf numFmtId="3" fontId="20" fillId="0" borderId="0" xfId="3" applyNumberFormat="1" applyFont="1" applyFill="1" applyBorder="1" applyAlignment="1">
      <alignment horizontal="left" vertical="center"/>
    </xf>
    <xf numFmtId="3" fontId="1" fillId="0" borderId="0" xfId="0" applyNumberFormat="1" applyFont="1" applyFill="1" applyBorder="1" applyAlignment="1">
      <alignment horizontal="left" vertical="center"/>
    </xf>
    <xf numFmtId="164" fontId="64" fillId="0" borderId="21" xfId="0" applyFont="1" applyBorder="1" applyAlignment="1">
      <alignment horizontal="center" vertical="center" wrapText="1"/>
    </xf>
    <xf numFmtId="164" fontId="64" fillId="0" borderId="22" xfId="0" applyFont="1" applyBorder="1" applyAlignment="1">
      <alignment horizontal="center" vertical="center" wrapText="1"/>
    </xf>
    <xf numFmtId="165" fontId="8" fillId="0" borderId="27" xfId="0" applyNumberFormat="1" applyFont="1" applyFill="1" applyBorder="1" applyAlignment="1">
      <alignment horizontal="center"/>
    </xf>
    <xf numFmtId="2" fontId="8" fillId="0" borderId="27" xfId="0" applyNumberFormat="1" applyFont="1" applyFill="1" applyBorder="1" applyAlignment="1">
      <alignment horizontal="center"/>
    </xf>
    <xf numFmtId="2" fontId="8" fillId="0" borderId="28" xfId="0" applyNumberFormat="1" applyFont="1" applyFill="1" applyBorder="1" applyAlignment="1">
      <alignment horizontal="center"/>
    </xf>
    <xf numFmtId="181" fontId="19" fillId="0" borderId="24" xfId="0" applyNumberFormat="1" applyFont="1" applyBorder="1" applyAlignment="1">
      <alignment horizontal="center"/>
    </xf>
    <xf numFmtId="16" fontId="19" fillId="0" borderId="26" xfId="0" applyNumberFormat="1" applyFont="1" applyBorder="1" applyAlignment="1">
      <alignment horizontal="center"/>
    </xf>
    <xf numFmtId="165" fontId="8" fillId="0" borderId="25" xfId="0" applyNumberFormat="1" applyFont="1" applyBorder="1" applyAlignment="1">
      <alignment horizontal="center"/>
    </xf>
    <xf numFmtId="179" fontId="0" fillId="0" borderId="0" xfId="0" applyNumberFormat="1">
      <alignment horizontal="center" vertical="center"/>
    </xf>
    <xf numFmtId="164" fontId="2" fillId="7" borderId="0" xfId="0" applyNumberFormat="1" applyFont="1" applyFill="1">
      <alignment horizontal="center" vertical="center"/>
    </xf>
    <xf numFmtId="181" fontId="29" fillId="7" borderId="1" xfId="0" applyNumberFormat="1" applyFont="1" applyFill="1" applyBorder="1">
      <alignment horizontal="center" vertical="center"/>
    </xf>
    <xf numFmtId="181" fontId="26" fillId="7" borderId="1" xfId="0" applyNumberFormat="1" applyFont="1" applyFill="1" applyBorder="1">
      <alignment horizontal="center" vertical="center"/>
    </xf>
    <xf numFmtId="181" fontId="26" fillId="7" borderId="1" xfId="0" applyNumberFormat="1" applyFont="1" applyFill="1" applyBorder="1" applyAlignment="1">
      <alignment wrapText="1"/>
    </xf>
    <xf numFmtId="181" fontId="0" fillId="7" borderId="1" xfId="0" applyNumberFormat="1" applyFill="1" applyBorder="1">
      <alignment horizontal="center" vertical="center"/>
    </xf>
    <xf numFmtId="1" fontId="26" fillId="7" borderId="1" xfId="0" applyNumberFormat="1" applyFont="1" applyFill="1" applyBorder="1">
      <alignment horizontal="center" vertical="center"/>
    </xf>
    <xf numFmtId="164" fontId="26" fillId="7" borderId="1" xfId="0" applyFont="1" applyFill="1" applyBorder="1" applyAlignment="1">
      <alignment wrapText="1"/>
    </xf>
    <xf numFmtId="164" fontId="29" fillId="21" borderId="1" xfId="0" applyFont="1" applyFill="1" applyBorder="1">
      <alignment horizontal="center" vertical="center"/>
    </xf>
    <xf numFmtId="164" fontId="29" fillId="21" borderId="6" xfId="0" applyFont="1" applyFill="1" applyBorder="1" applyAlignment="1">
      <alignment horizontal="center"/>
    </xf>
    <xf numFmtId="164" fontId="29" fillId="21" borderId="4" xfId="0" applyFont="1" applyFill="1" applyBorder="1" applyAlignment="1">
      <alignment horizontal="center"/>
    </xf>
    <xf numFmtId="14" fontId="29" fillId="21" borderId="1" xfId="0" applyNumberFormat="1" applyFont="1" applyFill="1" applyBorder="1">
      <alignment horizontal="center" vertical="center"/>
    </xf>
    <xf numFmtId="1" fontId="0" fillId="0" borderId="4" xfId="0" applyNumberFormat="1" applyBorder="1">
      <alignment horizontal="center" vertical="center"/>
    </xf>
    <xf numFmtId="164" fontId="8" fillId="0" borderId="0" xfId="0" applyFont="1" applyBorder="1" applyAlignment="1">
      <alignment horizontal="center"/>
    </xf>
    <xf numFmtId="164" fontId="4" fillId="7" borderId="7" xfId="0" applyFont="1" applyFill="1" applyBorder="1" applyAlignment="1">
      <alignment horizontal="center" vertical="center"/>
    </xf>
    <xf numFmtId="164" fontId="4" fillId="7" borderId="2" xfId="0" applyFont="1" applyFill="1" applyBorder="1" applyAlignment="1">
      <alignment horizontal="center" vertical="center"/>
    </xf>
    <xf numFmtId="181" fontId="1" fillId="0" borderId="1" xfId="0" applyNumberFormat="1" applyFont="1" applyFill="1" applyBorder="1" applyAlignment="1">
      <alignment horizontal="left" vertical="top"/>
    </xf>
    <xf numFmtId="181" fontId="1" fillId="0" borderId="1" xfId="0" applyNumberFormat="1" applyFont="1" applyBorder="1" applyAlignment="1">
      <alignment horizontal="left" vertical="top"/>
    </xf>
    <xf numFmtId="3" fontId="0" fillId="0" borderId="1" xfId="1" applyNumberFormat="1" applyFont="1" applyBorder="1" applyAlignment="1">
      <alignment horizontal="left" vertical="center"/>
    </xf>
    <xf numFmtId="3" fontId="1" fillId="0" borderId="1" xfId="1" applyNumberFormat="1" applyFont="1" applyBorder="1" applyAlignment="1">
      <alignment horizontal="left" vertical="center"/>
    </xf>
    <xf numFmtId="3" fontId="1" fillId="0" borderId="1" xfId="1" applyNumberFormat="1" applyFont="1" applyBorder="1" applyAlignment="1">
      <alignment horizontal="left"/>
    </xf>
    <xf numFmtId="181" fontId="1" fillId="0" borderId="1" xfId="0" applyNumberFormat="1" applyFont="1" applyBorder="1" applyAlignment="1">
      <alignment horizontal="left" vertical="center"/>
    </xf>
    <xf numFmtId="1" fontId="1" fillId="0" borderId="1" xfId="0" applyNumberFormat="1" applyFont="1" applyBorder="1" applyAlignment="1">
      <alignment horizontal="left"/>
    </xf>
    <xf numFmtId="3" fontId="1" fillId="0" borderId="1" xfId="0" applyNumberFormat="1" applyFont="1" applyBorder="1" applyAlignment="1">
      <alignment horizontal="left"/>
    </xf>
    <xf numFmtId="180" fontId="0" fillId="0" borderId="1" xfId="7" applyNumberFormat="1" applyFont="1" applyFill="1" applyBorder="1" applyAlignment="1">
      <alignment horizontal="left" vertical="center"/>
    </xf>
    <xf numFmtId="180" fontId="1" fillId="0" borderId="1" xfId="7" applyNumberFormat="1" applyFont="1" applyBorder="1" applyAlignment="1">
      <alignment horizontal="left" vertical="center"/>
    </xf>
    <xf numFmtId="44" fontId="4" fillId="7" borderId="9" xfId="7" applyFont="1" applyFill="1" applyBorder="1" applyAlignment="1">
      <alignment horizontal="center" vertical="center"/>
    </xf>
    <xf numFmtId="1" fontId="8" fillId="0" borderId="1" xfId="0" applyNumberFormat="1" applyFont="1" applyFill="1" applyBorder="1" applyAlignment="1">
      <alignment horizontal="center"/>
    </xf>
    <xf numFmtId="1" fontId="8" fillId="0" borderId="1" xfId="0" applyNumberFormat="1" applyFont="1" applyBorder="1" applyAlignment="1">
      <alignment horizontal="center"/>
    </xf>
    <xf numFmtId="181" fontId="27" fillId="0" borderId="1" xfId="0" applyNumberFormat="1" applyFont="1" applyBorder="1" applyAlignment="1"/>
    <xf numFmtId="181" fontId="27" fillId="0" borderId="1" xfId="0" applyNumberFormat="1" applyFont="1" applyBorder="1" applyAlignment="1">
      <alignment vertical="center"/>
    </xf>
    <xf numFmtId="181" fontId="27" fillId="0" borderId="1" xfId="0" applyNumberFormat="1" applyFont="1" applyBorder="1" applyAlignment="1">
      <alignment horizontal="left" vertical="center"/>
    </xf>
    <xf numFmtId="164" fontId="38" fillId="7" borderId="1" xfId="0" applyFont="1" applyFill="1" applyBorder="1" applyAlignment="1">
      <alignment horizontal="center"/>
    </xf>
    <xf numFmtId="164" fontId="38" fillId="9" borderId="6" xfId="0" applyFont="1" applyFill="1" applyBorder="1" applyAlignment="1">
      <alignment horizontal="center"/>
    </xf>
    <xf numFmtId="164" fontId="38" fillId="9" borderId="12" xfId="0" applyFont="1" applyFill="1" applyBorder="1" applyAlignment="1">
      <alignment horizontal="center"/>
    </xf>
    <xf numFmtId="164" fontId="38" fillId="7" borderId="7" xfId="0" applyFont="1" applyFill="1" applyBorder="1" applyAlignment="1">
      <alignment horizontal="left" vertical="center"/>
    </xf>
    <xf numFmtId="164" fontId="38" fillId="0" borderId="1" xfId="0" applyFont="1" applyBorder="1" applyAlignment="1">
      <alignment horizontal="center"/>
    </xf>
    <xf numFmtId="164" fontId="16" fillId="15" borderId="1" xfId="0" applyFont="1" applyFill="1" applyBorder="1" applyAlignment="1">
      <alignment horizontal="left"/>
    </xf>
    <xf numFmtId="164" fontId="16" fillId="15" borderId="1" xfId="0" applyFont="1" applyFill="1" applyBorder="1" applyAlignment="1">
      <alignment horizontal="left" vertical="center"/>
    </xf>
    <xf numFmtId="181" fontId="27" fillId="15" borderId="1" xfId="0" applyNumberFormat="1" applyFont="1" applyFill="1" applyBorder="1" applyAlignment="1"/>
    <xf numFmtId="164" fontId="16" fillId="22" borderId="1" xfId="0" applyFont="1" applyFill="1" applyBorder="1" applyAlignment="1">
      <alignment horizontal="left" vertical="center"/>
    </xf>
    <xf numFmtId="164" fontId="68" fillId="0" borderId="10" xfId="0" applyFont="1" applyBorder="1" applyAlignment="1"/>
    <xf numFmtId="181" fontId="16" fillId="0" borderId="1" xfId="0" applyNumberFormat="1" applyFont="1" applyBorder="1">
      <alignment horizontal="center" vertical="center"/>
    </xf>
    <xf numFmtId="164" fontId="16" fillId="0" borderId="2" xfId="0" applyFont="1" applyBorder="1" applyAlignment="1">
      <alignment horizontal="left" vertical="center"/>
    </xf>
    <xf numFmtId="17" fontId="16" fillId="9" borderId="1" xfId="0" applyNumberFormat="1" applyFont="1" applyFill="1" applyBorder="1">
      <alignment horizontal="center" vertical="center"/>
    </xf>
    <xf numFmtId="164" fontId="16" fillId="0" borderId="1" xfId="0" applyFont="1" applyFill="1" applyBorder="1">
      <alignment horizontal="center" vertical="center"/>
    </xf>
    <xf numFmtId="15" fontId="16" fillId="0" borderId="1" xfId="0" applyNumberFormat="1" applyFont="1" applyFill="1" applyBorder="1">
      <alignment horizontal="center" vertical="center"/>
    </xf>
    <xf numFmtId="164" fontId="38" fillId="0" borderId="1" xfId="0" applyFont="1" applyFill="1" applyBorder="1" applyAlignment="1"/>
    <xf numFmtId="181" fontId="16" fillId="0" borderId="1" xfId="0" applyNumberFormat="1" applyFont="1" applyFill="1" applyBorder="1">
      <alignment horizontal="center" vertical="center"/>
    </xf>
    <xf numFmtId="14" fontId="2" fillId="0" borderId="0" xfId="0" applyNumberFormat="1" applyFont="1" applyAlignment="1"/>
    <xf numFmtId="165" fontId="2" fillId="0" borderId="0" xfId="0" applyNumberFormat="1" applyFont="1" applyAlignment="1"/>
    <xf numFmtId="181" fontId="1" fillId="0" borderId="0" xfId="0" applyNumberFormat="1" applyFont="1" applyFill="1" applyAlignment="1"/>
    <xf numFmtId="181" fontId="0" fillId="0" borderId="0" xfId="0" applyNumberFormat="1" applyFill="1" applyBorder="1" applyAlignment="1">
      <alignment horizontal="left"/>
    </xf>
    <xf numFmtId="1" fontId="1" fillId="0" borderId="0" xfId="0" applyNumberFormat="1" applyFont="1" applyAlignment="1"/>
    <xf numFmtId="14" fontId="1" fillId="0" borderId="0" xfId="0" applyNumberFormat="1" applyFont="1" applyAlignment="1"/>
    <xf numFmtId="49" fontId="0" fillId="0" borderId="0" xfId="0" applyNumberFormat="1" applyAlignment="1"/>
    <xf numFmtId="1" fontId="0" fillId="0" borderId="0" xfId="0" applyNumberFormat="1" applyAlignment="1"/>
    <xf numFmtId="181" fontId="1" fillId="0" borderId="0" xfId="0" applyNumberFormat="1" applyFont="1" applyFill="1" applyBorder="1" applyAlignment="1">
      <alignment horizontal="right"/>
    </xf>
    <xf numFmtId="164" fontId="1" fillId="0" borderId="0" xfId="0" applyNumberFormat="1" applyFont="1" applyAlignment="1">
      <alignment horizontal="left"/>
    </xf>
    <xf numFmtId="181" fontId="20" fillId="0" borderId="0" xfId="4" applyNumberFormat="1" applyFont="1" applyFill="1" applyBorder="1" applyAlignment="1">
      <alignment horizontal="left"/>
    </xf>
    <xf numFmtId="164" fontId="1" fillId="0" borderId="0" xfId="0" applyNumberFormat="1" applyFont="1" applyFill="1" applyBorder="1" applyAlignment="1">
      <alignment horizontal="left"/>
    </xf>
    <xf numFmtId="181" fontId="0" fillId="0" borderId="0" xfId="0" applyNumberFormat="1" applyFill="1" applyAlignment="1"/>
    <xf numFmtId="181" fontId="2" fillId="7" borderId="31" xfId="0" applyNumberFormat="1" applyFont="1" applyFill="1" applyBorder="1" applyAlignment="1">
      <alignment horizontal="center"/>
    </xf>
    <xf numFmtId="164" fontId="0" fillId="0" borderId="4" xfId="0" applyNumberFormat="1" applyBorder="1" applyAlignment="1">
      <alignment horizontal="center" vertical="center"/>
    </xf>
    <xf numFmtId="164" fontId="0" fillId="0" borderId="1" xfId="0" applyNumberFormat="1" applyBorder="1" applyAlignment="1">
      <alignment horizontal="center"/>
    </xf>
    <xf numFmtId="1" fontId="0" fillId="7" borderId="1" xfId="0" applyNumberFormat="1" applyFill="1" applyBorder="1" applyAlignment="1">
      <alignment horizontal="center" vertical="center"/>
    </xf>
    <xf numFmtId="3" fontId="1" fillId="0" borderId="0" xfId="1" applyNumberFormat="1" applyFont="1" applyBorder="1" applyAlignment="1">
      <alignment horizontal="left" vertical="center"/>
    </xf>
    <xf numFmtId="3" fontId="1" fillId="0" borderId="0" xfId="1" applyNumberFormat="1" applyFont="1" applyBorder="1" applyAlignment="1">
      <alignment horizontal="left"/>
    </xf>
    <xf numFmtId="1" fontId="1" fillId="0" borderId="0" xfId="0" applyNumberFormat="1" applyFont="1" applyBorder="1" applyAlignment="1">
      <alignment horizontal="left"/>
    </xf>
    <xf numFmtId="181" fontId="1" fillId="0" borderId="1" xfId="0" applyNumberFormat="1" applyFont="1" applyFill="1" applyBorder="1" applyAlignment="1">
      <alignment horizontal="left" vertical="center"/>
    </xf>
    <xf numFmtId="49" fontId="1" fillId="0" borderId="0" xfId="0" applyNumberFormat="1" applyFont="1" applyAlignment="1"/>
    <xf numFmtId="1" fontId="1" fillId="0" borderId="0" xfId="0" applyNumberFormat="1" applyFont="1" applyAlignment="1">
      <alignment horizontal="left"/>
    </xf>
    <xf numFmtId="1" fontId="1" fillId="0" borderId="0" xfId="0" applyNumberFormat="1" applyFont="1" applyFill="1" applyBorder="1" applyAlignment="1">
      <alignment horizontal="left"/>
    </xf>
    <xf numFmtId="164" fontId="4" fillId="0" borderId="0" xfId="0" applyFont="1" applyAlignment="1">
      <alignment horizontal="center"/>
    </xf>
    <xf numFmtId="164" fontId="2" fillId="0" borderId="0" xfId="0" applyFont="1" applyAlignment="1">
      <alignment horizontal="center"/>
    </xf>
    <xf numFmtId="2" fontId="2" fillId="0" borderId="0" xfId="0" applyNumberFormat="1" applyFont="1" applyAlignment="1">
      <alignment horizontal="center"/>
    </xf>
    <xf numFmtId="164" fontId="2" fillId="2" borderId="0" xfId="0" applyFont="1" applyFill="1" applyAlignment="1">
      <alignment horizontal="center"/>
    </xf>
    <xf numFmtId="164" fontId="29" fillId="0" borderId="1" xfId="0" applyFont="1" applyBorder="1" applyAlignment="1">
      <alignment horizontal="center"/>
    </xf>
    <xf numFmtId="164" fontId="26" fillId="7" borderId="1" xfId="0" applyFont="1" applyFill="1" applyBorder="1" applyAlignment="1">
      <alignment horizontal="center"/>
    </xf>
    <xf numFmtId="1" fontId="0" fillId="0" borderId="0" xfId="0" applyNumberFormat="1" applyBorder="1">
      <alignment horizontal="center" vertical="center"/>
    </xf>
    <xf numFmtId="2" fontId="14" fillId="7" borderId="4" xfId="0" applyNumberFormat="1" applyFont="1" applyFill="1" applyBorder="1" applyAlignment="1">
      <alignment horizontal="center"/>
    </xf>
    <xf numFmtId="164" fontId="2" fillId="0" borderId="0" xfId="0" applyNumberFormat="1" applyFont="1" applyBorder="1" applyAlignment="1">
      <alignment horizontal="center"/>
    </xf>
    <xf numFmtId="181" fontId="2" fillId="7" borderId="7" xfId="0" applyNumberFormat="1" applyFont="1" applyFill="1" applyBorder="1" applyAlignment="1">
      <alignment horizontal="center" vertical="center"/>
    </xf>
    <xf numFmtId="181" fontId="2" fillId="7" borderId="31" xfId="0" applyNumberFormat="1" applyFont="1" applyFill="1" applyBorder="1" applyAlignment="1">
      <alignment horizontal="center" vertical="center"/>
    </xf>
    <xf numFmtId="1" fontId="0" fillId="0" borderId="1" xfId="0" applyNumberFormat="1" applyFill="1" applyBorder="1">
      <alignment horizontal="center" vertical="center"/>
    </xf>
    <xf numFmtId="1" fontId="2" fillId="2" borderId="1" xfId="0" applyNumberFormat="1" applyFont="1" applyFill="1" applyBorder="1" applyAlignment="1">
      <alignment horizontal="center" vertical="center"/>
    </xf>
    <xf numFmtId="181" fontId="1" fillId="0" borderId="1" xfId="0" applyNumberFormat="1" applyFont="1" applyFill="1" applyBorder="1" applyAlignment="1">
      <alignment horizontal="center" vertical="center"/>
    </xf>
    <xf numFmtId="164" fontId="14" fillId="0" borderId="1" xfId="0" applyNumberFormat="1" applyFont="1" applyFill="1" applyBorder="1" applyAlignment="1">
      <alignment horizontal="center"/>
    </xf>
    <xf numFmtId="164" fontId="0" fillId="0" borderId="1" xfId="0" applyNumberFormat="1" applyFill="1" applyBorder="1">
      <alignment horizontal="center" vertical="center"/>
    </xf>
    <xf numFmtId="164" fontId="1" fillId="0" borderId="4" xfId="0" applyNumberFormat="1" applyFont="1" applyFill="1" applyBorder="1" applyAlignment="1">
      <alignment horizontal="center" vertical="center"/>
    </xf>
    <xf numFmtId="164" fontId="0" fillId="0" borderId="1" xfId="0" applyNumberFormat="1" applyFill="1" applyBorder="1" applyAlignment="1">
      <alignment horizontal="center" vertical="center"/>
    </xf>
    <xf numFmtId="164" fontId="1" fillId="0" borderId="0" xfId="0" applyNumberFormat="1" applyFont="1" applyFill="1" applyAlignment="1">
      <alignment horizontal="center" vertical="center"/>
    </xf>
    <xf numFmtId="181" fontId="1" fillId="0" borderId="0" xfId="6" applyFill="1">
      <alignment horizontal="left" vertical="center"/>
    </xf>
    <xf numFmtId="164" fontId="27" fillId="0" borderId="1" xfId="0" applyNumberFormat="1" applyFont="1" applyFill="1" applyBorder="1" applyAlignment="1">
      <alignment horizontal="center"/>
    </xf>
    <xf numFmtId="178" fontId="27" fillId="0" borderId="0" xfId="0" applyNumberFormat="1" applyFont="1">
      <alignment horizontal="center" vertical="center"/>
    </xf>
    <xf numFmtId="1" fontId="27" fillId="0" borderId="1" xfId="0" applyNumberFormat="1" applyFont="1" applyBorder="1" applyAlignment="1">
      <alignment horizontal="center"/>
    </xf>
    <xf numFmtId="3" fontId="27" fillId="2" borderId="1" xfId="0" applyNumberFormat="1" applyFont="1" applyFill="1" applyBorder="1" applyAlignment="1">
      <alignment horizontal="center"/>
    </xf>
    <xf numFmtId="164" fontId="27" fillId="2" borderId="1" xfId="0" applyNumberFormat="1" applyFont="1" applyFill="1" applyBorder="1" applyAlignment="1">
      <alignment horizontal="center"/>
    </xf>
    <xf numFmtId="3" fontId="27" fillId="0" borderId="1" xfId="0" applyNumberFormat="1" applyFont="1" applyFill="1" applyBorder="1" applyAlignment="1">
      <alignment horizontal="center"/>
    </xf>
    <xf numFmtId="164" fontId="6" fillId="0" borderId="0" xfId="0" applyFont="1" applyFill="1" applyAlignment="1">
      <alignment horizontal="left" vertical="center"/>
    </xf>
    <xf numFmtId="164" fontId="6" fillId="0" borderId="0" xfId="0" applyFont="1" applyBorder="1" applyAlignment="1">
      <alignment horizontal="left" vertical="center"/>
    </xf>
    <xf numFmtId="164" fontId="6" fillId="0" borderId="0" xfId="0" applyFont="1" applyFill="1" applyBorder="1" applyAlignment="1">
      <alignment horizontal="left" vertical="center"/>
    </xf>
    <xf numFmtId="15" fontId="10" fillId="0" borderId="0" xfId="0" applyNumberFormat="1" applyFont="1" applyBorder="1" applyAlignment="1">
      <alignment horizontal="left"/>
    </xf>
    <xf numFmtId="2" fontId="6" fillId="0" borderId="0" xfId="0" applyNumberFormat="1" applyFont="1" applyAlignment="1">
      <alignment horizontal="left" vertical="center"/>
    </xf>
    <xf numFmtId="164" fontId="6" fillId="0" borderId="0" xfId="0" applyFont="1" applyAlignment="1">
      <alignment horizontal="left" vertical="center"/>
    </xf>
    <xf numFmtId="15" fontId="10" fillId="0" borderId="0" xfId="0" applyNumberFormat="1" applyFont="1" applyBorder="1" applyAlignment="1">
      <alignment horizontal="left" vertical="center"/>
    </xf>
    <xf numFmtId="164" fontId="6" fillId="0" borderId="0" xfId="0" applyNumberFormat="1" applyFont="1" applyBorder="1" applyAlignment="1">
      <alignment horizontal="left"/>
    </xf>
    <xf numFmtId="164" fontId="6" fillId="0" borderId="0" xfId="0" applyNumberFormat="1" applyFont="1" applyAlignment="1">
      <alignment horizontal="left"/>
    </xf>
    <xf numFmtId="164" fontId="1" fillId="0" borderId="1" xfId="0" applyFont="1" applyFill="1" applyBorder="1" applyAlignment="1">
      <alignment wrapText="1"/>
    </xf>
    <xf numFmtId="164" fontId="1" fillId="0" borderId="0" xfId="0" applyNumberFormat="1" applyFont="1" applyFill="1" applyBorder="1" applyAlignment="1">
      <alignment horizontal="center"/>
    </xf>
    <xf numFmtId="164" fontId="10" fillId="0" borderId="0" xfId="0" applyNumberFormat="1" applyFont="1" applyFill="1" applyBorder="1" applyAlignment="1">
      <alignment horizontal="center"/>
    </xf>
    <xf numFmtId="164" fontId="0" fillId="0" borderId="0" xfId="0" applyNumberFormat="1" applyFill="1" applyBorder="1" applyAlignment="1">
      <alignment horizontal="center"/>
    </xf>
    <xf numFmtId="1" fontId="6" fillId="0" borderId="1" xfId="0" applyNumberFormat="1" applyFont="1" applyFill="1" applyBorder="1" applyAlignment="1">
      <alignment horizontal="center"/>
    </xf>
    <xf numFmtId="2" fontId="29" fillId="0" borderId="1" xfId="0" applyNumberFormat="1" applyFont="1" applyBorder="1" applyAlignment="1">
      <alignment horizontal="center" vertical="center"/>
    </xf>
    <xf numFmtId="2" fontId="29" fillId="0" borderId="1" xfId="0" applyNumberFormat="1" applyFont="1" applyBorder="1">
      <alignment horizontal="center" vertical="center"/>
    </xf>
    <xf numFmtId="2" fontId="29" fillId="0" borderId="9" xfId="0" applyNumberFormat="1" applyFont="1" applyFill="1" applyBorder="1" applyAlignment="1">
      <alignment horizontal="center"/>
    </xf>
    <xf numFmtId="181" fontId="1" fillId="0" borderId="0" xfId="0" applyNumberFormat="1" applyFont="1" applyFill="1" applyBorder="1" applyAlignment="1">
      <alignment horizontal="center" vertical="center"/>
    </xf>
    <xf numFmtId="1" fontId="1" fillId="0" borderId="0" xfId="0" applyNumberFormat="1" applyFont="1" applyBorder="1" applyAlignment="1">
      <alignment horizontal="center" vertical="center"/>
    </xf>
    <xf numFmtId="1" fontId="1" fillId="7" borderId="1" xfId="0" applyNumberFormat="1" applyFont="1" applyFill="1" applyBorder="1" applyAlignment="1">
      <alignment horizontal="center" vertical="center"/>
    </xf>
    <xf numFmtId="164" fontId="0" fillId="0" borderId="7" xfId="0" applyBorder="1">
      <alignment horizontal="center" vertical="center"/>
    </xf>
    <xf numFmtId="181" fontId="0" fillId="0" borderId="7" xfId="0" applyNumberFormat="1" applyBorder="1">
      <alignment horizontal="center" vertical="center"/>
    </xf>
    <xf numFmtId="1" fontId="0" fillId="0" borderId="7" xfId="0" applyNumberFormat="1" applyBorder="1" applyAlignment="1">
      <alignment horizontal="center"/>
    </xf>
    <xf numFmtId="1" fontId="0" fillId="11" borderId="1" xfId="0" applyNumberFormat="1" applyFill="1" applyBorder="1" applyAlignment="1">
      <alignment horizontal="center" vertical="center"/>
    </xf>
    <xf numFmtId="164" fontId="1" fillId="0" borderId="1" xfId="0" applyFont="1" applyFill="1" applyBorder="1" applyAlignment="1">
      <alignment horizontal="right"/>
    </xf>
    <xf numFmtId="164" fontId="1" fillId="7" borderId="0" xfId="0" applyFont="1" applyFill="1" applyBorder="1">
      <alignment horizontal="center" vertical="center"/>
    </xf>
    <xf numFmtId="1" fontId="0" fillId="0" borderId="0" xfId="0" applyNumberFormat="1" applyFill="1" applyBorder="1" applyAlignment="1">
      <alignment horizontal="center" vertical="center"/>
    </xf>
    <xf numFmtId="181" fontId="0" fillId="0" borderId="0" xfId="0" applyNumberFormat="1" applyFill="1" applyBorder="1" applyAlignment="1">
      <alignment horizontal="center" vertical="center"/>
    </xf>
    <xf numFmtId="164" fontId="0" fillId="0" borderId="1" xfId="0" applyBorder="1" applyAlignment="1">
      <alignment horizontal="left" vertical="center"/>
    </xf>
    <xf numFmtId="164" fontId="0" fillId="0" borderId="1" xfId="0" applyBorder="1" applyAlignment="1">
      <alignment horizontal="left"/>
    </xf>
    <xf numFmtId="164" fontId="1" fillId="0" borderId="1" xfId="0" applyFont="1" applyBorder="1" applyAlignment="1">
      <alignment horizontal="left" vertical="center"/>
    </xf>
    <xf numFmtId="1" fontId="0" fillId="0" borderId="1" xfId="1" applyNumberFormat="1" applyFont="1" applyBorder="1" applyAlignment="1">
      <alignment horizontal="center" vertical="center"/>
    </xf>
    <xf numFmtId="164" fontId="70" fillId="0" borderId="0" xfId="0" applyFont="1">
      <alignment horizontal="center" vertical="center"/>
    </xf>
    <xf numFmtId="164" fontId="73" fillId="0" borderId="0" xfId="0" applyFont="1">
      <alignment horizontal="center" vertical="center"/>
    </xf>
    <xf numFmtId="164" fontId="73" fillId="7" borderId="1" xfId="0" applyFont="1" applyFill="1" applyBorder="1" applyAlignment="1">
      <alignment horizontal="left" vertical="center"/>
    </xf>
    <xf numFmtId="164" fontId="74" fillId="7" borderId="1" xfId="0" applyFont="1" applyFill="1" applyBorder="1" applyAlignment="1">
      <alignment horizontal="center" vertical="center" wrapText="1"/>
    </xf>
    <xf numFmtId="164" fontId="74" fillId="7" borderId="1" xfId="0" applyFont="1" applyFill="1" applyBorder="1">
      <alignment horizontal="center" vertical="center"/>
    </xf>
    <xf numFmtId="164" fontId="4" fillId="0" borderId="0" xfId="0" applyFont="1" applyFill="1" applyBorder="1" applyAlignment="1">
      <alignment horizontal="center"/>
    </xf>
    <xf numFmtId="164" fontId="4" fillId="0" borderId="0" xfId="0" applyFont="1" applyFill="1" applyBorder="1" applyAlignment="1"/>
    <xf numFmtId="181" fontId="27" fillId="0" borderId="0" xfId="0" applyNumberFormat="1" applyFont="1" applyFill="1" applyBorder="1" applyAlignment="1">
      <alignment horizontal="center"/>
    </xf>
    <xf numFmtId="181" fontId="19" fillId="0" borderId="0" xfId="0" applyNumberFormat="1" applyFont="1" applyFill="1" applyBorder="1" applyAlignment="1"/>
    <xf numFmtId="164" fontId="74" fillId="9" borderId="1" xfId="0" applyFont="1" applyFill="1" applyBorder="1" applyAlignment="1"/>
    <xf numFmtId="164" fontId="73" fillId="0" borderId="1" xfId="0" applyFont="1" applyBorder="1" applyAlignment="1">
      <alignment horizontal="left" vertical="center"/>
    </xf>
    <xf numFmtId="164" fontId="72" fillId="0" borderId="1" xfId="0" applyFont="1" applyBorder="1" applyAlignment="1">
      <alignment horizontal="left" vertical="center"/>
    </xf>
    <xf numFmtId="164" fontId="73" fillId="0" borderId="1" xfId="0" applyFont="1" applyBorder="1" applyAlignment="1">
      <alignment horizontal="left"/>
    </xf>
    <xf numFmtId="181" fontId="73" fillId="0" borderId="1" xfId="0" applyNumberFormat="1" applyFont="1" applyBorder="1" applyAlignment="1">
      <alignment horizontal="left"/>
    </xf>
    <xf numFmtId="181" fontId="73" fillId="0" borderId="1" xfId="0" applyNumberFormat="1" applyFont="1" applyFill="1" applyBorder="1" applyAlignment="1">
      <alignment horizontal="left"/>
    </xf>
    <xf numFmtId="164" fontId="70" fillId="0" borderId="1" xfId="0" applyFont="1" applyBorder="1">
      <alignment horizontal="center" vertical="center"/>
    </xf>
    <xf numFmtId="164" fontId="71" fillId="15" borderId="1" xfId="0" applyFont="1" applyFill="1" applyBorder="1" applyAlignment="1">
      <alignment horizontal="center" wrapText="1"/>
    </xf>
    <xf numFmtId="164" fontId="73" fillId="0" borderId="1" xfId="0" applyFont="1" applyBorder="1" applyAlignment="1">
      <alignment vertical="center"/>
    </xf>
    <xf numFmtId="164" fontId="73" fillId="0" borderId="6" xfId="0" applyFont="1" applyBorder="1" applyAlignment="1">
      <alignment horizontal="left" vertical="center"/>
    </xf>
    <xf numFmtId="164" fontId="73" fillId="0" borderId="1" xfId="0" applyFont="1" applyBorder="1" applyAlignment="1">
      <alignment horizontal="left" vertical="center" wrapText="1"/>
    </xf>
    <xf numFmtId="164" fontId="74" fillId="7" borderId="6" xfId="0" applyFont="1" applyFill="1" applyBorder="1" applyAlignment="1">
      <alignment vertical="center"/>
    </xf>
    <xf numFmtId="164" fontId="70" fillId="7" borderId="1" xfId="0" applyFont="1" applyFill="1" applyBorder="1" applyAlignment="1">
      <alignment horizontal="left" vertical="top"/>
    </xf>
    <xf numFmtId="164" fontId="70" fillId="7" borderId="1" xfId="0" applyFont="1" applyFill="1" applyBorder="1">
      <alignment horizontal="center" vertical="center"/>
    </xf>
    <xf numFmtId="164" fontId="70" fillId="7" borderId="9" xfId="0" applyFont="1" applyFill="1" applyBorder="1" applyAlignment="1">
      <alignment horizontal="center" wrapText="1"/>
    </xf>
    <xf numFmtId="164" fontId="70" fillId="7" borderId="9" xfId="0" applyFont="1" applyFill="1" applyBorder="1" applyAlignment="1">
      <alignment wrapText="1"/>
    </xf>
    <xf numFmtId="164" fontId="70" fillId="0" borderId="1" xfId="0" applyFont="1" applyBorder="1" applyAlignment="1">
      <alignment horizontal="center"/>
    </xf>
    <xf numFmtId="14" fontId="70" fillId="0" borderId="1" xfId="0" applyNumberFormat="1" applyFont="1" applyBorder="1">
      <alignment horizontal="center" vertical="center"/>
    </xf>
    <xf numFmtId="14" fontId="70" fillId="0" borderId="1" xfId="0" applyNumberFormat="1" applyFont="1" applyBorder="1" applyAlignment="1">
      <alignment horizontal="center"/>
    </xf>
    <xf numFmtId="20" fontId="70" fillId="0" borderId="1" xfId="0" applyNumberFormat="1" applyFont="1" applyBorder="1" applyAlignment="1">
      <alignment horizontal="center"/>
    </xf>
    <xf numFmtId="9" fontId="70" fillId="0" borderId="1" xfId="5" applyFont="1" applyBorder="1" applyAlignment="1">
      <alignment horizontal="center"/>
    </xf>
    <xf numFmtId="9" fontId="70" fillId="0" borderId="1" xfId="5" applyFont="1" applyFill="1" applyBorder="1" applyAlignment="1">
      <alignment horizontal="center"/>
    </xf>
    <xf numFmtId="164" fontId="70" fillId="0" borderId="0" xfId="0" applyFont="1" applyAlignment="1">
      <alignment horizontal="left" vertical="top"/>
    </xf>
    <xf numFmtId="164" fontId="70" fillId="0" borderId="0" xfId="0" applyFont="1" applyAlignment="1">
      <alignment horizontal="center"/>
    </xf>
    <xf numFmtId="164" fontId="70" fillId="0" borderId="2" xfId="0" applyFont="1" applyBorder="1" applyAlignment="1">
      <alignment horizontal="left" vertical="top" wrapText="1"/>
    </xf>
    <xf numFmtId="164" fontId="70" fillId="7" borderId="1" xfId="0" applyFont="1" applyFill="1" applyBorder="1" applyAlignment="1">
      <alignment horizontal="left" vertical="top" wrapText="1"/>
    </xf>
    <xf numFmtId="164" fontId="70" fillId="0" borderId="0" xfId="0" applyFont="1" applyAlignment="1">
      <alignment horizontal="left" vertical="top" wrapText="1"/>
    </xf>
    <xf numFmtId="164" fontId="73" fillId="0" borderId="6" xfId="0" applyFont="1" applyBorder="1" applyAlignment="1">
      <alignment horizontal="left" vertical="center" wrapText="1"/>
    </xf>
    <xf numFmtId="14" fontId="70" fillId="0" borderId="0" xfId="0" applyNumberFormat="1" applyFont="1">
      <alignment horizontal="center" vertical="center"/>
    </xf>
    <xf numFmtId="2" fontId="70" fillId="7" borderId="1" xfId="0" applyNumberFormat="1" applyFont="1" applyFill="1" applyBorder="1">
      <alignment horizontal="center" vertical="center"/>
    </xf>
    <xf numFmtId="2" fontId="70" fillId="0" borderId="1" xfId="0" applyNumberFormat="1" applyFont="1" applyBorder="1" applyAlignment="1">
      <alignment horizontal="center"/>
    </xf>
    <xf numFmtId="2" fontId="70" fillId="0" borderId="1" xfId="0" applyNumberFormat="1" applyFont="1" applyBorder="1">
      <alignment horizontal="center" vertical="center"/>
    </xf>
    <xf numFmtId="2" fontId="70" fillId="0" borderId="0" xfId="0" applyNumberFormat="1" applyFont="1">
      <alignment horizontal="center" vertical="center"/>
    </xf>
    <xf numFmtId="2" fontId="70" fillId="0" borderId="6" xfId="0" applyNumberFormat="1" applyFont="1" applyBorder="1" applyAlignment="1">
      <alignment horizontal="center"/>
    </xf>
    <xf numFmtId="2" fontId="70" fillId="0" borderId="1" xfId="0" applyNumberFormat="1" applyFont="1" applyFill="1" applyBorder="1" applyAlignment="1">
      <alignment horizontal="center"/>
    </xf>
    <xf numFmtId="165" fontId="70" fillId="7" borderId="6" xfId="0" applyNumberFormat="1" applyFont="1" applyFill="1" applyBorder="1">
      <alignment horizontal="center" vertical="center"/>
    </xf>
    <xf numFmtId="165" fontId="70" fillId="0" borderId="6" xfId="0" applyNumberFormat="1" applyFont="1" applyBorder="1" applyAlignment="1">
      <alignment horizontal="center"/>
    </xf>
    <xf numFmtId="165" fontId="70" fillId="0" borderId="1" xfId="0" applyNumberFormat="1" applyFont="1" applyBorder="1" applyAlignment="1">
      <alignment horizontal="center"/>
    </xf>
    <xf numFmtId="165" fontId="70" fillId="0" borderId="1" xfId="0" applyNumberFormat="1" applyFont="1" applyFill="1" applyBorder="1" applyAlignment="1">
      <alignment horizontal="center"/>
    </xf>
    <xf numFmtId="165" fontId="70" fillId="0" borderId="0" xfId="0" applyNumberFormat="1" applyFont="1">
      <alignment horizontal="center" vertical="center"/>
    </xf>
    <xf numFmtId="176" fontId="70" fillId="0" borderId="1" xfId="0" applyNumberFormat="1" applyFont="1" applyBorder="1" applyAlignment="1">
      <alignment horizontal="center"/>
    </xf>
    <xf numFmtId="176" fontId="70" fillId="0" borderId="0" xfId="0" applyNumberFormat="1" applyFont="1" applyAlignment="1">
      <alignment horizontal="center"/>
    </xf>
    <xf numFmtId="2" fontId="75" fillId="7" borderId="1" xfId="0" applyNumberFormat="1" applyFont="1" applyFill="1" applyBorder="1">
      <alignment horizontal="center" vertical="center"/>
    </xf>
    <xf numFmtId="176" fontId="70" fillId="10" borderId="1" xfId="0" applyNumberFormat="1" applyFont="1" applyFill="1" applyBorder="1" applyAlignment="1">
      <alignment horizontal="center"/>
    </xf>
    <xf numFmtId="2" fontId="70" fillId="10" borderId="1" xfId="0" applyNumberFormat="1" applyFont="1" applyFill="1" applyBorder="1" applyAlignment="1">
      <alignment horizontal="center"/>
    </xf>
    <xf numFmtId="165" fontId="70" fillId="10" borderId="6" xfId="0" applyNumberFormat="1" applyFont="1" applyFill="1" applyBorder="1" applyAlignment="1">
      <alignment horizontal="center"/>
    </xf>
    <xf numFmtId="164" fontId="70" fillId="10" borderId="1" xfId="0" applyFont="1" applyFill="1" applyBorder="1" applyAlignment="1">
      <alignment horizontal="center"/>
    </xf>
    <xf numFmtId="164" fontId="70" fillId="10" borderId="1" xfId="0" applyFont="1" applyFill="1" applyBorder="1">
      <alignment horizontal="center" vertical="center"/>
    </xf>
    <xf numFmtId="2" fontId="70" fillId="10" borderId="1" xfId="0" applyNumberFormat="1" applyFont="1" applyFill="1" applyBorder="1">
      <alignment horizontal="center" vertical="center"/>
    </xf>
    <xf numFmtId="165" fontId="70" fillId="10" borderId="1" xfId="0" applyNumberFormat="1" applyFont="1" applyFill="1" applyBorder="1">
      <alignment horizontal="center" vertical="center"/>
    </xf>
    <xf numFmtId="9" fontId="70" fillId="10" borderId="1" xfId="5" applyFont="1" applyFill="1" applyBorder="1" applyAlignment="1">
      <alignment horizontal="center"/>
    </xf>
    <xf numFmtId="20" fontId="70" fillId="10" borderId="1" xfId="0" applyNumberFormat="1" applyFont="1" applyFill="1" applyBorder="1" applyAlignment="1">
      <alignment horizontal="center"/>
    </xf>
    <xf numFmtId="164" fontId="70" fillId="7" borderId="0" xfId="0" applyFont="1" applyFill="1">
      <alignment horizontal="center" vertical="center"/>
    </xf>
    <xf numFmtId="165" fontId="70" fillId="0" borderId="1" xfId="0" applyNumberFormat="1" applyFont="1" applyBorder="1">
      <alignment horizontal="center" vertical="center"/>
    </xf>
    <xf numFmtId="181" fontId="70" fillId="0" borderId="1" xfId="0" applyNumberFormat="1" applyFont="1" applyBorder="1">
      <alignment horizontal="center" vertical="center"/>
    </xf>
    <xf numFmtId="164" fontId="71" fillId="10" borderId="1" xfId="0" applyFont="1" applyFill="1" applyBorder="1" applyAlignment="1">
      <alignment horizontal="center"/>
    </xf>
    <xf numFmtId="2" fontId="71" fillId="10" borderId="1" xfId="0" applyNumberFormat="1" applyFont="1" applyFill="1" applyBorder="1" applyAlignment="1">
      <alignment horizontal="center"/>
    </xf>
    <xf numFmtId="165" fontId="71" fillId="10" borderId="6" xfId="0" applyNumberFormat="1" applyFont="1" applyFill="1" applyBorder="1" applyAlignment="1">
      <alignment horizontal="center"/>
    </xf>
    <xf numFmtId="176" fontId="70" fillId="0" borderId="1" xfId="0" applyNumberFormat="1" applyFont="1" applyFill="1" applyBorder="1" applyAlignment="1">
      <alignment horizontal="center"/>
    </xf>
    <xf numFmtId="165" fontId="70" fillId="0" borderId="6" xfId="0" applyNumberFormat="1" applyFont="1" applyFill="1" applyBorder="1" applyAlignment="1">
      <alignment horizontal="center"/>
    </xf>
    <xf numFmtId="2" fontId="70" fillId="0" borderId="1" xfId="0" applyNumberFormat="1" applyFont="1" applyFill="1" applyBorder="1">
      <alignment horizontal="center" vertical="center"/>
    </xf>
    <xf numFmtId="165" fontId="70" fillId="0" borderId="1" xfId="0" applyNumberFormat="1" applyFont="1" applyFill="1" applyBorder="1">
      <alignment horizontal="center" vertical="center"/>
    </xf>
    <xf numFmtId="164" fontId="70" fillId="7" borderId="0" xfId="0" applyFont="1" applyFill="1" applyAlignment="1"/>
    <xf numFmtId="164" fontId="70" fillId="7" borderId="1" xfId="0" applyFont="1" applyFill="1" applyBorder="1" applyAlignment="1">
      <alignment wrapText="1"/>
    </xf>
    <xf numFmtId="164" fontId="70" fillId="7" borderId="7" xfId="0" applyFont="1" applyFill="1" applyBorder="1" applyAlignment="1"/>
    <xf numFmtId="164" fontId="70" fillId="7" borderId="7" xfId="0" applyFont="1" applyFill="1" applyBorder="1" applyAlignment="1">
      <alignment wrapText="1"/>
    </xf>
    <xf numFmtId="2" fontId="70" fillId="7" borderId="7" xfId="0" applyNumberFormat="1" applyFont="1" applyFill="1" applyBorder="1" applyAlignment="1"/>
    <xf numFmtId="2" fontId="75" fillId="7" borderId="7" xfId="0" applyNumberFormat="1" applyFont="1" applyFill="1" applyBorder="1" applyAlignment="1"/>
    <xf numFmtId="165" fontId="70" fillId="7" borderId="32" xfId="0" applyNumberFormat="1" applyFont="1" applyFill="1" applyBorder="1" applyAlignment="1"/>
    <xf numFmtId="176" fontId="70" fillId="0" borderId="2" xfId="0" applyNumberFormat="1" applyFont="1" applyFill="1" applyBorder="1" applyAlignment="1">
      <alignment horizontal="center"/>
    </xf>
    <xf numFmtId="2" fontId="70" fillId="0" borderId="2" xfId="0" applyNumberFormat="1" applyFont="1" applyFill="1" applyBorder="1" applyAlignment="1">
      <alignment horizontal="center"/>
    </xf>
    <xf numFmtId="165" fontId="70" fillId="0" borderId="5" xfId="0" applyNumberFormat="1" applyFont="1" applyFill="1" applyBorder="1" applyAlignment="1">
      <alignment horizontal="center"/>
    </xf>
    <xf numFmtId="164" fontId="70" fillId="0" borderId="2" xfId="0" applyFont="1" applyBorder="1">
      <alignment horizontal="center" vertical="center"/>
    </xf>
    <xf numFmtId="14" fontId="70" fillId="0" borderId="1" xfId="0" applyNumberFormat="1" applyFont="1" applyFill="1" applyBorder="1" applyAlignment="1"/>
    <xf numFmtId="9" fontId="70" fillId="0" borderId="2" xfId="5" applyFont="1" applyFill="1" applyBorder="1" applyAlignment="1">
      <alignment horizontal="center"/>
    </xf>
    <xf numFmtId="176" fontId="70" fillId="0" borderId="1" xfId="0" applyNumberFormat="1" applyFont="1" applyFill="1" applyBorder="1">
      <alignment horizontal="center" vertical="center"/>
    </xf>
    <xf numFmtId="176" fontId="70" fillId="0" borderId="1" xfId="0" applyNumberFormat="1" applyFont="1" applyFill="1" applyBorder="1" applyAlignment="1">
      <alignment horizontal="center" vertical="center"/>
    </xf>
    <xf numFmtId="2" fontId="70" fillId="0" borderId="1" xfId="0" applyNumberFormat="1" applyFont="1" applyFill="1" applyBorder="1" applyAlignment="1">
      <alignment horizontal="center" vertical="center"/>
    </xf>
    <xf numFmtId="2" fontId="75" fillId="0" borderId="1" xfId="0" applyNumberFormat="1" applyFont="1" applyFill="1" applyBorder="1" applyAlignment="1">
      <alignment horizontal="center" vertical="center"/>
    </xf>
    <xf numFmtId="165" fontId="70" fillId="0" borderId="1" xfId="0" applyNumberFormat="1" applyFont="1" applyFill="1" applyBorder="1" applyAlignment="1">
      <alignment horizontal="center" vertical="center"/>
    </xf>
    <xf numFmtId="9" fontId="70" fillId="0" borderId="1" xfId="5" applyFont="1" applyFill="1" applyBorder="1" applyAlignment="1">
      <alignment horizontal="center" vertical="center" wrapText="1"/>
    </xf>
    <xf numFmtId="164" fontId="70" fillId="0" borderId="1" xfId="0" applyFont="1" applyFill="1" applyBorder="1" applyAlignment="1">
      <alignment horizontal="center" vertical="center" wrapText="1"/>
    </xf>
    <xf numFmtId="164" fontId="71" fillId="0" borderId="0" xfId="0" applyFont="1" applyBorder="1" applyAlignment="1">
      <alignment horizontal="center" vertical="center"/>
    </xf>
    <xf numFmtId="164" fontId="70" fillId="0" borderId="0" xfId="0" applyFont="1" applyBorder="1" applyAlignment="1">
      <alignment horizontal="center" vertical="top"/>
    </xf>
    <xf numFmtId="164" fontId="70" fillId="0" borderId="0" xfId="0" applyFont="1" applyBorder="1" applyAlignment="1">
      <alignment horizontal="center" vertical="top" wrapText="1"/>
    </xf>
    <xf numFmtId="14" fontId="70" fillId="0" borderId="0" xfId="0" applyNumberFormat="1" applyFont="1" applyBorder="1">
      <alignment horizontal="center" vertical="center"/>
    </xf>
    <xf numFmtId="176" fontId="70" fillId="0" borderId="0" xfId="0" applyNumberFormat="1" applyFont="1" applyBorder="1" applyAlignment="1">
      <alignment horizontal="center"/>
    </xf>
    <xf numFmtId="2" fontId="70" fillId="0" borderId="0" xfId="0" applyNumberFormat="1" applyFont="1" applyBorder="1" applyAlignment="1">
      <alignment horizontal="center"/>
    </xf>
    <xf numFmtId="165" fontId="70" fillId="0" borderId="0" xfId="0" applyNumberFormat="1" applyFont="1" applyBorder="1" applyAlignment="1">
      <alignment horizontal="center"/>
    </xf>
    <xf numFmtId="9" fontId="70" fillId="0" borderId="0" xfId="5" applyFont="1" applyBorder="1" applyAlignment="1">
      <alignment horizontal="center"/>
    </xf>
    <xf numFmtId="164" fontId="70" fillId="0" borderId="0" xfId="0" applyFont="1" applyBorder="1">
      <alignment horizontal="center" vertical="center"/>
    </xf>
    <xf numFmtId="181" fontId="1" fillId="0" borderId="0" xfId="0" applyNumberFormat="1" applyFont="1" applyFill="1" applyAlignment="1">
      <alignment horizontal="center" vertical="center" wrapText="1"/>
    </xf>
    <xf numFmtId="181" fontId="1" fillId="0" borderId="0" xfId="0" applyNumberFormat="1" applyFont="1" applyFill="1" applyBorder="1" applyAlignment="1">
      <alignment horizontal="center" vertical="center" wrapText="1"/>
    </xf>
    <xf numFmtId="164" fontId="70" fillId="7" borderId="1" xfId="0" applyFont="1" applyFill="1" applyBorder="1" applyAlignment="1">
      <alignment horizontal="center" vertical="center"/>
    </xf>
    <xf numFmtId="164" fontId="70" fillId="7" borderId="1" xfId="0" applyFont="1" applyFill="1" applyBorder="1" applyAlignment="1">
      <alignment horizontal="center" vertical="center" wrapText="1"/>
    </xf>
    <xf numFmtId="181" fontId="1" fillId="7" borderId="1" xfId="0" applyNumberFormat="1" applyFont="1" applyFill="1" applyBorder="1" applyAlignment="1">
      <alignment horizontal="center" vertical="center" wrapText="1"/>
    </xf>
    <xf numFmtId="1" fontId="70" fillId="0" borderId="1" xfId="0" applyNumberFormat="1" applyFont="1" applyBorder="1" applyAlignment="1">
      <alignment horizontal="center" vertical="center"/>
    </xf>
    <xf numFmtId="2" fontId="70" fillId="0" borderId="1" xfId="0" applyNumberFormat="1" applyFont="1" applyBorder="1" applyAlignment="1">
      <alignment horizontal="center" vertical="center"/>
    </xf>
    <xf numFmtId="165" fontId="1" fillId="0" borderId="1" xfId="0" applyNumberFormat="1" applyFont="1" applyBorder="1" applyAlignment="1">
      <alignment horizontal="center" vertical="center"/>
    </xf>
    <xf numFmtId="181" fontId="1" fillId="0" borderId="3" xfId="0" applyNumberFormat="1" applyFont="1" applyFill="1" applyBorder="1" applyAlignment="1">
      <alignment horizontal="center" vertical="center"/>
    </xf>
    <xf numFmtId="181" fontId="1" fillId="0" borderId="10" xfId="0" applyNumberFormat="1" applyFont="1" applyBorder="1" applyAlignment="1">
      <alignment vertical="center"/>
    </xf>
    <xf numFmtId="164" fontId="1" fillId="7" borderId="1" xfId="0" applyFont="1" applyFill="1" applyBorder="1" applyAlignment="1">
      <alignment horizontal="center" vertical="center" wrapText="1"/>
    </xf>
    <xf numFmtId="164" fontId="1" fillId="0" borderId="3" xfId="0" applyNumberFormat="1" applyFont="1" applyFill="1" applyBorder="1" applyAlignment="1"/>
    <xf numFmtId="164" fontId="1" fillId="0" borderId="9" xfId="0" applyNumberFormat="1" applyFont="1" applyFill="1" applyBorder="1" applyAlignment="1">
      <alignment horizontal="center" vertical="center"/>
    </xf>
    <xf numFmtId="2" fontId="2" fillId="0" borderId="1" xfId="0" applyNumberFormat="1" applyFont="1" applyBorder="1" applyAlignment="1">
      <alignment horizontal="center" vertical="center"/>
    </xf>
    <xf numFmtId="2" fontId="2" fillId="0" borderId="1" xfId="0" applyNumberFormat="1" applyFont="1" applyFill="1" applyBorder="1">
      <alignment horizontal="center" vertical="center"/>
    </xf>
    <xf numFmtId="2" fontId="2" fillId="0" borderId="9" xfId="0" applyNumberFormat="1" applyFont="1" applyFill="1" applyBorder="1">
      <alignment horizontal="center" vertical="center"/>
    </xf>
    <xf numFmtId="2" fontId="2" fillId="0" borderId="1" xfId="0" applyNumberFormat="1" applyFont="1" applyBorder="1" applyAlignment="1">
      <alignment horizontal="center"/>
    </xf>
    <xf numFmtId="165" fontId="2" fillId="0" borderId="1" xfId="0" applyNumberFormat="1" applyFont="1" applyBorder="1" applyAlignment="1">
      <alignment horizontal="center"/>
    </xf>
    <xf numFmtId="165" fontId="0" fillId="0" borderId="1" xfId="0" applyNumberFormat="1" applyBorder="1" applyAlignment="1">
      <alignment horizontal="center" vertical="center"/>
    </xf>
    <xf numFmtId="165" fontId="2" fillId="0" borderId="9" xfId="0" applyNumberFormat="1" applyFont="1" applyFill="1" applyBorder="1">
      <alignment horizontal="center" vertical="center"/>
    </xf>
    <xf numFmtId="181" fontId="10" fillId="0" borderId="0" xfId="0" applyNumberFormat="1" applyFont="1" applyBorder="1" applyAlignment="1">
      <alignment vertical="center"/>
    </xf>
    <xf numFmtId="181" fontId="10" fillId="7" borderId="1" xfId="0" applyNumberFormat="1" applyFont="1" applyFill="1" applyBorder="1" applyAlignment="1">
      <alignment vertical="center"/>
    </xf>
    <xf numFmtId="2" fontId="14" fillId="2" borderId="4" xfId="0" applyNumberFormat="1" applyFont="1" applyFill="1" applyBorder="1">
      <alignment horizontal="center" vertical="center"/>
    </xf>
    <xf numFmtId="2" fontId="14" fillId="2" borderId="1" xfId="0" applyNumberFormat="1" applyFont="1" applyFill="1" applyBorder="1">
      <alignment horizontal="center" vertical="center"/>
    </xf>
    <xf numFmtId="2" fontId="27" fillId="0" borderId="1" xfId="0" applyNumberFormat="1" applyFont="1" applyBorder="1" applyAlignment="1">
      <alignment horizontal="center"/>
    </xf>
    <xf numFmtId="181" fontId="1" fillId="0" borderId="7" xfId="0" applyNumberFormat="1" applyFont="1" applyBorder="1" applyAlignment="1">
      <alignment horizontal="left"/>
    </xf>
    <xf numFmtId="181" fontId="1" fillId="0" borderId="7" xfId="0" applyNumberFormat="1" applyFont="1" applyFill="1" applyBorder="1" applyAlignment="1">
      <alignment horizontal="left"/>
    </xf>
    <xf numFmtId="181" fontId="1" fillId="0" borderId="7" xfId="0" applyNumberFormat="1" applyFont="1" applyBorder="1" applyAlignment="1"/>
    <xf numFmtId="181" fontId="1" fillId="0" borderId="2" xfId="0" applyNumberFormat="1" applyFont="1" applyBorder="1" applyAlignment="1">
      <alignment horizontal="left"/>
    </xf>
    <xf numFmtId="181" fontId="1" fillId="0" borderId="2" xfId="0" applyNumberFormat="1" applyFont="1" applyFill="1" applyBorder="1" applyAlignment="1">
      <alignment horizontal="left"/>
    </xf>
    <xf numFmtId="177" fontId="1" fillId="0" borderId="2" xfId="0" applyNumberFormat="1" applyFont="1" applyFill="1" applyBorder="1" applyAlignment="1">
      <alignment horizontal="left"/>
    </xf>
    <xf numFmtId="177" fontId="1" fillId="0" borderId="2" xfId="0" applyNumberFormat="1" applyFont="1" applyFill="1" applyBorder="1" applyAlignment="1">
      <alignment horizontal="center" vertical="center"/>
    </xf>
    <xf numFmtId="15" fontId="2" fillId="9" borderId="1" xfId="0" applyNumberFormat="1" applyFont="1" applyFill="1" applyBorder="1" applyAlignment="1">
      <alignment horizontal="left"/>
    </xf>
    <xf numFmtId="181" fontId="2" fillId="9" borderId="0" xfId="0" applyNumberFormat="1" applyFont="1" applyFill="1" applyAlignment="1"/>
    <xf numFmtId="181" fontId="2" fillId="9" borderId="2" xfId="0" applyNumberFormat="1" applyFont="1" applyFill="1" applyBorder="1" applyAlignment="1"/>
    <xf numFmtId="181" fontId="1" fillId="0" borderId="1" xfId="0" applyNumberFormat="1" applyFont="1" applyFill="1" applyBorder="1" applyAlignment="1"/>
    <xf numFmtId="3" fontId="0" fillId="0" borderId="1" xfId="0" applyNumberFormat="1" applyBorder="1" applyAlignment="1"/>
    <xf numFmtId="181" fontId="0" fillId="0" borderId="1" xfId="0" applyNumberFormat="1" applyBorder="1" applyAlignment="1"/>
    <xf numFmtId="181" fontId="2" fillId="7" borderId="1" xfId="0" applyNumberFormat="1" applyFont="1" applyFill="1" applyBorder="1" applyAlignment="1">
      <alignment horizontal="right" wrapText="1"/>
    </xf>
    <xf numFmtId="181" fontId="0" fillId="0" borderId="0" xfId="0" applyNumberFormat="1" applyBorder="1" applyAlignment="1"/>
    <xf numFmtId="181" fontId="2" fillId="0" borderId="0" xfId="0" applyNumberFormat="1" applyFont="1" applyFill="1" applyBorder="1" applyAlignment="1"/>
    <xf numFmtId="181" fontId="2" fillId="0" borderId="0" xfId="0" applyNumberFormat="1" applyFont="1" applyFill="1" applyBorder="1" applyAlignment="1">
      <alignment horizontal="right" wrapText="1"/>
    </xf>
    <xf numFmtId="3" fontId="0" fillId="0" borderId="0" xfId="0" applyNumberFormat="1" applyAlignment="1"/>
    <xf numFmtId="164" fontId="0" fillId="0" borderId="0" xfId="0" applyFill="1" applyBorder="1" applyAlignment="1"/>
    <xf numFmtId="181" fontId="2" fillId="7" borderId="7" xfId="0" applyNumberFormat="1" applyFont="1" applyFill="1" applyBorder="1" applyAlignment="1"/>
    <xf numFmtId="181" fontId="2" fillId="7" borderId="7" xfId="0" applyNumberFormat="1" applyFont="1" applyFill="1" applyBorder="1" applyAlignment="1">
      <alignment horizontal="right" wrapText="1"/>
    </xf>
    <xf numFmtId="9" fontId="0" fillId="0" borderId="1" xfId="5" applyFont="1" applyFill="1" applyBorder="1"/>
    <xf numFmtId="181" fontId="0" fillId="0" borderId="7" xfId="0" applyNumberFormat="1" applyBorder="1" applyAlignment="1"/>
    <xf numFmtId="181" fontId="0" fillId="0" borderId="9" xfId="0" applyNumberFormat="1" applyBorder="1" applyAlignment="1"/>
    <xf numFmtId="181" fontId="0" fillId="0" borderId="2" xfId="0" applyNumberFormat="1" applyBorder="1" applyAlignment="1"/>
    <xf numFmtId="164" fontId="70" fillId="7" borderId="1" xfId="0" applyFont="1" applyFill="1" applyBorder="1" applyAlignment="1">
      <alignment vertical="center"/>
    </xf>
    <xf numFmtId="164" fontId="70" fillId="7" borderId="1" xfId="0" applyFont="1" applyFill="1" applyBorder="1" applyAlignment="1">
      <alignment vertical="center" wrapText="1"/>
    </xf>
    <xf numFmtId="181" fontId="1" fillId="7" borderId="1" xfId="0" applyNumberFormat="1" applyFont="1" applyFill="1" applyBorder="1" applyAlignment="1">
      <alignment vertical="center" wrapText="1"/>
    </xf>
    <xf numFmtId="2" fontId="1" fillId="0" borderId="1" xfId="0" applyNumberFormat="1" applyFont="1" applyBorder="1" applyAlignment="1">
      <alignment horizontal="center" vertical="center"/>
    </xf>
    <xf numFmtId="2" fontId="1" fillId="7" borderId="1" xfId="0" applyNumberFormat="1" applyFont="1" applyFill="1" applyBorder="1" applyAlignment="1">
      <alignment horizontal="center" vertical="center"/>
    </xf>
    <xf numFmtId="2" fontId="1" fillId="0" borderId="1" xfId="0" applyNumberFormat="1" applyFont="1" applyFill="1" applyBorder="1" applyAlignment="1">
      <alignment horizontal="center" vertical="center"/>
    </xf>
    <xf numFmtId="2" fontId="1" fillId="0" borderId="1" xfId="0" applyNumberFormat="1" applyFont="1" applyBorder="1" applyAlignment="1">
      <alignment horizontal="center"/>
    </xf>
    <xf numFmtId="2" fontId="1" fillId="7" borderId="1" xfId="0" applyNumberFormat="1" applyFont="1" applyFill="1" applyBorder="1" applyAlignment="1">
      <alignment horizontal="center"/>
    </xf>
    <xf numFmtId="2" fontId="19" fillId="0" borderId="1" xfId="0" applyNumberFormat="1" applyFont="1" applyFill="1" applyBorder="1" applyAlignment="1">
      <alignment horizontal="center" vertical="center"/>
    </xf>
    <xf numFmtId="2" fontId="70" fillId="0" borderId="1" xfId="0" applyNumberFormat="1" applyFont="1" applyBorder="1" applyAlignment="1">
      <alignment horizontal="left" vertical="center"/>
    </xf>
    <xf numFmtId="2" fontId="70" fillId="7" borderId="1" xfId="0" applyNumberFormat="1" applyFont="1" applyFill="1" applyBorder="1" applyAlignment="1">
      <alignment horizontal="center" vertical="center"/>
    </xf>
    <xf numFmtId="2" fontId="70" fillId="0" borderId="1" xfId="0" applyNumberFormat="1" applyFont="1" applyBorder="1" applyAlignment="1">
      <alignment horizontal="left" vertical="center" wrapText="1"/>
    </xf>
    <xf numFmtId="2" fontId="70" fillId="7" borderId="1" xfId="0" applyNumberFormat="1" applyFont="1" applyFill="1" applyBorder="1" applyAlignment="1">
      <alignment horizontal="center" vertical="center" wrapText="1"/>
    </xf>
    <xf numFmtId="2" fontId="70" fillId="0" borderId="1" xfId="0" applyNumberFormat="1" applyFont="1" applyBorder="1" applyAlignment="1">
      <alignment horizontal="center" vertical="center" wrapText="1"/>
    </xf>
    <xf numFmtId="2" fontId="1" fillId="0" borderId="1" xfId="0" applyNumberFormat="1" applyFont="1" applyBorder="1" applyAlignment="1"/>
    <xf numFmtId="2" fontId="20" fillId="0" borderId="1" xfId="3" applyNumberFormat="1" applyFont="1" applyFill="1" applyBorder="1" applyAlignment="1">
      <alignment horizontal="right"/>
    </xf>
    <xf numFmtId="2" fontId="20" fillId="0" borderId="1" xfId="3" applyNumberFormat="1" applyFont="1" applyFill="1" applyBorder="1" applyAlignment="1">
      <alignment horizontal="center" vertical="center"/>
    </xf>
    <xf numFmtId="2" fontId="1" fillId="0" borderId="1" xfId="0" applyNumberFormat="1" applyFont="1" applyBorder="1" applyAlignment="1">
      <alignment horizontal="left"/>
    </xf>
    <xf numFmtId="2" fontId="20" fillId="0" borderId="1" xfId="3" applyNumberFormat="1" applyFont="1" applyFill="1" applyBorder="1" applyAlignment="1">
      <alignment horizontal="left"/>
    </xf>
    <xf numFmtId="2" fontId="1" fillId="0" borderId="1" xfId="0" applyNumberFormat="1" applyFont="1" applyFill="1" applyBorder="1" applyAlignment="1">
      <alignment horizontal="left"/>
    </xf>
    <xf numFmtId="2" fontId="1" fillId="0" borderId="1" xfId="0" applyNumberFormat="1" applyFont="1" applyFill="1" applyBorder="1" applyAlignment="1">
      <alignment horizontal="right"/>
    </xf>
    <xf numFmtId="2" fontId="1" fillId="0" borderId="7" xfId="0" applyNumberFormat="1" applyFont="1" applyFill="1" applyBorder="1" applyAlignment="1">
      <alignment horizontal="right"/>
    </xf>
    <xf numFmtId="2" fontId="1" fillId="0" borderId="7" xfId="0" applyNumberFormat="1" applyFont="1" applyFill="1" applyBorder="1" applyAlignment="1">
      <alignment horizontal="center" vertical="center"/>
    </xf>
    <xf numFmtId="2" fontId="1" fillId="0" borderId="2" xfId="0" applyNumberFormat="1" applyFont="1" applyBorder="1" applyAlignment="1">
      <alignment horizontal="center" vertical="center"/>
    </xf>
    <xf numFmtId="2" fontId="16" fillId="0" borderId="1" xfId="0" applyNumberFormat="1" applyFont="1" applyBorder="1" applyAlignment="1">
      <alignment horizontal="center"/>
    </xf>
    <xf numFmtId="181" fontId="1" fillId="0" borderId="0" xfId="0" applyNumberFormat="1" applyFont="1" applyAlignment="1">
      <alignment horizontal="left"/>
    </xf>
    <xf numFmtId="181" fontId="1" fillId="0" borderId="0" xfId="0" applyNumberFormat="1" applyFont="1" applyFill="1" applyAlignment="1">
      <alignment horizontal="left"/>
    </xf>
    <xf numFmtId="2" fontId="1" fillId="0" borderId="0" xfId="0" applyNumberFormat="1" applyFont="1" applyAlignment="1">
      <alignment horizontal="left"/>
    </xf>
    <xf numFmtId="181" fontId="0" fillId="0" borderId="0" xfId="0" applyNumberFormat="1" applyFill="1" applyProtection="1">
      <alignment horizontal="center" vertical="center"/>
    </xf>
    <xf numFmtId="181" fontId="12" fillId="0" borderId="1" xfId="6" applyNumberFormat="1" applyFont="1" applyBorder="1">
      <alignment horizontal="left" vertical="center"/>
    </xf>
    <xf numFmtId="2" fontId="1" fillId="0" borderId="1" xfId="0" applyNumberFormat="1" applyFont="1" applyBorder="1" applyAlignment="1">
      <alignment horizontal="center" vertical="top" wrapText="1"/>
    </xf>
    <xf numFmtId="2" fontId="19" fillId="0" borderId="1" xfId="0" applyNumberFormat="1" applyFont="1" applyFill="1" applyBorder="1">
      <alignment horizontal="center" vertical="center"/>
    </xf>
    <xf numFmtId="2" fontId="69" fillId="0" borderId="1" xfId="3" applyNumberFormat="1" applyFont="1" applyFill="1" applyBorder="1" applyAlignment="1">
      <alignment horizontal="center" vertical="center"/>
    </xf>
    <xf numFmtId="2" fontId="69" fillId="0" borderId="1" xfId="3" applyNumberFormat="1" applyFont="1" applyFill="1" applyBorder="1" applyAlignment="1">
      <alignment horizontal="center"/>
    </xf>
    <xf numFmtId="2" fontId="69" fillId="0" borderId="4" xfId="3" applyNumberFormat="1" applyFont="1" applyFill="1" applyBorder="1" applyAlignment="1">
      <alignment horizontal="center" vertical="center"/>
    </xf>
    <xf numFmtId="1" fontId="1" fillId="0" borderId="1" xfId="0" applyNumberFormat="1" applyFont="1" applyFill="1" applyBorder="1" applyAlignment="1">
      <alignment horizontal="center" vertical="center"/>
    </xf>
    <xf numFmtId="1" fontId="1" fillId="0" borderId="4" xfId="0" applyNumberFormat="1" applyFont="1" applyFill="1" applyBorder="1" applyAlignment="1">
      <alignment horizontal="center" vertical="center"/>
    </xf>
    <xf numFmtId="1" fontId="1" fillId="0" borderId="4" xfId="0" applyNumberFormat="1" applyFont="1" applyBorder="1" applyAlignment="1">
      <alignment horizontal="center" vertical="center"/>
    </xf>
    <xf numFmtId="1" fontId="20" fillId="0" borderId="1" xfId="3" applyNumberFormat="1" applyFont="1" applyFill="1" applyBorder="1" applyAlignment="1">
      <alignment horizontal="center" vertical="center"/>
    </xf>
    <xf numFmtId="1" fontId="20" fillId="0" borderId="1" xfId="3" applyNumberFormat="1" applyFont="1" applyFill="1" applyBorder="1" applyAlignment="1">
      <alignment horizontal="center"/>
    </xf>
    <xf numFmtId="1" fontId="20" fillId="0" borderId="4" xfId="3" applyNumberFormat="1" applyFont="1" applyFill="1" applyBorder="1" applyAlignment="1">
      <alignment horizontal="center" vertical="center"/>
    </xf>
    <xf numFmtId="1" fontId="1" fillId="7" borderId="1" xfId="0" applyNumberFormat="1" applyFont="1" applyFill="1" applyBorder="1" applyAlignment="1">
      <alignment horizontal="center"/>
    </xf>
    <xf numFmtId="1" fontId="1" fillId="7" borderId="4" xfId="0" applyNumberFormat="1" applyFont="1" applyFill="1" applyBorder="1" applyAlignment="1">
      <alignment horizontal="center" vertical="center"/>
    </xf>
    <xf numFmtId="1" fontId="20" fillId="7" borderId="1" xfId="3" applyNumberFormat="1" applyFont="1" applyFill="1" applyBorder="1" applyAlignment="1">
      <alignment horizontal="center" vertical="center"/>
    </xf>
    <xf numFmtId="1" fontId="20" fillId="7" borderId="1" xfId="3" applyNumberFormat="1" applyFont="1" applyFill="1" applyBorder="1" applyAlignment="1">
      <alignment horizontal="center"/>
    </xf>
    <xf numFmtId="1" fontId="20" fillId="7" borderId="4" xfId="3" applyNumberFormat="1" applyFont="1" applyFill="1" applyBorder="1" applyAlignment="1">
      <alignment horizontal="center" vertical="center"/>
    </xf>
    <xf numFmtId="1" fontId="0" fillId="0" borderId="4" xfId="0" applyNumberFormat="1" applyBorder="1" applyAlignment="1">
      <alignment horizontal="center" vertical="center"/>
    </xf>
    <xf numFmtId="14" fontId="2" fillId="0" borderId="0" xfId="0" applyNumberFormat="1" applyFont="1">
      <alignment horizontal="center" vertical="center"/>
    </xf>
    <xf numFmtId="2" fontId="1" fillId="0" borderId="0" xfId="0" applyNumberFormat="1" applyFont="1" applyAlignment="1">
      <alignment horizontal="center" vertical="center"/>
    </xf>
    <xf numFmtId="181" fontId="1" fillId="0" borderId="1" xfId="0" applyNumberFormat="1" applyFont="1" applyBorder="1" applyAlignment="1">
      <alignment horizontal="center" vertical="center"/>
    </xf>
    <xf numFmtId="181" fontId="20" fillId="0" borderId="1" xfId="3" applyNumberFormat="1" applyFont="1" applyFill="1" applyBorder="1" applyAlignment="1">
      <alignment horizontal="center" vertical="center"/>
    </xf>
    <xf numFmtId="181" fontId="6" fillId="0" borderId="0" xfId="0" applyNumberFormat="1" applyFont="1" applyAlignment="1">
      <alignment horizontal="left" vertical="center"/>
    </xf>
    <xf numFmtId="164" fontId="76" fillId="0" borderId="0" xfId="0" applyFont="1">
      <alignment horizontal="center" vertical="center"/>
    </xf>
    <xf numFmtId="164" fontId="76" fillId="7" borderId="1" xfId="0" applyFont="1" applyFill="1" applyBorder="1" applyAlignment="1">
      <alignment vertical="top"/>
    </xf>
    <xf numFmtId="164" fontId="77" fillId="7" borderId="1" xfId="0" applyFont="1" applyFill="1" applyBorder="1">
      <alignment horizontal="center" vertical="center"/>
    </xf>
    <xf numFmtId="181" fontId="77" fillId="7" borderId="1" xfId="0" applyNumberFormat="1" applyFont="1" applyFill="1" applyBorder="1" applyAlignment="1">
      <alignment horizontal="center" vertical="center"/>
    </xf>
    <xf numFmtId="181" fontId="77" fillId="15" borderId="1" xfId="0" applyNumberFormat="1" applyFont="1" applyFill="1" applyBorder="1" applyAlignment="1">
      <alignment vertical="center"/>
    </xf>
    <xf numFmtId="181" fontId="77" fillId="7" borderId="1" xfId="0" applyNumberFormat="1" applyFont="1" applyFill="1" applyBorder="1" applyAlignment="1">
      <alignment vertical="center"/>
    </xf>
    <xf numFmtId="14" fontId="77" fillId="7" borderId="1" xfId="0" applyNumberFormat="1" applyFont="1" applyFill="1" applyBorder="1" applyAlignment="1">
      <alignment horizontal="center" vertical="center"/>
    </xf>
    <xf numFmtId="164" fontId="76" fillId="0" borderId="1" xfId="0" applyFont="1" applyBorder="1" applyAlignment="1">
      <alignment horizontal="left" vertical="center"/>
    </xf>
    <xf numFmtId="1" fontId="76" fillId="0" borderId="1" xfId="0" applyNumberFormat="1" applyFont="1" applyBorder="1" applyAlignment="1">
      <alignment horizontal="center" vertical="center"/>
    </xf>
    <xf numFmtId="1" fontId="76" fillId="7" borderId="1" xfId="0" applyNumberFormat="1" applyFont="1" applyFill="1" applyBorder="1" applyAlignment="1">
      <alignment horizontal="center" vertical="center"/>
    </xf>
    <xf numFmtId="181" fontId="76" fillId="0" borderId="1" xfId="0" applyNumberFormat="1" applyFont="1" applyFill="1" applyBorder="1" applyAlignment="1">
      <alignment horizontal="left"/>
    </xf>
    <xf numFmtId="1" fontId="76" fillId="0" borderId="1" xfId="0" applyNumberFormat="1" applyFont="1" applyFill="1" applyBorder="1" applyAlignment="1">
      <alignment horizontal="center" vertical="center"/>
    </xf>
    <xf numFmtId="181" fontId="56" fillId="0" borderId="1" xfId="3" applyFont="1" applyFill="1" applyBorder="1" applyAlignment="1">
      <alignment horizontal="left"/>
    </xf>
    <xf numFmtId="1" fontId="56" fillId="0" borderId="1" xfId="3" applyNumberFormat="1" applyFont="1" applyFill="1" applyBorder="1" applyAlignment="1">
      <alignment horizontal="center" vertical="center"/>
    </xf>
    <xf numFmtId="164" fontId="76" fillId="0" borderId="1" xfId="0" applyNumberFormat="1" applyFont="1" applyBorder="1" applyAlignment="1">
      <alignment horizontal="center" vertical="center"/>
    </xf>
    <xf numFmtId="164" fontId="76" fillId="7" borderId="1" xfId="0" applyFont="1" applyFill="1" applyBorder="1">
      <alignment horizontal="center" vertical="center"/>
    </xf>
    <xf numFmtId="14" fontId="77" fillId="15" borderId="1" xfId="0" applyNumberFormat="1" applyFont="1" applyFill="1" applyBorder="1" applyAlignment="1">
      <alignment vertical="center"/>
    </xf>
    <xf numFmtId="14" fontId="77" fillId="7" borderId="1" xfId="0" applyNumberFormat="1" applyFont="1" applyFill="1" applyBorder="1" applyAlignment="1">
      <alignment vertical="center"/>
    </xf>
    <xf numFmtId="14" fontId="77" fillId="0" borderId="0" xfId="0" applyNumberFormat="1" applyFont="1" applyFill="1" applyBorder="1" applyAlignment="1">
      <alignment vertical="center"/>
    </xf>
    <xf numFmtId="164" fontId="76" fillId="0" borderId="1" xfId="0" applyFont="1" applyBorder="1" applyAlignment="1">
      <alignment horizontal="left"/>
    </xf>
    <xf numFmtId="2" fontId="76" fillId="0" borderId="1" xfId="0" applyNumberFormat="1" applyFont="1" applyBorder="1" applyAlignment="1">
      <alignment horizontal="center"/>
    </xf>
    <xf numFmtId="2" fontId="76" fillId="0" borderId="0" xfId="0" applyNumberFormat="1" applyFont="1" applyBorder="1" applyAlignment="1">
      <alignment horizontal="center"/>
    </xf>
    <xf numFmtId="165" fontId="76" fillId="0" borderId="1" xfId="0" applyNumberFormat="1" applyFont="1" applyBorder="1" applyAlignment="1">
      <alignment horizontal="center"/>
    </xf>
    <xf numFmtId="165" fontId="76" fillId="0" borderId="0" xfId="0" applyNumberFormat="1" applyFont="1" applyBorder="1" applyAlignment="1">
      <alignment horizontal="center"/>
    </xf>
    <xf numFmtId="164" fontId="76" fillId="0" borderId="1" xfId="0" applyFont="1" applyBorder="1">
      <alignment horizontal="center" vertical="center"/>
    </xf>
    <xf numFmtId="164" fontId="76" fillId="0" borderId="0" xfId="0" applyFont="1" applyBorder="1">
      <alignment horizontal="center" vertical="center"/>
    </xf>
    <xf numFmtId="14" fontId="76" fillId="7" borderId="0" xfId="0" applyNumberFormat="1" applyFont="1" applyFill="1">
      <alignment horizontal="center" vertical="center"/>
    </xf>
    <xf numFmtId="181" fontId="16" fillId="0" borderId="1" xfId="0" applyNumberFormat="1" applyFont="1" applyFill="1" applyBorder="1">
      <alignment horizontal="center" vertical="center"/>
    </xf>
    <xf numFmtId="181" fontId="16" fillId="0" borderId="1" xfId="0" applyNumberFormat="1" applyFont="1" applyBorder="1">
      <alignment horizontal="center" vertical="center"/>
    </xf>
    <xf numFmtId="181" fontId="29" fillId="0" borderId="1" xfId="0" applyNumberFormat="1" applyFont="1" applyBorder="1">
      <alignment horizontal="center" vertical="center"/>
    </xf>
    <xf numFmtId="3" fontId="2" fillId="0" borderId="9" xfId="0" applyNumberFormat="1" applyFont="1" applyFill="1" applyBorder="1" applyAlignment="1">
      <alignment horizontal="center"/>
    </xf>
    <xf numFmtId="3" fontId="0" fillId="0" borderId="1" xfId="1" applyNumberFormat="1" applyFont="1" applyFill="1" applyBorder="1" applyAlignment="1">
      <alignment horizontal="center" vertical="center"/>
    </xf>
    <xf numFmtId="164" fontId="10" fillId="23" borderId="1" xfId="0" applyFont="1" applyFill="1" applyBorder="1">
      <alignment horizontal="center" vertical="center"/>
    </xf>
    <xf numFmtId="3" fontId="10" fillId="23" borderId="1" xfId="0" applyNumberFormat="1" applyFont="1" applyFill="1" applyBorder="1">
      <alignment horizontal="center" vertical="center"/>
    </xf>
    <xf numFmtId="181" fontId="2" fillId="9" borderId="1" xfId="6" applyNumberFormat="1" applyFont="1" applyFill="1" applyBorder="1">
      <alignment horizontal="left" vertical="center"/>
    </xf>
    <xf numFmtId="181" fontId="0" fillId="0" borderId="0" xfId="0" applyNumberFormat="1">
      <alignment horizontal="center" vertical="center"/>
    </xf>
    <xf numFmtId="3" fontId="1" fillId="0" borderId="1" xfId="0" applyNumberFormat="1" applyFont="1" applyBorder="1">
      <alignment horizontal="center" vertical="center"/>
    </xf>
    <xf numFmtId="0" fontId="1" fillId="0" borderId="0" xfId="6" applyNumberFormat="1" applyProtection="1">
      <alignment horizontal="left" vertical="center"/>
      <protection locked="0"/>
    </xf>
    <xf numFmtId="0" fontId="1" fillId="0" borderId="0" xfId="6" applyNumberFormat="1">
      <alignment horizontal="left" vertical="center"/>
    </xf>
    <xf numFmtId="0" fontId="64" fillId="0" borderId="19" xfId="0" applyNumberFormat="1" applyFont="1" applyBorder="1" applyAlignment="1">
      <alignment horizontal="center" vertical="center" wrapText="1"/>
    </xf>
    <xf numFmtId="164" fontId="73" fillId="0" borderId="6" xfId="0" applyFont="1" applyBorder="1" applyAlignment="1">
      <alignment horizontal="left"/>
    </xf>
    <xf numFmtId="164" fontId="74" fillId="7" borderId="1" xfId="0" applyFont="1" applyFill="1" applyBorder="1" applyAlignment="1">
      <alignment vertical="center"/>
    </xf>
    <xf numFmtId="0" fontId="1" fillId="7" borderId="0" xfId="0" applyNumberFormat="1" applyFont="1" applyFill="1">
      <alignment horizontal="center" vertical="center"/>
    </xf>
    <xf numFmtId="0" fontId="1" fillId="0" borderId="0" xfId="6" applyNumberFormat="1" applyFill="1">
      <alignment horizontal="left" vertical="center"/>
    </xf>
    <xf numFmtId="0" fontId="1" fillId="7" borderId="0" xfId="0" applyNumberFormat="1" applyFont="1" applyFill="1" applyAlignment="1">
      <alignment horizontal="center"/>
    </xf>
    <xf numFmtId="0" fontId="0" fillId="7" borderId="0" xfId="0" applyNumberFormat="1" applyFill="1">
      <alignment horizontal="center" vertical="center"/>
    </xf>
    <xf numFmtId="0" fontId="0" fillId="0" borderId="0" xfId="0" applyNumberFormat="1">
      <alignment horizontal="center" vertical="center"/>
    </xf>
    <xf numFmtId="0" fontId="0" fillId="0" borderId="0" xfId="0" applyNumberFormat="1" applyFill="1" applyProtection="1">
      <alignment horizontal="center" vertical="center"/>
    </xf>
    <xf numFmtId="0" fontId="1" fillId="0" borderId="0" xfId="0" applyNumberFormat="1" applyFont="1" applyAlignment="1">
      <alignment horizontal="left"/>
    </xf>
    <xf numFmtId="165" fontId="79" fillId="0" borderId="1" xfId="0" applyNumberFormat="1" applyFont="1" applyFill="1" applyBorder="1" applyAlignment="1">
      <alignment horizontal="left" vertical="top" wrapText="1"/>
    </xf>
    <xf numFmtId="164" fontId="79" fillId="0" borderId="1" xfId="0" applyFont="1" applyBorder="1">
      <alignment horizontal="center" vertical="center"/>
    </xf>
    <xf numFmtId="164" fontId="79" fillId="0" borderId="1" xfId="0" applyFont="1" applyBorder="1" applyAlignment="1">
      <alignment horizontal="left" vertical="center"/>
    </xf>
    <xf numFmtId="9" fontId="0" fillId="0" borderId="1" xfId="5" applyFont="1" applyBorder="1" applyAlignment="1">
      <alignment horizontal="center" vertical="center"/>
    </xf>
    <xf numFmtId="164" fontId="79" fillId="0" borderId="1" xfId="0" applyFont="1" applyBorder="1" applyAlignment="1">
      <alignment horizontal="right" vertical="center"/>
    </xf>
    <xf numFmtId="9" fontId="0" fillId="7" borderId="1" xfId="5" applyFont="1" applyFill="1" applyBorder="1" applyAlignment="1">
      <alignment horizontal="center" vertical="center"/>
    </xf>
    <xf numFmtId="165" fontId="79" fillId="0" borderId="6" xfId="0" applyNumberFormat="1" applyFont="1" applyFill="1" applyBorder="1" applyAlignment="1">
      <alignment horizontal="left" vertical="top" wrapText="1"/>
    </xf>
    <xf numFmtId="0" fontId="0" fillId="7" borderId="1" xfId="0" applyNumberFormat="1" applyFill="1" applyBorder="1">
      <alignment horizontal="center" vertical="center"/>
    </xf>
    <xf numFmtId="9" fontId="0" fillId="0" borderId="0" xfId="5" applyFont="1" applyAlignment="1">
      <alignment horizontal="center" vertical="center"/>
    </xf>
    <xf numFmtId="181" fontId="0" fillId="0" borderId="4" xfId="0" applyNumberFormat="1" applyBorder="1" applyAlignment="1"/>
    <xf numFmtId="3" fontId="0" fillId="24" borderId="1" xfId="0" applyNumberFormat="1" applyFill="1" applyBorder="1">
      <alignment horizontal="center" vertical="center"/>
    </xf>
    <xf numFmtId="1" fontId="80" fillId="0" borderId="1" xfId="0" applyNumberFormat="1" applyFont="1" applyBorder="1">
      <alignment horizontal="center" vertical="center"/>
    </xf>
    <xf numFmtId="164" fontId="81" fillId="7" borderId="1" xfId="0" applyFont="1" applyFill="1" applyBorder="1" applyAlignment="1">
      <alignment horizontal="center" vertical="center" wrapText="1"/>
    </xf>
    <xf numFmtId="0" fontId="1" fillId="0" borderId="1" xfId="0" applyNumberFormat="1" applyFont="1" applyBorder="1" applyAlignment="1">
      <alignment horizontal="left"/>
    </xf>
    <xf numFmtId="0" fontId="1" fillId="0" borderId="1" xfId="0" applyNumberFormat="1" applyFont="1" applyFill="1" applyBorder="1" applyAlignment="1">
      <alignment horizontal="left"/>
    </xf>
    <xf numFmtId="14" fontId="6" fillId="7" borderId="1" xfId="0" applyNumberFormat="1" applyFont="1" applyFill="1" applyBorder="1">
      <alignment horizontal="center" vertical="center"/>
    </xf>
    <xf numFmtId="14" fontId="0" fillId="7" borderId="1" xfId="0" applyNumberFormat="1" applyFill="1" applyBorder="1">
      <alignment horizontal="center" vertical="center"/>
    </xf>
    <xf numFmtId="164" fontId="38" fillId="0" borderId="0" xfId="0" applyFont="1" applyAlignment="1">
      <alignment horizontal="center"/>
    </xf>
    <xf numFmtId="164" fontId="28" fillId="7" borderId="1" xfId="0" applyFont="1" applyFill="1" applyBorder="1" applyAlignment="1">
      <alignment horizontal="center"/>
    </xf>
    <xf numFmtId="164" fontId="27" fillId="7" borderId="1" xfId="0" applyFont="1" applyFill="1" applyBorder="1" applyAlignment="1">
      <alignment horizontal="center"/>
    </xf>
    <xf numFmtId="164" fontId="28" fillId="0" borderId="7" xfId="0" applyFont="1" applyFill="1" applyBorder="1" applyAlignment="1">
      <alignment horizontal="center" vertical="top" wrapText="1"/>
    </xf>
    <xf numFmtId="164" fontId="28" fillId="0" borderId="9" xfId="0" applyFont="1" applyFill="1" applyBorder="1" applyAlignment="1">
      <alignment horizontal="center" vertical="top" wrapText="1"/>
    </xf>
    <xf numFmtId="164" fontId="39" fillId="0" borderId="10" xfId="0" applyFont="1" applyBorder="1" applyAlignment="1">
      <alignment horizontal="center"/>
    </xf>
    <xf numFmtId="164" fontId="28" fillId="7" borderId="6" xfId="0" applyFont="1" applyFill="1" applyBorder="1" applyAlignment="1">
      <alignment horizontal="center"/>
    </xf>
    <xf numFmtId="164" fontId="28" fillId="7" borderId="4" xfId="0" applyFont="1" applyFill="1" applyBorder="1" applyAlignment="1">
      <alignment horizontal="center"/>
    </xf>
    <xf numFmtId="164" fontId="9" fillId="0" borderId="7" xfId="0" applyFont="1" applyBorder="1" applyAlignment="1">
      <alignment vertical="top" wrapText="1"/>
    </xf>
    <xf numFmtId="164" fontId="9" fillId="0" borderId="9" xfId="0" applyFont="1" applyBorder="1" applyAlignment="1">
      <alignment vertical="top" wrapText="1"/>
    </xf>
    <xf numFmtId="164" fontId="9" fillId="0" borderId="2" xfId="0" applyFont="1" applyBorder="1" applyAlignment="1">
      <alignment vertical="top" wrapText="1"/>
    </xf>
    <xf numFmtId="164" fontId="9" fillId="0" borderId="7" xfId="0" applyFont="1" applyBorder="1" applyAlignment="1">
      <alignment horizontal="left" vertical="top" wrapText="1"/>
    </xf>
    <xf numFmtId="164" fontId="9" fillId="0" borderId="9" xfId="0" applyFont="1" applyBorder="1" applyAlignment="1">
      <alignment horizontal="left" vertical="top" wrapText="1"/>
    </xf>
    <xf numFmtId="164" fontId="9" fillId="0" borderId="2" xfId="0" applyFont="1" applyBorder="1" applyAlignment="1">
      <alignment horizontal="left" vertical="top" wrapText="1"/>
    </xf>
    <xf numFmtId="164" fontId="9" fillId="0" borderId="7" xfId="0" applyFont="1" applyFill="1" applyBorder="1" applyAlignment="1">
      <alignment vertical="top" wrapText="1"/>
    </xf>
    <xf numFmtId="164" fontId="9" fillId="0" borderId="9" xfId="0" applyFont="1" applyFill="1" applyBorder="1" applyAlignment="1">
      <alignment vertical="top" wrapText="1"/>
    </xf>
    <xf numFmtId="164" fontId="9" fillId="0" borderId="2" xfId="0" applyFont="1" applyFill="1" applyBorder="1" applyAlignment="1">
      <alignment vertical="top" wrapText="1"/>
    </xf>
    <xf numFmtId="164" fontId="2" fillId="2" borderId="7" xfId="0" applyFont="1" applyFill="1" applyBorder="1" applyAlignment="1">
      <alignment horizontal="center" wrapText="1"/>
    </xf>
    <xf numFmtId="164" fontId="2" fillId="2" borderId="2" xfId="0" applyFont="1" applyFill="1" applyBorder="1" applyAlignment="1">
      <alignment horizontal="center" wrapText="1"/>
    </xf>
    <xf numFmtId="164" fontId="4" fillId="0" borderId="0" xfId="0" applyFont="1" applyBorder="1" applyAlignment="1">
      <alignment horizontal="center"/>
    </xf>
    <xf numFmtId="164" fontId="8" fillId="0" borderId="0" xfId="0" applyFont="1" applyBorder="1" applyAlignment="1">
      <alignment horizontal="center"/>
    </xf>
    <xf numFmtId="164" fontId="2" fillId="2" borderId="7" xfId="0" applyFont="1" applyFill="1" applyBorder="1" applyAlignment="1">
      <alignment horizontal="center"/>
    </xf>
    <xf numFmtId="164" fontId="2" fillId="2" borderId="2" xfId="0" applyFont="1" applyFill="1" applyBorder="1" applyAlignment="1">
      <alignment horizontal="center"/>
    </xf>
    <xf numFmtId="164" fontId="2" fillId="2" borderId="1" xfId="0" applyFont="1" applyFill="1" applyBorder="1" applyAlignment="1">
      <alignment horizontal="center"/>
    </xf>
    <xf numFmtId="164" fontId="4" fillId="0" borderId="0" xfId="0" applyFont="1" applyAlignment="1">
      <alignment horizontal="center"/>
    </xf>
    <xf numFmtId="0" fontId="0" fillId="0" borderId="10" xfId="0" applyNumberFormat="1" applyBorder="1" applyAlignment="1">
      <alignment horizontal="center" vertical="center"/>
    </xf>
    <xf numFmtId="164" fontId="28" fillId="0" borderId="0" xfId="0" applyFont="1" applyAlignment="1">
      <alignment horizontal="center"/>
    </xf>
    <xf numFmtId="165" fontId="28" fillId="0" borderId="1" xfId="0" applyNumberFormat="1" applyFont="1" applyBorder="1" applyAlignment="1">
      <alignment horizontal="center"/>
    </xf>
    <xf numFmtId="164" fontId="2" fillId="9" borderId="1" xfId="0" applyFont="1" applyFill="1" applyBorder="1" applyAlignment="1">
      <alignment horizontal="center" vertical="center"/>
    </xf>
    <xf numFmtId="164" fontId="78" fillId="0" borderId="1" xfId="0" applyFont="1" applyBorder="1" applyAlignment="1">
      <alignment horizontal="center" vertical="center"/>
    </xf>
    <xf numFmtId="164" fontId="2" fillId="0" borderId="0" xfId="0" applyFont="1" applyAlignment="1">
      <alignment horizontal="center"/>
    </xf>
    <xf numFmtId="2" fontId="2" fillId="0" borderId="0" xfId="0" applyNumberFormat="1" applyFont="1" applyAlignment="1">
      <alignment horizontal="center"/>
    </xf>
    <xf numFmtId="164" fontId="2" fillId="0" borderId="0" xfId="0" applyFont="1" applyAlignment="1">
      <alignment horizontal="left"/>
    </xf>
    <xf numFmtId="164" fontId="2" fillId="2" borderId="0" xfId="0" applyFont="1" applyFill="1" applyAlignment="1">
      <alignment horizontal="center"/>
    </xf>
    <xf numFmtId="164" fontId="64" fillId="0" borderId="21" xfId="0" applyFont="1" applyBorder="1" applyAlignment="1">
      <alignment horizontal="center" vertical="center" wrapText="1"/>
    </xf>
    <xf numFmtId="164" fontId="64" fillId="0" borderId="22" xfId="0" applyFont="1" applyBorder="1" applyAlignment="1">
      <alignment horizontal="center" vertical="center" wrapText="1"/>
    </xf>
    <xf numFmtId="165" fontId="4" fillId="0" borderId="10" xfId="0" applyNumberFormat="1" applyFont="1" applyBorder="1" applyAlignment="1">
      <alignment horizontal="center"/>
    </xf>
    <xf numFmtId="164" fontId="0" fillId="0" borderId="0" xfId="0" applyBorder="1" applyAlignment="1">
      <alignment horizontal="center" wrapText="1"/>
    </xf>
    <xf numFmtId="164" fontId="10" fillId="4" borderId="1" xfId="0" applyFont="1" applyFill="1" applyBorder="1" applyAlignment="1">
      <alignment horizontal="center" wrapText="1"/>
    </xf>
    <xf numFmtId="164" fontId="2" fillId="0" borderId="20" xfId="0" applyFont="1" applyBorder="1" applyAlignment="1">
      <alignment horizontal="center" vertical="center"/>
    </xf>
    <xf numFmtId="164" fontId="0" fillId="0" borderId="29" xfId="0" applyBorder="1">
      <alignment horizontal="center" vertical="center"/>
    </xf>
    <xf numFmtId="164" fontId="0" fillId="0" borderId="30" xfId="0" applyBorder="1">
      <alignment horizontal="center" vertical="center"/>
    </xf>
    <xf numFmtId="164" fontId="4" fillId="0" borderId="6" xfId="0" applyFont="1" applyBorder="1" applyAlignment="1">
      <alignment horizontal="center"/>
    </xf>
    <xf numFmtId="164" fontId="4" fillId="0" borderId="12" xfId="0" applyFont="1" applyBorder="1" applyAlignment="1">
      <alignment horizontal="center"/>
    </xf>
    <xf numFmtId="164" fontId="4" fillId="0" borderId="4" xfId="0" applyFont="1" applyBorder="1" applyAlignment="1">
      <alignment horizontal="center"/>
    </xf>
    <xf numFmtId="164" fontId="4" fillId="0" borderId="6" xfId="0" applyNumberFormat="1" applyFont="1" applyFill="1" applyBorder="1" applyAlignment="1">
      <alignment horizontal="center"/>
    </xf>
    <xf numFmtId="164" fontId="4" fillId="0" borderId="12" xfId="0" applyNumberFormat="1" applyFont="1" applyFill="1" applyBorder="1" applyAlignment="1">
      <alignment horizontal="center"/>
    </xf>
    <xf numFmtId="164" fontId="4" fillId="0" borderId="4" xfId="0" applyNumberFormat="1" applyFont="1" applyFill="1" applyBorder="1" applyAlignment="1">
      <alignment horizontal="center"/>
    </xf>
    <xf numFmtId="164" fontId="4" fillId="8" borderId="6" xfId="0" applyNumberFormat="1" applyFont="1" applyFill="1" applyBorder="1" applyAlignment="1">
      <alignment horizontal="center"/>
    </xf>
    <xf numFmtId="164" fontId="4" fillId="8" borderId="12" xfId="0" applyNumberFormat="1" applyFont="1" applyFill="1" applyBorder="1" applyAlignment="1">
      <alignment horizontal="center"/>
    </xf>
    <xf numFmtId="164" fontId="4" fillId="8" borderId="4" xfId="0" applyNumberFormat="1" applyFont="1" applyFill="1" applyBorder="1" applyAlignment="1">
      <alignment horizontal="center"/>
    </xf>
    <xf numFmtId="164" fontId="1" fillId="7" borderId="1" xfId="0" applyFont="1" applyFill="1" applyBorder="1" applyAlignment="1">
      <alignment horizontal="center"/>
    </xf>
    <xf numFmtId="164" fontId="0" fillId="7" borderId="1" xfId="0" applyFill="1" applyBorder="1" applyAlignment="1">
      <alignment horizontal="center"/>
    </xf>
    <xf numFmtId="164" fontId="1" fillId="7" borderId="1" xfId="0" applyFont="1" applyFill="1" applyBorder="1" applyAlignment="1">
      <alignment horizontal="center" wrapText="1"/>
    </xf>
    <xf numFmtId="164" fontId="2" fillId="7" borderId="1" xfId="0" applyFont="1" applyFill="1" applyBorder="1" applyAlignment="1">
      <alignment horizontal="center" wrapText="1"/>
    </xf>
    <xf numFmtId="164" fontId="10" fillId="7" borderId="6" xfId="0" applyFont="1" applyFill="1" applyBorder="1" applyAlignment="1">
      <alignment horizontal="center"/>
    </xf>
    <xf numFmtId="164" fontId="10" fillId="7" borderId="12" xfId="0" applyFont="1" applyFill="1" applyBorder="1">
      <alignment horizontal="center" vertical="center"/>
    </xf>
    <xf numFmtId="164" fontId="10" fillId="7" borderId="4" xfId="0" applyFont="1" applyFill="1" applyBorder="1">
      <alignment horizontal="center" vertical="center"/>
    </xf>
    <xf numFmtId="164" fontId="1" fillId="8" borderId="6" xfId="0" applyFont="1" applyFill="1" applyBorder="1" applyAlignment="1">
      <alignment horizontal="center"/>
    </xf>
    <xf numFmtId="164" fontId="1" fillId="8" borderId="12" xfId="0" applyFont="1" applyFill="1" applyBorder="1" applyAlignment="1">
      <alignment horizontal="center"/>
    </xf>
    <xf numFmtId="164" fontId="1" fillId="8" borderId="4" xfId="0" applyFont="1" applyFill="1" applyBorder="1" applyAlignment="1">
      <alignment horizontal="center"/>
    </xf>
    <xf numFmtId="164" fontId="1" fillId="12" borderId="6" xfId="0" applyFont="1" applyFill="1" applyBorder="1" applyAlignment="1">
      <alignment horizontal="center"/>
    </xf>
    <xf numFmtId="164" fontId="1" fillId="12" borderId="12" xfId="0" applyFont="1" applyFill="1" applyBorder="1" applyAlignment="1">
      <alignment horizontal="center"/>
    </xf>
    <xf numFmtId="164" fontId="1" fillId="12" borderId="4" xfId="0" applyFont="1" applyFill="1" applyBorder="1" applyAlignment="1">
      <alignment horizontal="center"/>
    </xf>
    <xf numFmtId="164" fontId="0" fillId="0" borderId="0" xfId="0" applyAlignment="1">
      <alignment horizontal="left"/>
    </xf>
    <xf numFmtId="164" fontId="2" fillId="0" borderId="10" xfId="0" applyFont="1" applyBorder="1" applyAlignment="1">
      <alignment horizontal="center"/>
    </xf>
    <xf numFmtId="181" fontId="10" fillId="0" borderId="6" xfId="0" applyNumberFormat="1" applyFont="1" applyBorder="1" applyAlignment="1">
      <alignment horizontal="center" vertical="center"/>
    </xf>
    <xf numFmtId="181" fontId="10" fillId="0" borderId="4" xfId="0" applyNumberFormat="1" applyFont="1" applyBorder="1" applyAlignment="1">
      <alignment horizontal="center" vertical="center"/>
    </xf>
    <xf numFmtId="15" fontId="10" fillId="0" borderId="1" xfId="0" applyNumberFormat="1" applyFont="1" applyBorder="1" applyAlignment="1">
      <alignment horizontal="center"/>
    </xf>
    <xf numFmtId="181" fontId="0" fillId="7" borderId="1" xfId="0" applyNumberFormat="1" applyFill="1" applyBorder="1" applyAlignment="1">
      <alignment horizontal="center"/>
    </xf>
    <xf numFmtId="15" fontId="0" fillId="0" borderId="1" xfId="0" applyNumberFormat="1" applyBorder="1" applyAlignment="1">
      <alignment horizontal="center"/>
    </xf>
    <xf numFmtId="15" fontId="10" fillId="0" borderId="6" xfId="0" applyNumberFormat="1" applyFont="1" applyBorder="1" applyAlignment="1">
      <alignment horizontal="center"/>
    </xf>
    <xf numFmtId="15" fontId="10" fillId="0" borderId="4" xfId="0" applyNumberFormat="1" applyFont="1" applyBorder="1" applyAlignment="1">
      <alignment horizontal="center"/>
    </xf>
    <xf numFmtId="164" fontId="2" fillId="0" borderId="0" xfId="0" applyFont="1" applyFill="1" applyBorder="1" applyAlignment="1">
      <alignment horizontal="center" vertical="center"/>
    </xf>
    <xf numFmtId="164" fontId="1" fillId="0" borderId="7" xfId="0" applyFont="1" applyBorder="1" applyAlignment="1">
      <alignment horizontal="left" vertical="top" wrapText="1"/>
    </xf>
    <xf numFmtId="164" fontId="1" fillId="0" borderId="9" xfId="0" applyFont="1" applyBorder="1" applyAlignment="1">
      <alignment horizontal="left" vertical="top" wrapText="1"/>
    </xf>
    <xf numFmtId="164" fontId="3" fillId="0" borderId="9" xfId="0" applyFont="1" applyBorder="1" applyAlignment="1">
      <alignment horizontal="left" vertical="top" wrapText="1"/>
    </xf>
    <xf numFmtId="164" fontId="3" fillId="0" borderId="2" xfId="0" applyFont="1" applyBorder="1" applyAlignment="1">
      <alignment horizontal="left" vertical="top" wrapText="1"/>
    </xf>
    <xf numFmtId="164" fontId="0" fillId="0" borderId="9" xfId="0" applyBorder="1" applyAlignment="1">
      <alignment horizontal="left" vertical="top" wrapText="1"/>
    </xf>
    <xf numFmtId="164" fontId="0" fillId="0" borderId="2" xfId="0" applyBorder="1" applyAlignment="1">
      <alignment horizontal="left" vertical="top" wrapText="1"/>
    </xf>
    <xf numFmtId="164" fontId="1" fillId="7" borderId="7" xfId="0" applyFont="1" applyFill="1" applyBorder="1" applyAlignment="1">
      <alignment horizontal="left" vertical="top" wrapText="1"/>
    </xf>
    <xf numFmtId="164" fontId="0" fillId="7" borderId="9" xfId="0" applyFill="1" applyBorder="1" applyAlignment="1">
      <alignment horizontal="left" vertical="top" wrapText="1"/>
    </xf>
    <xf numFmtId="164" fontId="0" fillId="7" borderId="2" xfId="0" applyFill="1" applyBorder="1" applyAlignment="1">
      <alignment horizontal="left" vertical="top" wrapText="1"/>
    </xf>
    <xf numFmtId="164" fontId="1" fillId="7" borderId="9" xfId="0" applyFont="1" applyFill="1" applyBorder="1" applyAlignment="1">
      <alignment horizontal="left" vertical="top" wrapText="1"/>
    </xf>
    <xf numFmtId="181" fontId="1" fillId="0" borderId="7" xfId="0" applyNumberFormat="1" applyFont="1" applyBorder="1" applyAlignment="1">
      <alignment vertical="top"/>
    </xf>
    <xf numFmtId="181" fontId="1" fillId="0" borderId="9" xfId="0" applyNumberFormat="1" applyFont="1" applyBorder="1" applyAlignment="1">
      <alignment vertical="top"/>
    </xf>
    <xf numFmtId="181" fontId="1" fillId="0" borderId="2" xfId="0" applyNumberFormat="1" applyFont="1" applyBorder="1" applyAlignment="1">
      <alignment vertical="top"/>
    </xf>
    <xf numFmtId="164" fontId="0" fillId="0" borderId="10" xfId="0" applyBorder="1" applyAlignment="1">
      <alignment horizontal="center" vertical="center"/>
    </xf>
    <xf numFmtId="164" fontId="1" fillId="0" borderId="1" xfId="0" applyFont="1" applyBorder="1" applyAlignment="1">
      <alignment vertical="top"/>
    </xf>
    <xf numFmtId="164" fontId="0" fillId="7" borderId="1" xfId="0" applyFill="1" applyBorder="1" applyAlignment="1">
      <alignment horizontal="center" vertical="center"/>
    </xf>
    <xf numFmtId="164" fontId="74" fillId="13" borderId="7" xfId="0" applyFont="1" applyFill="1" applyBorder="1" applyAlignment="1">
      <alignment horizontal="center" vertical="center"/>
    </xf>
    <xf numFmtId="164" fontId="74" fillId="13" borderId="2" xfId="0" applyFont="1" applyFill="1" applyBorder="1" applyAlignment="1">
      <alignment horizontal="center" vertical="center"/>
    </xf>
    <xf numFmtId="164" fontId="74" fillId="13" borderId="32" xfId="0" applyFont="1" applyFill="1" applyBorder="1" applyAlignment="1">
      <alignment horizontal="center" vertical="center" wrapText="1"/>
    </xf>
    <xf numFmtId="164" fontId="74" fillId="13" borderId="5" xfId="0" applyFont="1" applyFill="1" applyBorder="1" applyAlignment="1">
      <alignment horizontal="center" vertical="center" wrapText="1"/>
    </xf>
    <xf numFmtId="164" fontId="74" fillId="7" borderId="1" xfId="0" applyFont="1" applyFill="1" applyBorder="1" applyAlignment="1">
      <alignment horizontal="left" vertical="center"/>
    </xf>
    <xf numFmtId="164" fontId="1" fillId="11" borderId="5" xfId="0" applyFont="1" applyFill="1" applyBorder="1" applyAlignment="1">
      <alignment horizontal="center" vertical="center"/>
    </xf>
    <xf numFmtId="164" fontId="1" fillId="11" borderId="10" xfId="0" applyFont="1" applyFill="1" applyBorder="1" applyAlignment="1">
      <alignment horizontal="center" vertical="center"/>
    </xf>
    <xf numFmtId="164" fontId="74" fillId="7" borderId="31" xfId="0" applyFont="1" applyFill="1" applyBorder="1" applyAlignment="1">
      <alignment horizontal="left" vertical="center"/>
    </xf>
    <xf numFmtId="164" fontId="74" fillId="7" borderId="15" xfId="0" applyFont="1" applyFill="1" applyBorder="1" applyAlignment="1">
      <alignment horizontal="left" vertical="center"/>
    </xf>
    <xf numFmtId="164" fontId="74" fillId="7" borderId="18" xfId="0" applyFont="1" applyFill="1" applyBorder="1" applyAlignment="1">
      <alignment horizontal="left" vertical="center"/>
    </xf>
    <xf numFmtId="14" fontId="71" fillId="14" borderId="6" xfId="0" applyNumberFormat="1" applyFont="1" applyFill="1" applyBorder="1" applyAlignment="1">
      <alignment horizontal="center"/>
    </xf>
    <xf numFmtId="14" fontId="71" fillId="14" borderId="12" xfId="0" applyNumberFormat="1" applyFont="1" applyFill="1" applyBorder="1" applyAlignment="1">
      <alignment horizontal="center"/>
    </xf>
    <xf numFmtId="14" fontId="71" fillId="14" borderId="4" xfId="0" applyNumberFormat="1" applyFont="1" applyFill="1" applyBorder="1" applyAlignment="1">
      <alignment horizontal="center"/>
    </xf>
    <xf numFmtId="164" fontId="74" fillId="13" borderId="7" xfId="0" applyFont="1" applyFill="1" applyBorder="1" applyAlignment="1">
      <alignment horizontal="center" vertical="center" wrapText="1"/>
    </xf>
    <xf numFmtId="164" fontId="74" fillId="13" borderId="2" xfId="0" applyFont="1" applyFill="1" applyBorder="1" applyAlignment="1">
      <alignment horizontal="center" vertical="center" wrapText="1"/>
    </xf>
    <xf numFmtId="164" fontId="71" fillId="0" borderId="15" xfId="0" applyFont="1" applyBorder="1" applyAlignment="1">
      <alignment horizontal="center" vertical="center"/>
    </xf>
    <xf numFmtId="164" fontId="71" fillId="0" borderId="1" xfId="0" applyFont="1" applyBorder="1" applyAlignment="1">
      <alignment horizontal="center" vertical="center"/>
    </xf>
    <xf numFmtId="164" fontId="70" fillId="0" borderId="7" xfId="0" applyFont="1" applyBorder="1" applyAlignment="1">
      <alignment horizontal="left" vertical="top" wrapText="1"/>
    </xf>
    <xf numFmtId="164" fontId="70" fillId="0" borderId="9" xfId="0" applyFont="1" applyBorder="1" applyAlignment="1">
      <alignment horizontal="left" vertical="top" wrapText="1"/>
    </xf>
    <xf numFmtId="164" fontId="70" fillId="0" borderId="2" xfId="0" applyFont="1" applyBorder="1" applyAlignment="1">
      <alignment horizontal="left" vertical="top" wrapText="1"/>
    </xf>
    <xf numFmtId="164" fontId="70" fillId="0" borderId="7" xfId="0" applyFont="1" applyBorder="1" applyAlignment="1">
      <alignment horizontal="left" vertical="top"/>
    </xf>
    <xf numFmtId="164" fontId="70" fillId="0" borderId="9" xfId="0" applyFont="1" applyBorder="1" applyAlignment="1">
      <alignment horizontal="left" vertical="top"/>
    </xf>
    <xf numFmtId="164" fontId="70" fillId="0" borderId="2" xfId="0" applyFont="1" applyBorder="1" applyAlignment="1">
      <alignment horizontal="left" vertical="top"/>
    </xf>
    <xf numFmtId="164" fontId="70" fillId="0" borderId="1" xfId="0" applyFont="1" applyBorder="1" applyAlignment="1">
      <alignment horizontal="left" vertical="top"/>
    </xf>
    <xf numFmtId="164" fontId="70" fillId="0" borderId="31" xfId="0" applyFont="1" applyBorder="1" applyAlignment="1">
      <alignment horizontal="left" vertical="top" wrapText="1"/>
    </xf>
    <xf numFmtId="164" fontId="70" fillId="0" borderId="15" xfId="0" applyFont="1" applyBorder="1" applyAlignment="1">
      <alignment horizontal="left" vertical="top" wrapText="1"/>
    </xf>
    <xf numFmtId="164" fontId="70" fillId="0" borderId="18" xfId="0" applyFont="1" applyBorder="1" applyAlignment="1">
      <alignment horizontal="left" vertical="top" wrapText="1"/>
    </xf>
    <xf numFmtId="164" fontId="1" fillId="7" borderId="1" xfId="0" applyFont="1" applyFill="1" applyBorder="1" applyAlignment="1">
      <alignment horizontal="center" vertical="center"/>
    </xf>
    <xf numFmtId="164" fontId="14" fillId="7" borderId="1" xfId="0" applyFont="1" applyFill="1" applyBorder="1" applyAlignment="1">
      <alignment horizontal="center" vertical="center"/>
    </xf>
    <xf numFmtId="17" fontId="1" fillId="7" borderId="1" xfId="0" applyNumberFormat="1" applyFont="1" applyFill="1" applyBorder="1" applyAlignment="1">
      <alignment horizontal="center" vertical="center"/>
    </xf>
    <xf numFmtId="181" fontId="1" fillId="7" borderId="1" xfId="0" applyNumberFormat="1" applyFont="1" applyFill="1" applyBorder="1" applyAlignment="1">
      <alignment horizontal="center" vertical="center"/>
    </xf>
    <xf numFmtId="164" fontId="1" fillId="0" borderId="1" xfId="0" applyFont="1" applyBorder="1" applyAlignment="1">
      <alignment horizontal="center" vertical="center"/>
    </xf>
    <xf numFmtId="164" fontId="1" fillId="0" borderId="0" xfId="0" applyFont="1" applyAlignment="1">
      <alignment horizontal="center" vertical="center"/>
    </xf>
    <xf numFmtId="164" fontId="38" fillId="9" borderId="6" xfId="0" applyFont="1" applyFill="1" applyBorder="1" applyAlignment="1">
      <alignment horizontal="center"/>
    </xf>
    <xf numFmtId="164" fontId="38" fillId="9" borderId="12" xfId="0" applyFont="1" applyFill="1" applyBorder="1" applyAlignment="1">
      <alignment horizontal="center"/>
    </xf>
    <xf numFmtId="164" fontId="38" fillId="9" borderId="4" xfId="0" applyFont="1" applyFill="1" applyBorder="1" applyAlignment="1">
      <alignment horizontal="center"/>
    </xf>
    <xf numFmtId="164" fontId="38" fillId="9" borderId="6" xfId="0" applyFont="1" applyFill="1" applyBorder="1" applyAlignment="1">
      <alignment horizontal="center" vertical="center"/>
    </xf>
    <xf numFmtId="164" fontId="38" fillId="9" borderId="12" xfId="0" applyFont="1" applyFill="1" applyBorder="1" applyAlignment="1">
      <alignment horizontal="center" vertical="center"/>
    </xf>
    <xf numFmtId="164" fontId="38" fillId="9" borderId="4" xfId="0" applyFont="1" applyFill="1" applyBorder="1" applyAlignment="1">
      <alignment horizontal="center" vertical="center"/>
    </xf>
    <xf numFmtId="164" fontId="1" fillId="0" borderId="10" xfId="0" applyFont="1" applyBorder="1" applyAlignment="1">
      <alignment horizontal="center" vertical="center"/>
    </xf>
    <xf numFmtId="181" fontId="2" fillId="9" borderId="5" xfId="0" applyNumberFormat="1" applyFont="1" applyFill="1" applyBorder="1" applyAlignment="1">
      <alignment horizontal="center"/>
    </xf>
    <xf numFmtId="181" fontId="2" fillId="9" borderId="10" xfId="0" applyNumberFormat="1" applyFont="1" applyFill="1" applyBorder="1" applyAlignment="1">
      <alignment horizontal="center"/>
    </xf>
    <xf numFmtId="181" fontId="2" fillId="9" borderId="6" xfId="0" applyNumberFormat="1" applyFont="1" applyFill="1" applyBorder="1" applyAlignment="1">
      <alignment horizontal="center"/>
    </xf>
    <xf numFmtId="181" fontId="2" fillId="9" borderId="12" xfId="0" applyNumberFormat="1" applyFont="1" applyFill="1" applyBorder="1" applyAlignment="1">
      <alignment horizontal="center"/>
    </xf>
    <xf numFmtId="164" fontId="38" fillId="9" borderId="1" xfId="0" applyFont="1" applyFill="1" applyBorder="1" applyAlignment="1">
      <alignment horizontal="center"/>
    </xf>
    <xf numFmtId="164" fontId="38" fillId="9" borderId="1" xfId="0" applyFont="1" applyFill="1" applyBorder="1" applyAlignment="1">
      <alignment horizontal="center" vertical="center"/>
    </xf>
    <xf numFmtId="181" fontId="2" fillId="9" borderId="1" xfId="0" applyNumberFormat="1" applyFont="1" applyFill="1" applyBorder="1" applyAlignment="1">
      <alignment horizontal="center"/>
    </xf>
    <xf numFmtId="164" fontId="1" fillId="0" borderId="7" xfId="0" applyFont="1" applyBorder="1" applyAlignment="1">
      <alignment horizontal="center" vertical="center"/>
    </xf>
    <xf numFmtId="164" fontId="1" fillId="0" borderId="2" xfId="0" applyFont="1" applyBorder="1" applyAlignment="1">
      <alignment horizontal="center" vertical="center"/>
    </xf>
    <xf numFmtId="181" fontId="2" fillId="9" borderId="4" xfId="0" applyNumberFormat="1" applyFont="1" applyFill="1" applyBorder="1" applyAlignment="1">
      <alignment horizontal="center"/>
    </xf>
    <xf numFmtId="164" fontId="76" fillId="0" borderId="1" xfId="0" applyFont="1" applyBorder="1" applyAlignment="1">
      <alignment horizontal="left" vertical="top"/>
    </xf>
    <xf numFmtId="164" fontId="76" fillId="0" borderId="1" xfId="0" applyFont="1" applyBorder="1" applyAlignment="1">
      <alignment horizontal="left" vertical="center" wrapText="1"/>
    </xf>
    <xf numFmtId="164" fontId="77" fillId="0" borderId="10" xfId="0" applyFont="1" applyBorder="1" applyAlignment="1">
      <alignment horizontal="center"/>
    </xf>
    <xf numFmtId="164" fontId="29" fillId="0" borderId="10" xfId="0" applyFont="1" applyBorder="1" applyAlignment="1">
      <alignment horizontal="center"/>
    </xf>
    <xf numFmtId="164" fontId="28" fillId="0" borderId="1" xfId="0" applyFont="1" applyFill="1" applyBorder="1" applyAlignment="1">
      <alignment horizontal="center" vertical="top" wrapText="1"/>
    </xf>
    <xf numFmtId="164" fontId="27" fillId="11" borderId="12" xfId="0" applyFont="1" applyFill="1" applyBorder="1" applyAlignment="1">
      <alignment horizontal="center"/>
    </xf>
    <xf numFmtId="164" fontId="27" fillId="11" borderId="4" xfId="0" applyFont="1" applyFill="1" applyBorder="1" applyAlignment="1">
      <alignment horizontal="center"/>
    </xf>
    <xf numFmtId="164" fontId="27" fillId="11" borderId="6" xfId="0" applyFont="1" applyFill="1" applyBorder="1" applyAlignment="1">
      <alignment horizontal="center"/>
    </xf>
    <xf numFmtId="164" fontId="2" fillId="0" borderId="12" xfId="0" applyFont="1" applyBorder="1" applyAlignment="1">
      <alignment horizontal="center" vertical="center"/>
    </xf>
    <xf numFmtId="164" fontId="1" fillId="11" borderId="1" xfId="0" applyFont="1" applyFill="1" applyBorder="1" applyAlignment="1">
      <alignment horizontal="center" vertical="center"/>
    </xf>
    <xf numFmtId="164" fontId="26" fillId="0" borderId="1" xfId="0" applyFont="1" applyBorder="1" applyAlignment="1">
      <alignment horizontal="center" vertical="center"/>
    </xf>
    <xf numFmtId="164" fontId="26" fillId="0" borderId="1" xfId="0" applyFont="1" applyFill="1" applyBorder="1" applyAlignment="1">
      <alignment horizontal="center" vertical="top" wrapText="1"/>
    </xf>
    <xf numFmtId="164" fontId="2" fillId="9" borderId="6" xfId="0" applyFont="1" applyFill="1" applyBorder="1" applyAlignment="1">
      <alignment horizontal="center"/>
    </xf>
    <xf numFmtId="164" fontId="2" fillId="9" borderId="12" xfId="0" applyFont="1" applyFill="1" applyBorder="1" applyAlignment="1">
      <alignment horizontal="center"/>
    </xf>
    <xf numFmtId="164" fontId="2" fillId="9" borderId="4" xfId="0" applyFont="1" applyFill="1" applyBorder="1" applyAlignment="1">
      <alignment horizontal="center"/>
    </xf>
    <xf numFmtId="20" fontId="8" fillId="0" borderId="6" xfId="0" applyNumberFormat="1" applyFont="1" applyBorder="1" applyAlignment="1">
      <alignment horizontal="center"/>
    </xf>
    <xf numFmtId="20" fontId="8" fillId="0" borderId="4" xfId="0" applyNumberFormat="1" applyFont="1" applyBorder="1" applyAlignment="1">
      <alignment horizontal="center"/>
    </xf>
    <xf numFmtId="20" fontId="8" fillId="0" borderId="1" xfId="0" applyNumberFormat="1" applyFont="1" applyBorder="1" applyAlignment="1">
      <alignment horizontal="center"/>
    </xf>
    <xf numFmtId="164" fontId="0" fillId="0" borderId="6" xfId="0" applyBorder="1" applyAlignment="1">
      <alignment horizontal="center"/>
    </xf>
    <xf numFmtId="164" fontId="0" fillId="0" borderId="4" xfId="0" applyBorder="1" applyAlignment="1">
      <alignment horizontal="center"/>
    </xf>
    <xf numFmtId="14" fontId="0" fillId="0" borderId="10" xfId="0" applyNumberFormat="1" applyBorder="1" applyAlignment="1">
      <alignment horizontal="center"/>
    </xf>
    <xf numFmtId="164" fontId="2" fillId="9" borderId="1" xfId="0" applyFont="1" applyFill="1" applyBorder="1" applyAlignment="1">
      <alignment horizontal="center"/>
    </xf>
    <xf numFmtId="164" fontId="18" fillId="0" borderId="6" xfId="0" applyFont="1" applyBorder="1" applyAlignment="1">
      <alignment horizontal="center"/>
    </xf>
    <xf numFmtId="164" fontId="18" fillId="0" borderId="4" xfId="0" applyFont="1" applyBorder="1" applyAlignment="1">
      <alignment horizontal="center"/>
    </xf>
    <xf numFmtId="164" fontId="14" fillId="0" borderId="1" xfId="0" applyFont="1" applyBorder="1" applyAlignment="1">
      <alignment horizontal="center"/>
    </xf>
    <xf numFmtId="164" fontId="8" fillId="0" borderId="1" xfId="0" applyFont="1" applyBorder="1" applyAlignment="1">
      <alignment horizontal="center" vertical="top" wrapText="1"/>
    </xf>
    <xf numFmtId="164" fontId="26" fillId="7" borderId="1" xfId="0" applyFont="1" applyFill="1" applyBorder="1" applyAlignment="1">
      <alignment horizontal="center"/>
    </xf>
    <xf numFmtId="164" fontId="27" fillId="11" borderId="6" xfId="0" applyFont="1" applyFill="1" applyBorder="1" applyAlignment="1">
      <alignment horizontal="center" vertical="top" wrapText="1"/>
    </xf>
    <xf numFmtId="164" fontId="27" fillId="11" borderId="12" xfId="0" applyFont="1" applyFill="1" applyBorder="1" applyAlignment="1">
      <alignment horizontal="center" vertical="top" wrapText="1"/>
    </xf>
    <xf numFmtId="164" fontId="27" fillId="11" borderId="4" xfId="0" applyFont="1" applyFill="1" applyBorder="1" applyAlignment="1">
      <alignment horizontal="center" vertical="top" wrapText="1"/>
    </xf>
    <xf numFmtId="164" fontId="70" fillId="0" borderId="7" xfId="0" applyFont="1" applyBorder="1" applyAlignment="1">
      <alignment horizontal="center" vertical="top"/>
    </xf>
    <xf numFmtId="164" fontId="70" fillId="0" borderId="9" xfId="0" applyFont="1" applyBorder="1" applyAlignment="1">
      <alignment horizontal="center" vertical="top"/>
    </xf>
    <xf numFmtId="164" fontId="70" fillId="0" borderId="1" xfId="0" applyFont="1" applyBorder="1" applyAlignment="1">
      <alignment horizontal="center" vertical="top"/>
    </xf>
    <xf numFmtId="164" fontId="70" fillId="0" borderId="1" xfId="0" applyFont="1" applyBorder="1" applyAlignment="1">
      <alignment horizontal="center" vertical="top" wrapText="1"/>
    </xf>
    <xf numFmtId="164" fontId="70" fillId="0" borderId="7" xfId="0" applyFont="1" applyBorder="1" applyAlignment="1">
      <alignment horizontal="center" vertical="top" wrapText="1"/>
    </xf>
    <xf numFmtId="164" fontId="70" fillId="0" borderId="9" xfId="0" applyFont="1" applyBorder="1" applyAlignment="1">
      <alignment horizontal="center" vertical="top" wrapText="1"/>
    </xf>
    <xf numFmtId="181" fontId="1" fillId="7" borderId="1" xfId="0" applyNumberFormat="1" applyFont="1" applyFill="1" applyBorder="1" applyAlignment="1">
      <alignment horizontal="center"/>
    </xf>
    <xf numFmtId="181" fontId="1" fillId="0" borderId="6" xfId="0" applyNumberFormat="1" applyFont="1" applyBorder="1" applyAlignment="1">
      <alignment horizontal="center"/>
    </xf>
    <xf numFmtId="181" fontId="1" fillId="0" borderId="12" xfId="0" applyNumberFormat="1" applyFont="1" applyBorder="1" applyAlignment="1">
      <alignment horizontal="center"/>
    </xf>
    <xf numFmtId="181" fontId="1" fillId="0" borderId="4" xfId="0" applyNumberFormat="1" applyFont="1" applyBorder="1" applyAlignment="1">
      <alignment horizontal="center"/>
    </xf>
    <xf numFmtId="181" fontId="1" fillId="0" borderId="6" xfId="0" applyNumberFormat="1" applyFont="1" applyBorder="1" applyAlignment="1">
      <alignment horizontal="center" vertical="center"/>
    </xf>
    <xf numFmtId="181" fontId="1" fillId="0" borderId="12" xfId="0" applyNumberFormat="1" applyFont="1" applyBorder="1" applyAlignment="1">
      <alignment horizontal="center" vertical="center"/>
    </xf>
    <xf numFmtId="181" fontId="1" fillId="0" borderId="4" xfId="0" applyNumberFormat="1" applyFont="1" applyBorder="1" applyAlignment="1">
      <alignment horizontal="center" vertical="center"/>
    </xf>
    <xf numFmtId="164" fontId="1" fillId="0" borderId="6" xfId="0" applyFont="1" applyBorder="1" applyAlignment="1">
      <alignment horizontal="center" vertical="center"/>
    </xf>
    <xf numFmtId="164" fontId="1" fillId="0" borderId="12" xfId="0" applyFont="1" applyBorder="1" applyAlignment="1">
      <alignment horizontal="center" vertical="center"/>
    </xf>
    <xf numFmtId="164" fontId="1" fillId="0" borderId="4" xfId="0" applyFont="1" applyBorder="1" applyAlignment="1">
      <alignment horizontal="center" vertical="center"/>
    </xf>
    <xf numFmtId="164" fontId="12" fillId="0" borderId="16" xfId="0" applyFont="1" applyBorder="1" applyAlignment="1">
      <alignment horizontal="center" wrapText="1"/>
    </xf>
    <xf numFmtId="164" fontId="12" fillId="0" borderId="17" xfId="0" applyFont="1" applyBorder="1" applyAlignment="1">
      <alignment horizontal="center" wrapText="1"/>
    </xf>
    <xf numFmtId="164" fontId="12" fillId="7" borderId="1" xfId="0" applyFont="1" applyFill="1" applyBorder="1" applyAlignment="1">
      <alignment horizontal="center" wrapText="1"/>
    </xf>
    <xf numFmtId="164" fontId="2" fillId="7" borderId="7" xfId="0" applyFont="1" applyFill="1" applyBorder="1" applyAlignment="1">
      <alignment horizontal="center"/>
    </xf>
    <xf numFmtId="164" fontId="2" fillId="7" borderId="2" xfId="0" applyFont="1" applyFill="1" applyBorder="1" applyAlignment="1">
      <alignment horizontal="center"/>
    </xf>
    <xf numFmtId="164" fontId="10" fillId="7" borderId="7" xfId="0" applyFont="1" applyFill="1" applyBorder="1" applyAlignment="1">
      <alignment horizontal="center"/>
    </xf>
    <xf numFmtId="164" fontId="10" fillId="7" borderId="2" xfId="0" applyFont="1" applyFill="1" applyBorder="1" applyAlignment="1">
      <alignment horizontal="center"/>
    </xf>
    <xf numFmtId="164" fontId="2" fillId="7" borderId="15" xfId="0" applyFont="1" applyFill="1" applyBorder="1" applyAlignment="1">
      <alignment horizontal="center"/>
    </xf>
    <xf numFmtId="164" fontId="2" fillId="7" borderId="18" xfId="0" applyFont="1" applyFill="1" applyBorder="1" applyAlignment="1">
      <alignment horizontal="center"/>
    </xf>
    <xf numFmtId="164" fontId="29" fillId="0" borderId="6" xfId="0" applyFont="1" applyBorder="1" applyAlignment="1">
      <alignment horizontal="left" vertical="top" wrapText="1"/>
    </xf>
    <xf numFmtId="164" fontId="29" fillId="0" borderId="12" xfId="0" applyFont="1" applyBorder="1" applyAlignment="1">
      <alignment horizontal="left" vertical="top" wrapText="1"/>
    </xf>
    <xf numFmtId="164" fontId="29" fillId="0" borderId="4" xfId="0" applyFont="1" applyBorder="1" applyAlignment="1">
      <alignment horizontal="left" vertical="top" wrapText="1"/>
    </xf>
    <xf numFmtId="181" fontId="29" fillId="0" borderId="1" xfId="0" applyNumberFormat="1" applyFont="1" applyBorder="1" applyAlignment="1">
      <alignment horizontal="left" vertical="top" wrapText="1"/>
    </xf>
    <xf numFmtId="164" fontId="29" fillId="0" borderId="1" xfId="0" applyFont="1" applyBorder="1" applyAlignment="1">
      <alignment horizontal="center"/>
    </xf>
    <xf numFmtId="181" fontId="29" fillId="0" borderId="6" xfId="0" applyNumberFormat="1" applyFont="1" applyBorder="1" applyAlignment="1">
      <alignment horizontal="left" vertical="top" wrapText="1"/>
    </xf>
    <xf numFmtId="181" fontId="29" fillId="0" borderId="12" xfId="0" applyNumberFormat="1" applyFont="1" applyBorder="1" applyAlignment="1">
      <alignment horizontal="left" vertical="top" wrapText="1"/>
    </xf>
    <xf numFmtId="181" fontId="29" fillId="0" borderId="4" xfId="0" applyNumberFormat="1" applyFont="1" applyBorder="1" applyAlignment="1">
      <alignment horizontal="left" vertical="top" wrapText="1"/>
    </xf>
    <xf numFmtId="164" fontId="26" fillId="16" borderId="6" xfId="0" applyFont="1" applyFill="1" applyBorder="1" applyAlignment="1">
      <alignment horizontal="center"/>
    </xf>
    <xf numFmtId="164" fontId="26" fillId="16" borderId="12" xfId="0" applyFont="1" applyFill="1" applyBorder="1" applyAlignment="1">
      <alignment horizontal="center"/>
    </xf>
    <xf numFmtId="164" fontId="26" fillId="16" borderId="4" xfId="0" applyFont="1" applyFill="1" applyBorder="1" applyAlignment="1">
      <alignment horizontal="center"/>
    </xf>
    <xf numFmtId="164" fontId="29" fillId="0" borderId="6" xfId="0" applyFont="1" applyBorder="1" applyAlignment="1">
      <alignment horizontal="center"/>
    </xf>
    <xf numFmtId="164" fontId="29" fillId="0" borderId="4" xfId="0" applyFont="1" applyBorder="1" applyAlignment="1">
      <alignment horizontal="center"/>
    </xf>
    <xf numFmtId="164" fontId="26" fillId="16" borderId="1" xfId="0" applyFont="1" applyFill="1" applyBorder="1" applyAlignment="1">
      <alignment horizontal="center"/>
    </xf>
    <xf numFmtId="164" fontId="26" fillId="16" borderId="5" xfId="0" applyFont="1" applyFill="1" applyBorder="1" applyAlignment="1">
      <alignment horizontal="center"/>
    </xf>
    <xf numFmtId="164" fontId="26" fillId="16" borderId="10" xfId="0" applyFont="1" applyFill="1" applyBorder="1" applyAlignment="1">
      <alignment horizontal="center"/>
    </xf>
    <xf numFmtId="164" fontId="26" fillId="16" borderId="18" xfId="0" applyFont="1" applyFill="1" applyBorder="1" applyAlignment="1">
      <alignment horizontal="center"/>
    </xf>
    <xf numFmtId="181" fontId="26" fillId="16" borderId="6" xfId="0" applyNumberFormat="1" applyFont="1" applyFill="1" applyBorder="1" applyAlignment="1">
      <alignment horizontal="center"/>
    </xf>
    <xf numFmtId="181" fontId="26" fillId="16" borderId="12" xfId="0" applyNumberFormat="1" applyFont="1" applyFill="1" applyBorder="1" applyAlignment="1">
      <alignment horizontal="center"/>
    </xf>
    <xf numFmtId="181" fontId="26" fillId="16" borderId="4" xfId="0" applyNumberFormat="1" applyFont="1" applyFill="1" applyBorder="1" applyAlignment="1">
      <alignment horizontal="center"/>
    </xf>
    <xf numFmtId="164" fontId="29" fillId="0" borderId="0" xfId="0" applyFont="1" applyAlignment="1">
      <alignment horizontal="left" vertical="center"/>
    </xf>
    <xf numFmtId="164" fontId="1" fillId="0" borderId="6" xfId="0" applyFont="1" applyBorder="1" applyAlignment="1">
      <alignment horizontal="center" vertical="top" wrapText="1"/>
    </xf>
    <xf numFmtId="164" fontId="1" fillId="0" borderId="4" xfId="0" applyFont="1" applyBorder="1" applyAlignment="1">
      <alignment horizontal="center" vertical="top" wrapText="1"/>
    </xf>
    <xf numFmtId="164" fontId="1" fillId="0" borderId="12" xfId="0" applyFont="1" applyFill="1" applyBorder="1" applyAlignment="1">
      <alignment horizontal="left"/>
    </xf>
    <xf numFmtId="164" fontId="2" fillId="9" borderId="1" xfId="0" applyFont="1" applyFill="1" applyBorder="1" applyAlignment="1">
      <alignment horizontal="left"/>
    </xf>
    <xf numFmtId="164" fontId="2" fillId="0" borderId="6" xfId="0" applyFont="1" applyBorder="1" applyAlignment="1">
      <alignment horizontal="left" vertical="center"/>
    </xf>
    <xf numFmtId="164" fontId="2" fillId="0" borderId="4" xfId="0" applyFont="1" applyBorder="1" applyAlignment="1">
      <alignment horizontal="left" vertical="center"/>
    </xf>
    <xf numFmtId="164" fontId="27" fillId="0" borderId="3" xfId="0" applyFont="1" applyBorder="1" applyAlignment="1">
      <alignment horizontal="center"/>
    </xf>
    <xf numFmtId="164" fontId="27" fillId="0" borderId="0" xfId="0" applyFont="1" applyBorder="1" applyAlignment="1">
      <alignment horizontal="center"/>
    </xf>
    <xf numFmtId="164" fontId="2" fillId="7" borderId="1" xfId="0" applyFont="1" applyFill="1" applyBorder="1" applyAlignment="1">
      <alignment horizontal="center"/>
    </xf>
    <xf numFmtId="164" fontId="1" fillId="0" borderId="1" xfId="0" applyFont="1" applyBorder="1" applyAlignment="1">
      <alignment horizontal="center" vertical="top" wrapText="1"/>
    </xf>
    <xf numFmtId="164" fontId="19" fillId="0" borderId="3" xfId="0" applyFont="1" applyBorder="1" applyAlignment="1">
      <alignment horizontal="center"/>
    </xf>
    <xf numFmtId="164" fontId="19" fillId="0" borderId="0" xfId="0" applyFont="1" applyAlignment="1">
      <alignment horizontal="center"/>
    </xf>
    <xf numFmtId="164" fontId="28" fillId="11" borderId="1" xfId="0" applyFont="1" applyFill="1" applyBorder="1" applyAlignment="1">
      <alignment horizontal="center"/>
    </xf>
    <xf numFmtId="164" fontId="74" fillId="7" borderId="1" xfId="0" applyFont="1" applyFill="1" applyBorder="1" applyAlignment="1">
      <alignment horizontal="center" vertical="center"/>
    </xf>
    <xf numFmtId="164" fontId="4" fillId="11" borderId="1" xfId="0" applyFont="1" applyFill="1" applyBorder="1" applyAlignment="1">
      <alignment horizontal="center"/>
    </xf>
    <xf numFmtId="164" fontId="4" fillId="11" borderId="1" xfId="0" applyFont="1" applyFill="1" applyBorder="1" applyAlignment="1">
      <alignment horizontal="center" vertical="center"/>
    </xf>
    <xf numFmtId="164" fontId="4" fillId="11" borderId="6" xfId="0" applyFont="1" applyFill="1" applyBorder="1" applyAlignment="1">
      <alignment horizontal="center" vertical="top" wrapText="1"/>
    </xf>
    <xf numFmtId="164" fontId="4" fillId="11" borderId="12" xfId="0" applyFont="1" applyFill="1" applyBorder="1" applyAlignment="1">
      <alignment horizontal="center" vertical="top" wrapText="1"/>
    </xf>
    <xf numFmtId="164" fontId="45" fillId="7" borderId="1" xfId="0" applyFont="1" applyFill="1" applyBorder="1" applyAlignment="1">
      <alignment horizontal="center" vertical="top" wrapText="1"/>
    </xf>
    <xf numFmtId="164" fontId="38" fillId="7" borderId="1" xfId="0" applyFont="1" applyFill="1" applyBorder="1" applyAlignment="1">
      <alignment horizontal="center"/>
    </xf>
    <xf numFmtId="164" fontId="46" fillId="0" borderId="1" xfId="0" applyFont="1" applyBorder="1" applyAlignment="1">
      <alignment horizontal="left" vertical="top" wrapText="1" indent="1"/>
    </xf>
    <xf numFmtId="164" fontId="46" fillId="0" borderId="1" xfId="0" applyFont="1" applyBorder="1" applyAlignment="1">
      <alignment horizontal="center" vertical="top" wrapText="1"/>
    </xf>
    <xf numFmtId="164" fontId="62" fillId="0" borderId="10" xfId="0" applyFont="1" applyBorder="1" applyAlignment="1">
      <alignment horizontal="center"/>
    </xf>
    <xf numFmtId="164" fontId="4" fillId="9" borderId="6" xfId="0" applyFont="1" applyFill="1" applyBorder="1" applyAlignment="1">
      <alignment horizontal="center"/>
    </xf>
    <xf numFmtId="164" fontId="4" fillId="9" borderId="12" xfId="0" applyFont="1" applyFill="1" applyBorder="1" applyAlignment="1">
      <alignment horizontal="center"/>
    </xf>
    <xf numFmtId="164" fontId="4" fillId="9" borderId="4" xfId="0" applyFont="1" applyFill="1" applyBorder="1" applyAlignment="1">
      <alignment horizontal="center"/>
    </xf>
    <xf numFmtId="164" fontId="4" fillId="9" borderId="1" xfId="0" applyFont="1" applyFill="1" applyBorder="1" applyAlignment="1">
      <alignment horizontal="center"/>
    </xf>
    <xf numFmtId="164" fontId="4" fillId="17" borderId="1" xfId="0" applyFont="1" applyFill="1" applyBorder="1" applyAlignment="1">
      <alignment horizontal="center"/>
    </xf>
    <xf numFmtId="164" fontId="61" fillId="9" borderId="1" xfId="0" applyFont="1" applyFill="1" applyBorder="1" applyAlignment="1">
      <alignment horizontal="center"/>
    </xf>
    <xf numFmtId="164" fontId="4" fillId="6" borderId="6" xfId="0" applyFont="1" applyFill="1" applyBorder="1" applyAlignment="1">
      <alignment horizontal="center" vertical="center"/>
    </xf>
    <xf numFmtId="164" fontId="4" fillId="6" borderId="12" xfId="0" applyFont="1" applyFill="1" applyBorder="1" applyAlignment="1">
      <alignment horizontal="center" vertical="center"/>
    </xf>
    <xf numFmtId="164" fontId="4" fillId="6" borderId="4" xfId="0" applyFont="1" applyFill="1" applyBorder="1" applyAlignment="1">
      <alignment horizontal="center" vertical="center"/>
    </xf>
    <xf numFmtId="164" fontId="4" fillId="0" borderId="1" xfId="0" applyFont="1" applyBorder="1" applyAlignment="1">
      <alignment horizontal="center"/>
    </xf>
    <xf numFmtId="164" fontId="4" fillId="7" borderId="7" xfId="0" applyFont="1" applyFill="1" applyBorder="1" applyAlignment="1">
      <alignment horizontal="left" vertical="center"/>
    </xf>
    <xf numFmtId="164" fontId="4" fillId="7" borderId="2" xfId="0" applyFont="1" applyFill="1" applyBorder="1" applyAlignment="1">
      <alignment horizontal="left" vertical="center"/>
    </xf>
    <xf numFmtId="181" fontId="4" fillId="7" borderId="6" xfId="0" applyNumberFormat="1" applyFont="1" applyFill="1" applyBorder="1" applyAlignment="1">
      <alignment horizontal="center" vertical="center"/>
    </xf>
    <xf numFmtId="181" fontId="4" fillId="7" borderId="12" xfId="0" applyNumberFormat="1" applyFont="1" applyFill="1" applyBorder="1" applyAlignment="1">
      <alignment horizontal="center" vertical="center"/>
    </xf>
    <xf numFmtId="181" fontId="4" fillId="7" borderId="4" xfId="0" applyNumberFormat="1" applyFont="1" applyFill="1" applyBorder="1" applyAlignment="1">
      <alignment horizontal="center" vertical="center"/>
    </xf>
    <xf numFmtId="164" fontId="4" fillId="7" borderId="7" xfId="0" applyFont="1" applyFill="1" applyBorder="1" applyAlignment="1">
      <alignment horizontal="center" vertical="center" wrapText="1"/>
    </xf>
    <xf numFmtId="164" fontId="4" fillId="7" borderId="2" xfId="0" applyFont="1" applyFill="1" applyBorder="1" applyAlignment="1">
      <alignment horizontal="center" vertical="center" wrapText="1"/>
    </xf>
    <xf numFmtId="164" fontId="4" fillId="7" borderId="7" xfId="0" applyFont="1" applyFill="1" applyBorder="1" applyAlignment="1">
      <alignment horizontal="center" vertical="center"/>
    </xf>
    <xf numFmtId="164" fontId="4" fillId="7" borderId="2" xfId="0" applyFont="1" applyFill="1" applyBorder="1" applyAlignment="1">
      <alignment horizontal="center" vertical="center"/>
    </xf>
    <xf numFmtId="164" fontId="4" fillId="0" borderId="0" xfId="0" applyFont="1" applyFill="1" applyBorder="1" applyAlignment="1">
      <alignment horizontal="center" vertical="center"/>
    </xf>
    <xf numFmtId="164" fontId="74" fillId="6" borderId="6" xfId="0" applyFont="1" applyFill="1" applyBorder="1" applyAlignment="1">
      <alignment horizontal="center" vertical="center"/>
    </xf>
    <xf numFmtId="164" fontId="74" fillId="6" borderId="4" xfId="0" applyFont="1" applyFill="1" applyBorder="1" applyAlignment="1">
      <alignment horizontal="center" vertical="center"/>
    </xf>
    <xf numFmtId="181" fontId="4" fillId="0" borderId="0" xfId="0" applyNumberFormat="1" applyFont="1" applyFill="1" applyBorder="1" applyAlignment="1">
      <alignment horizontal="center" vertical="center"/>
    </xf>
    <xf numFmtId="164" fontId="4" fillId="0" borderId="0" xfId="0" applyFont="1" applyFill="1" applyBorder="1" applyAlignment="1">
      <alignment horizontal="center" vertical="center" wrapText="1"/>
    </xf>
    <xf numFmtId="164" fontId="38" fillId="7" borderId="6" xfId="0" applyFont="1" applyFill="1" applyBorder="1" applyAlignment="1">
      <alignment horizontal="center" vertical="center"/>
    </xf>
    <xf numFmtId="164" fontId="38" fillId="7" borderId="12" xfId="0" applyFont="1" applyFill="1" applyBorder="1" applyAlignment="1">
      <alignment horizontal="center" vertical="center"/>
    </xf>
    <xf numFmtId="164" fontId="38" fillId="7" borderId="4" xfId="0" applyFont="1" applyFill="1" applyBorder="1" applyAlignment="1">
      <alignment horizontal="center" vertical="center"/>
    </xf>
    <xf numFmtId="164" fontId="38" fillId="7" borderId="1" xfId="0" applyFont="1" applyFill="1" applyBorder="1" applyAlignment="1">
      <alignment horizontal="center" vertical="center"/>
    </xf>
    <xf numFmtId="181" fontId="38" fillId="7" borderId="1" xfId="0" applyNumberFormat="1" applyFont="1" applyFill="1" applyBorder="1" applyAlignment="1">
      <alignment horizontal="center" vertical="center"/>
    </xf>
    <xf numFmtId="164" fontId="16" fillId="7" borderId="6" xfId="0" applyFont="1" applyFill="1" applyBorder="1" applyAlignment="1">
      <alignment horizontal="center"/>
    </xf>
    <xf numFmtId="164" fontId="16" fillId="7" borderId="12" xfId="0" applyFont="1" applyFill="1" applyBorder="1" applyAlignment="1">
      <alignment horizontal="center"/>
    </xf>
    <xf numFmtId="164" fontId="16" fillId="7" borderId="4" xfId="0" applyFont="1" applyFill="1" applyBorder="1" applyAlignment="1">
      <alignment horizontal="center"/>
    </xf>
    <xf numFmtId="164" fontId="28" fillId="7" borderId="6" xfId="0" applyFont="1" applyFill="1" applyBorder="1" applyAlignment="1">
      <alignment horizontal="center" vertical="center"/>
    </xf>
    <xf numFmtId="164" fontId="28" fillId="7" borderId="12" xfId="0" applyFont="1" applyFill="1" applyBorder="1" applyAlignment="1">
      <alignment horizontal="center" vertical="center"/>
    </xf>
    <xf numFmtId="164" fontId="28" fillId="7" borderId="4" xfId="0" applyFont="1" applyFill="1" applyBorder="1" applyAlignment="1">
      <alignment horizontal="center" vertical="center"/>
    </xf>
    <xf numFmtId="181" fontId="38" fillId="7" borderId="6" xfId="0" applyNumberFormat="1" applyFont="1" applyFill="1" applyBorder="1" applyAlignment="1">
      <alignment horizontal="center" vertical="center"/>
    </xf>
    <xf numFmtId="181" fontId="38" fillId="7" borderId="12" xfId="0" applyNumberFormat="1" applyFont="1" applyFill="1" applyBorder="1" applyAlignment="1">
      <alignment horizontal="center" vertical="center"/>
    </xf>
    <xf numFmtId="181" fontId="38" fillId="7" borderId="4" xfId="0" applyNumberFormat="1" applyFont="1" applyFill="1" applyBorder="1" applyAlignment="1">
      <alignment horizontal="center" vertical="center"/>
    </xf>
    <xf numFmtId="164" fontId="38" fillId="7" borderId="7" xfId="0" applyFont="1" applyFill="1" applyBorder="1" applyAlignment="1">
      <alignment horizontal="center" vertical="center" wrapText="1"/>
    </xf>
    <xf numFmtId="164" fontId="38" fillId="7" borderId="2" xfId="0" applyFont="1" applyFill="1" applyBorder="1" applyAlignment="1">
      <alignment horizontal="center" vertical="center" wrapText="1"/>
    </xf>
    <xf numFmtId="164" fontId="38" fillId="6" borderId="6" xfId="0" applyFont="1" applyFill="1" applyBorder="1" applyAlignment="1">
      <alignment horizontal="center" vertical="center"/>
    </xf>
    <xf numFmtId="164" fontId="38" fillId="6" borderId="12" xfId="0" applyFont="1" applyFill="1" applyBorder="1" applyAlignment="1">
      <alignment horizontal="center" vertical="center"/>
    </xf>
    <xf numFmtId="164" fontId="38" fillId="6" borderId="4" xfId="0" applyFont="1" applyFill="1" applyBorder="1" applyAlignment="1">
      <alignment horizontal="center" vertical="center"/>
    </xf>
    <xf numFmtId="181" fontId="28" fillId="0" borderId="12" xfId="0" applyNumberFormat="1" applyFont="1" applyFill="1" applyBorder="1" applyAlignment="1">
      <alignment horizontal="center"/>
    </xf>
    <xf numFmtId="181" fontId="28" fillId="0" borderId="4" xfId="0" applyNumberFormat="1" applyFont="1" applyFill="1" applyBorder="1" applyAlignment="1">
      <alignment horizontal="center"/>
    </xf>
    <xf numFmtId="164" fontId="28" fillId="0" borderId="6" xfId="0" applyFont="1" applyFill="1" applyBorder="1" applyAlignment="1">
      <alignment horizontal="center" vertical="center" wrapText="1"/>
    </xf>
    <xf numFmtId="164" fontId="28" fillId="0" borderId="12" xfId="0" applyFont="1" applyFill="1" applyBorder="1" applyAlignment="1">
      <alignment horizontal="center" vertical="center" wrapText="1"/>
    </xf>
    <xf numFmtId="164" fontId="28" fillId="0" borderId="4" xfId="0" applyFont="1" applyFill="1" applyBorder="1" applyAlignment="1">
      <alignment horizontal="center" vertical="center" wrapText="1"/>
    </xf>
    <xf numFmtId="164" fontId="28" fillId="0" borderId="6" xfId="0" applyFont="1" applyFill="1" applyBorder="1" applyAlignment="1">
      <alignment horizontal="center"/>
    </xf>
    <xf numFmtId="164" fontId="28" fillId="0" borderId="12" xfId="0" applyFont="1" applyFill="1" applyBorder="1" applyAlignment="1">
      <alignment horizontal="center"/>
    </xf>
    <xf numFmtId="164" fontId="28" fillId="0" borderId="4" xfId="0" applyFont="1" applyFill="1" applyBorder="1" applyAlignment="1">
      <alignment horizontal="center"/>
    </xf>
    <xf numFmtId="164" fontId="4" fillId="7" borderId="1" xfId="0" applyFont="1" applyFill="1" applyBorder="1" applyAlignment="1">
      <alignment horizontal="center" vertical="center" wrapText="1"/>
    </xf>
    <xf numFmtId="164" fontId="4" fillId="7" borderId="9" xfId="0" applyFont="1" applyFill="1" applyBorder="1" applyAlignment="1">
      <alignment horizontal="center" vertical="center" wrapText="1"/>
    </xf>
    <xf numFmtId="164" fontId="4" fillId="7" borderId="1" xfId="0" applyFont="1" applyFill="1" applyBorder="1" applyAlignment="1">
      <alignment horizontal="center" vertical="center"/>
    </xf>
    <xf numFmtId="164" fontId="26" fillId="7" borderId="6" xfId="0" applyFont="1" applyFill="1" applyBorder="1" applyAlignment="1">
      <alignment horizontal="center"/>
    </xf>
    <xf numFmtId="164" fontId="26" fillId="7" borderId="12" xfId="0" applyFont="1" applyFill="1" applyBorder="1" applyAlignment="1">
      <alignment horizontal="center"/>
    </xf>
    <xf numFmtId="164" fontId="26" fillId="7" borderId="4" xfId="0" applyFont="1" applyFill="1" applyBorder="1" applyAlignment="1">
      <alignment horizontal="center"/>
    </xf>
    <xf numFmtId="14" fontId="29" fillId="0" borderId="10" xfId="0" applyNumberFormat="1" applyFont="1" applyBorder="1" applyAlignment="1">
      <alignment horizontal="center"/>
    </xf>
    <xf numFmtId="164" fontId="26" fillId="21" borderId="6" xfId="0" applyFont="1" applyFill="1" applyBorder="1" applyAlignment="1">
      <alignment horizontal="center"/>
    </xf>
    <xf numFmtId="164" fontId="26" fillId="21" borderId="12" xfId="0" applyFont="1" applyFill="1" applyBorder="1" applyAlignment="1">
      <alignment horizontal="center"/>
    </xf>
    <xf numFmtId="164" fontId="26" fillId="21" borderId="4" xfId="0" applyFont="1" applyFill="1" applyBorder="1" applyAlignment="1">
      <alignment horizontal="center"/>
    </xf>
    <xf numFmtId="181" fontId="26" fillId="7" borderId="6" xfId="0" applyNumberFormat="1" applyFont="1" applyFill="1" applyBorder="1" applyAlignment="1">
      <alignment horizontal="center"/>
    </xf>
    <xf numFmtId="181" fontId="26" fillId="7" borderId="12" xfId="0" applyNumberFormat="1" applyFont="1" applyFill="1" applyBorder="1" applyAlignment="1">
      <alignment horizontal="center"/>
    </xf>
    <xf numFmtId="181" fontId="26" fillId="7" borderId="4" xfId="0" applyNumberFormat="1" applyFont="1" applyFill="1" applyBorder="1" applyAlignment="1">
      <alignment horizontal="center"/>
    </xf>
    <xf numFmtId="164" fontId="79" fillId="7" borderId="1" xfId="0" applyFont="1" applyFill="1" applyBorder="1" applyAlignment="1">
      <alignment horizontal="center" vertical="center"/>
    </xf>
    <xf numFmtId="164" fontId="79" fillId="7" borderId="7" xfId="0" applyFont="1" applyFill="1" applyBorder="1" applyAlignment="1">
      <alignment horizontal="center" vertical="center" wrapText="1"/>
    </xf>
    <xf numFmtId="164" fontId="79" fillId="7" borderId="2" xfId="0" applyFont="1" applyFill="1" applyBorder="1" applyAlignment="1">
      <alignment horizontal="center" vertical="center" wrapText="1"/>
    </xf>
  </cellXfs>
  <cellStyles count="8">
    <cellStyle name="Comma" xfId="1" builtinId="3"/>
    <cellStyle name="Currency" xfId="7" builtinId="4"/>
    <cellStyle name="General" xfId="6" xr:uid="{00000000-0005-0000-0000-000002000000}"/>
    <cellStyle name="Hyperlink" xfId="2" builtinId="8"/>
    <cellStyle name="Normal" xfId="0" builtinId="0" customBuiltin="1"/>
    <cellStyle name="Normal_AnalyteLookUp" xfId="3" xr:uid="{00000000-0005-0000-0000-000005000000}"/>
    <cellStyle name="Normal_MethodLookUp" xfId="4" xr:uid="{00000000-0005-0000-0000-000006000000}"/>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1" i="0" u="none" strike="noStrike" baseline="0">
                <a:solidFill>
                  <a:srgbClr val="000000"/>
                </a:solidFill>
                <a:latin typeface="Arial"/>
                <a:ea typeface="Arial"/>
                <a:cs typeface="Arial"/>
              </a:defRPr>
            </a:pPr>
            <a:r>
              <a:rPr lang="en-US"/>
              <a:t>Bear Creek Reservoir Chlorophyll [ug/l] Trend</a:t>
            </a:r>
          </a:p>
        </c:rich>
      </c:tx>
      <c:layout>
        <c:manualLayout>
          <c:xMode val="edge"/>
          <c:yMode val="edge"/>
          <c:x val="0.24096385542168691"/>
          <c:y val="4.065040650406504E-2"/>
        </c:manualLayout>
      </c:layout>
      <c:overlay val="0"/>
      <c:spPr>
        <a:noFill/>
        <a:ln w="25400">
          <a:noFill/>
        </a:ln>
      </c:spPr>
    </c:title>
    <c:autoTitleDeleted val="0"/>
    <c:plotArea>
      <c:layout>
        <c:manualLayout>
          <c:layoutTarget val="inner"/>
          <c:xMode val="edge"/>
          <c:yMode val="edge"/>
          <c:x val="9.6385731178093584E-2"/>
          <c:y val="0.19105766902339388"/>
          <c:w val="0.89357604946357594"/>
          <c:h val="0.60569346137203661"/>
        </c:manualLayout>
      </c:layout>
      <c:barChart>
        <c:barDir val="col"/>
        <c:grouping val="clustered"/>
        <c:varyColors val="0"/>
        <c:ser>
          <c:idx val="0"/>
          <c:order val="0"/>
          <c:tx>
            <c:strRef>
              <c:f>'Annual Reservoir Trends'!$B$4</c:f>
              <c:strCache>
                <c:ptCount val="1"/>
                <c:pt idx="0">
                  <c:v>Top</c:v>
                </c:pt>
              </c:strCache>
            </c:strRef>
          </c:tx>
          <c:spPr>
            <a:solidFill>
              <a:srgbClr val="9999FF"/>
            </a:solidFill>
            <a:ln w="12700">
              <a:solidFill>
                <a:srgbClr val="000000"/>
              </a:solidFill>
              <a:prstDash val="solid"/>
            </a:ln>
          </c:spPr>
          <c:invertIfNegative val="0"/>
          <c:trendline>
            <c:spPr>
              <a:ln w="25400">
                <a:solidFill>
                  <a:srgbClr val="000000"/>
                </a:solidFill>
                <a:prstDash val="solid"/>
              </a:ln>
            </c:spPr>
            <c:trendlineType val="poly"/>
            <c:order val="6"/>
            <c:dispRSqr val="0"/>
            <c:dispEq val="0"/>
          </c:trendline>
          <c:cat>
            <c:numRef>
              <c:f>'Annual Reservoir Trends'!$C$3:$T$3</c:f>
              <c:numCache>
                <c:formatCode>[$-409]d\-mmm;@</c:formatCode>
                <c:ptCount val="18"/>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numCache>
            </c:numRef>
          </c:cat>
          <c:val>
            <c:numRef>
              <c:f>'Annual Reservoir Trends'!$C$4:$T$4</c:f>
              <c:numCache>
                <c:formatCode>0.0</c:formatCode>
                <c:ptCount val="18"/>
                <c:pt idx="0">
                  <c:v>17.670000000000002</c:v>
                </c:pt>
                <c:pt idx="1">
                  <c:v>26.03</c:v>
                </c:pt>
                <c:pt idx="2">
                  <c:v>13.73</c:v>
                </c:pt>
                <c:pt idx="3">
                  <c:v>29.68</c:v>
                </c:pt>
                <c:pt idx="4">
                  <c:v>9.4</c:v>
                </c:pt>
                <c:pt idx="5">
                  <c:v>17.100000000000001</c:v>
                </c:pt>
                <c:pt idx="6">
                  <c:v>8.23</c:v>
                </c:pt>
                <c:pt idx="7">
                  <c:v>4.9000000000000004</c:v>
                </c:pt>
                <c:pt idx="8">
                  <c:v>6.2</c:v>
                </c:pt>
                <c:pt idx="9">
                  <c:v>23.9</c:v>
                </c:pt>
                <c:pt idx="10">
                  <c:v>24.6</c:v>
                </c:pt>
                <c:pt idx="11">
                  <c:v>15.4</c:v>
                </c:pt>
                <c:pt idx="12">
                  <c:v>14.8</c:v>
                </c:pt>
                <c:pt idx="13">
                  <c:v>6.6</c:v>
                </c:pt>
                <c:pt idx="14">
                  <c:v>15.4</c:v>
                </c:pt>
                <c:pt idx="15">
                  <c:v>9.1</c:v>
                </c:pt>
                <c:pt idx="16">
                  <c:v>9.3000000000000007</c:v>
                </c:pt>
                <c:pt idx="17">
                  <c:v>17.3</c:v>
                </c:pt>
              </c:numCache>
            </c:numRef>
          </c:val>
          <c:extLst>
            <c:ext xmlns:c16="http://schemas.microsoft.com/office/drawing/2014/chart" uri="{C3380CC4-5D6E-409C-BE32-E72D297353CC}">
              <c16:uniqueId val="{00000001-5131-4A9C-A2EF-F4D10537D619}"/>
            </c:ext>
          </c:extLst>
        </c:ser>
        <c:ser>
          <c:idx val="1"/>
          <c:order val="1"/>
          <c:tx>
            <c:strRef>
              <c:f>'Annual Reservoir Trends'!$B$5</c:f>
              <c:strCache>
                <c:ptCount val="1"/>
                <c:pt idx="0">
                  <c:v>Mid</c:v>
                </c:pt>
              </c:strCache>
            </c:strRef>
          </c:tx>
          <c:spPr>
            <a:solidFill>
              <a:srgbClr val="FFFFCC"/>
            </a:solidFill>
            <a:ln w="12700">
              <a:solidFill>
                <a:srgbClr val="000000"/>
              </a:solidFill>
              <a:prstDash val="solid"/>
            </a:ln>
          </c:spPr>
          <c:invertIfNegative val="0"/>
          <c:cat>
            <c:numRef>
              <c:f>'Annual Reservoir Trends'!$C$3:$R$3</c:f>
              <c:numCache>
                <c:formatCode>[$-409]d\-mmm;@</c:formatCode>
                <c:ptCount val="16"/>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numCache>
            </c:numRef>
          </c:cat>
          <c:val>
            <c:numRef>
              <c:f>'Annual Reservoir Trends'!$C$5:$M$5</c:f>
            </c:numRef>
          </c:val>
          <c:extLst>
            <c:ext xmlns:c16="http://schemas.microsoft.com/office/drawing/2014/chart" uri="{C3380CC4-5D6E-409C-BE32-E72D297353CC}">
              <c16:uniqueId val="{00000002-5131-4A9C-A2EF-F4D10537D619}"/>
            </c:ext>
          </c:extLst>
        </c:ser>
        <c:dLbls>
          <c:showLegendKey val="0"/>
          <c:showVal val="0"/>
          <c:showCatName val="0"/>
          <c:showSerName val="0"/>
          <c:showPercent val="0"/>
          <c:showBubbleSize val="0"/>
        </c:dLbls>
        <c:gapWidth val="150"/>
        <c:axId val="140656640"/>
        <c:axId val="140660096"/>
      </c:barChart>
      <c:dateAx>
        <c:axId val="140656640"/>
        <c:scaling>
          <c:orientation val="minMax"/>
        </c:scaling>
        <c:delete val="0"/>
        <c:axPos val="b"/>
        <c:numFmt formatCode="[$-409]d\-mmm;@" sourceLinked="1"/>
        <c:majorTickMark val="out"/>
        <c:minorTickMark val="none"/>
        <c:tickLblPos val="nextTo"/>
        <c:spPr>
          <a:ln w="3175">
            <a:solidFill>
              <a:srgbClr val="000000"/>
            </a:solidFill>
            <a:prstDash val="solid"/>
          </a:ln>
        </c:spPr>
        <c:txPr>
          <a:bodyPr rot="-2700000" vert="horz"/>
          <a:lstStyle/>
          <a:p>
            <a:pPr>
              <a:defRPr sz="800" b="1" i="0" u="none" strike="noStrike" baseline="0">
                <a:solidFill>
                  <a:srgbClr val="000000"/>
                </a:solidFill>
                <a:latin typeface="Arial"/>
                <a:ea typeface="Arial"/>
                <a:cs typeface="Arial"/>
              </a:defRPr>
            </a:pPr>
            <a:endParaRPr lang="en-US"/>
          </a:p>
        </c:txPr>
        <c:crossAx val="140660096"/>
        <c:crosses val="autoZero"/>
        <c:auto val="1"/>
        <c:lblOffset val="100"/>
        <c:baseTimeUnit val="days"/>
        <c:majorUnit val="1"/>
        <c:minorUnit val="1"/>
      </c:dateAx>
      <c:valAx>
        <c:axId val="140660096"/>
        <c:scaling>
          <c:orientation val="minMax"/>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925" b="1" i="0" u="none" strike="noStrike" baseline="0">
                <a:solidFill>
                  <a:srgbClr val="000000"/>
                </a:solidFill>
                <a:latin typeface="Arial"/>
                <a:ea typeface="Arial"/>
                <a:cs typeface="Arial"/>
              </a:defRPr>
            </a:pPr>
            <a:endParaRPr lang="en-US"/>
          </a:p>
        </c:txPr>
        <c:crossAx val="140656640"/>
        <c:crosses val="autoZero"/>
        <c:crossBetween val="between"/>
      </c:valAx>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3175">
          <a:solidFill>
            <a:srgbClr val="000000"/>
          </a:solidFill>
          <a:prstDash val="solid"/>
        </a:ln>
      </c:spPr>
    </c:plotArea>
    <c:legend>
      <c:legendPos val="r"/>
      <c:legendEntry>
        <c:idx val="0"/>
        <c:txPr>
          <a:bodyPr/>
          <a:lstStyle/>
          <a:p>
            <a:pPr>
              <a:defRPr sz="620" b="0" i="0" u="none" strike="noStrike" baseline="0">
                <a:solidFill>
                  <a:srgbClr val="000000"/>
                </a:solidFill>
                <a:latin typeface="Arial"/>
                <a:ea typeface="Arial"/>
                <a:cs typeface="Arial"/>
              </a:defRPr>
            </a:pPr>
            <a:endParaRPr lang="en-US"/>
          </a:p>
        </c:txPr>
      </c:legendEntry>
      <c:layout>
        <c:manualLayout>
          <c:xMode val="edge"/>
          <c:yMode val="edge"/>
          <c:x val="0.74899745965495113"/>
          <c:y val="0.17479760151934018"/>
          <c:w val="0.23895624492723475"/>
          <c:h val="0.18292768282015226"/>
        </c:manualLayout>
      </c:layout>
      <c:overlay val="0"/>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3175">
          <a:solidFill>
            <a:srgbClr val="000000"/>
          </a:solidFill>
          <a:prstDash val="solid"/>
        </a:ln>
      </c:spPr>
      <c:txPr>
        <a:bodyPr/>
        <a:lstStyle/>
        <a:p>
          <a:pPr>
            <a:defRPr sz="69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horizontalDpi="-2"/>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a:pPr>
            <a:r>
              <a:rPr lang="en-US"/>
              <a:t>Nitrate Distribution In Water Column</a:t>
            </a:r>
          </a:p>
        </c:rich>
      </c:tx>
      <c:layout>
        <c:manualLayout>
          <c:xMode val="edge"/>
          <c:yMode val="edge"/>
          <c:x val="0.23166023166023444"/>
          <c:y val="3.333333333333334E-2"/>
        </c:manualLayout>
      </c:layout>
      <c:overlay val="0"/>
    </c:title>
    <c:autoTitleDeleted val="0"/>
    <c:plotArea>
      <c:layout>
        <c:manualLayout>
          <c:layoutTarget val="inner"/>
          <c:xMode val="edge"/>
          <c:yMode val="edge"/>
          <c:x val="0.16023166023166022"/>
          <c:y val="0.12820566659936741"/>
          <c:w val="0.81274131274133365"/>
          <c:h val="0.71795033313143564"/>
        </c:manualLayout>
      </c:layout>
      <c:barChart>
        <c:barDir val="col"/>
        <c:grouping val="stacked"/>
        <c:varyColors val="0"/>
        <c:ser>
          <c:idx val="2"/>
          <c:order val="0"/>
          <c:tx>
            <c:strRef>
              <c:f>'Nitrate Trends'!$E$49</c:f>
              <c:strCache>
                <c:ptCount val="1"/>
                <c:pt idx="0">
                  <c:v>Reservoir Bottom</c:v>
                </c:pt>
              </c:strCache>
            </c:strRef>
          </c:tx>
          <c:invertIfNegative val="0"/>
          <c:cat>
            <c:numRef>
              <c:f>'Nitrate Trends'!$F$3:$F$24</c:f>
              <c:numCache>
                <c:formatCode>General</c:formatCode>
                <c:ptCount val="22"/>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numCache>
            </c:numRef>
          </c:cat>
          <c:val>
            <c:numRef>
              <c:f>'Nitrate Trends'!$G$49:$G$71</c:f>
              <c:numCache>
                <c:formatCode>0</c:formatCode>
                <c:ptCount val="23"/>
                <c:pt idx="0">
                  <c:v>341</c:v>
                </c:pt>
                <c:pt idx="1">
                  <c:v>228</c:v>
                </c:pt>
                <c:pt idx="2">
                  <c:v>332</c:v>
                </c:pt>
                <c:pt idx="3">
                  <c:v>308</c:v>
                </c:pt>
                <c:pt idx="4">
                  <c:v>503</c:v>
                </c:pt>
                <c:pt idx="5">
                  <c:v>560.9375</c:v>
                </c:pt>
                <c:pt idx="6">
                  <c:v>340.9935714285715</c:v>
                </c:pt>
                <c:pt idx="7">
                  <c:v>342</c:v>
                </c:pt>
                <c:pt idx="8">
                  <c:v>231</c:v>
                </c:pt>
                <c:pt idx="9">
                  <c:v>483</c:v>
                </c:pt>
                <c:pt idx="10">
                  <c:v>390</c:v>
                </c:pt>
                <c:pt idx="11">
                  <c:v>268</c:v>
                </c:pt>
                <c:pt idx="12">
                  <c:v>259</c:v>
                </c:pt>
                <c:pt idx="13">
                  <c:v>224</c:v>
                </c:pt>
                <c:pt idx="14">
                  <c:v>210</c:v>
                </c:pt>
                <c:pt idx="15">
                  <c:v>151</c:v>
                </c:pt>
                <c:pt idx="16">
                  <c:v>232</c:v>
                </c:pt>
                <c:pt idx="17">
                  <c:v>230</c:v>
                </c:pt>
                <c:pt idx="18">
                  <c:v>244</c:v>
                </c:pt>
                <c:pt idx="19">
                  <c:v>222</c:v>
                </c:pt>
                <c:pt idx="20">
                  <c:v>186</c:v>
                </c:pt>
                <c:pt idx="21">
                  <c:v>101.8</c:v>
                </c:pt>
                <c:pt idx="22">
                  <c:v>144</c:v>
                </c:pt>
              </c:numCache>
            </c:numRef>
          </c:val>
          <c:extLst>
            <c:ext xmlns:c16="http://schemas.microsoft.com/office/drawing/2014/chart" uri="{C3380CC4-5D6E-409C-BE32-E72D297353CC}">
              <c16:uniqueId val="{00000000-C3E7-4B81-A359-64040CDF8B60}"/>
            </c:ext>
          </c:extLst>
        </c:ser>
        <c:ser>
          <c:idx val="0"/>
          <c:order val="1"/>
          <c:tx>
            <c:strRef>
              <c:f>'Nitrate Trends'!$E$3</c:f>
              <c:strCache>
                <c:ptCount val="1"/>
                <c:pt idx="0">
                  <c:v>Reservoir Top</c:v>
                </c:pt>
              </c:strCache>
            </c:strRef>
          </c:tx>
          <c:invertIfNegative val="0"/>
          <c:cat>
            <c:numRef>
              <c:f>'Nitrate Trends'!$F$3:$F$25</c:f>
              <c:numCache>
                <c:formatCode>General</c:formatCode>
                <c:ptCount val="2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numCache>
            </c:numRef>
          </c:cat>
          <c:val>
            <c:numRef>
              <c:f>'Nitrate Trends'!$G$3:$G$25</c:f>
              <c:numCache>
                <c:formatCode>0</c:formatCode>
                <c:ptCount val="23"/>
                <c:pt idx="0">
                  <c:v>442</c:v>
                </c:pt>
                <c:pt idx="1">
                  <c:v>288</c:v>
                </c:pt>
                <c:pt idx="2">
                  <c:v>504</c:v>
                </c:pt>
                <c:pt idx="3">
                  <c:v>382</c:v>
                </c:pt>
                <c:pt idx="4">
                  <c:v>474</c:v>
                </c:pt>
                <c:pt idx="5">
                  <c:v>577.75</c:v>
                </c:pt>
                <c:pt idx="6">
                  <c:v>392.83071428571424</c:v>
                </c:pt>
                <c:pt idx="7">
                  <c:v>388</c:v>
                </c:pt>
                <c:pt idx="8">
                  <c:v>224</c:v>
                </c:pt>
                <c:pt idx="9">
                  <c:v>431</c:v>
                </c:pt>
                <c:pt idx="10">
                  <c:v>401</c:v>
                </c:pt>
                <c:pt idx="11">
                  <c:v>289</c:v>
                </c:pt>
                <c:pt idx="12">
                  <c:v>268</c:v>
                </c:pt>
                <c:pt idx="13">
                  <c:v>268</c:v>
                </c:pt>
                <c:pt idx="14">
                  <c:v>186</c:v>
                </c:pt>
                <c:pt idx="15">
                  <c:v>158</c:v>
                </c:pt>
                <c:pt idx="16">
                  <c:v>222</c:v>
                </c:pt>
                <c:pt idx="17">
                  <c:v>233</c:v>
                </c:pt>
                <c:pt idx="18">
                  <c:v>291</c:v>
                </c:pt>
                <c:pt idx="19">
                  <c:v>287</c:v>
                </c:pt>
                <c:pt idx="20">
                  <c:v>158</c:v>
                </c:pt>
                <c:pt idx="21">
                  <c:v>165</c:v>
                </c:pt>
                <c:pt idx="22">
                  <c:v>161</c:v>
                </c:pt>
              </c:numCache>
            </c:numRef>
          </c:val>
          <c:extLst>
            <c:ext xmlns:c16="http://schemas.microsoft.com/office/drawing/2014/chart" uri="{C3380CC4-5D6E-409C-BE32-E72D297353CC}">
              <c16:uniqueId val="{00000001-C3E7-4B81-A359-64040CDF8B60}"/>
            </c:ext>
          </c:extLst>
        </c:ser>
        <c:dLbls>
          <c:showLegendKey val="0"/>
          <c:showVal val="0"/>
          <c:showCatName val="0"/>
          <c:showSerName val="0"/>
          <c:showPercent val="0"/>
          <c:showBubbleSize val="0"/>
        </c:dLbls>
        <c:gapWidth val="70"/>
        <c:overlap val="100"/>
        <c:axId val="129859584"/>
        <c:axId val="129861120"/>
      </c:barChart>
      <c:catAx>
        <c:axId val="129859584"/>
        <c:scaling>
          <c:orientation val="minMax"/>
        </c:scaling>
        <c:delete val="0"/>
        <c:axPos val="b"/>
        <c:numFmt formatCode="General" sourceLinked="1"/>
        <c:majorTickMark val="out"/>
        <c:minorTickMark val="none"/>
        <c:tickLblPos val="nextTo"/>
        <c:txPr>
          <a:bodyPr rot="-2700000" vert="horz"/>
          <a:lstStyle/>
          <a:p>
            <a:pPr>
              <a:defRPr/>
            </a:pPr>
            <a:endParaRPr lang="en-US"/>
          </a:p>
        </c:txPr>
        <c:crossAx val="129861120"/>
        <c:crosses val="autoZero"/>
        <c:auto val="1"/>
        <c:lblAlgn val="ctr"/>
        <c:lblOffset val="100"/>
        <c:tickLblSkip val="1"/>
        <c:tickMarkSkip val="1"/>
        <c:noMultiLvlLbl val="0"/>
      </c:catAx>
      <c:valAx>
        <c:axId val="129861120"/>
        <c:scaling>
          <c:orientation val="minMax"/>
        </c:scaling>
        <c:delete val="0"/>
        <c:axPos val="l"/>
        <c:majorGridlines/>
        <c:title>
          <c:tx>
            <c:rich>
              <a:bodyPr/>
              <a:lstStyle/>
              <a:p>
                <a:pPr>
                  <a:defRPr/>
                </a:pPr>
                <a:r>
                  <a:rPr lang="en-US"/>
                  <a:t>Nitrate ug/l</a:t>
                </a:r>
              </a:p>
            </c:rich>
          </c:tx>
          <c:layout>
            <c:manualLayout>
              <c:xMode val="edge"/>
              <c:yMode val="edge"/>
              <c:x val="3.0888030888030892E-2"/>
              <c:y val="0.45384723063463217"/>
            </c:manualLayout>
          </c:layout>
          <c:overlay val="0"/>
        </c:title>
        <c:numFmt formatCode="#,##0" sourceLinked="0"/>
        <c:majorTickMark val="out"/>
        <c:minorTickMark val="none"/>
        <c:tickLblPos val="nextTo"/>
        <c:txPr>
          <a:bodyPr rot="0" vert="horz"/>
          <a:lstStyle/>
          <a:p>
            <a:pPr>
              <a:defRPr/>
            </a:pPr>
            <a:endParaRPr lang="en-US"/>
          </a:p>
        </c:txPr>
        <c:crossAx val="129859584"/>
        <c:crosses val="autoZero"/>
        <c:crossBetween val="between"/>
      </c:valAx>
    </c:plotArea>
    <c:legend>
      <c:legendPos val="t"/>
      <c:layout>
        <c:manualLayout>
          <c:xMode val="edge"/>
          <c:yMode val="edge"/>
          <c:x val="0.6460882484029119"/>
          <c:y val="0.16496148507753042"/>
          <c:w val="0.26166856501429042"/>
          <c:h val="0.12385372881021472"/>
        </c:manualLayout>
      </c:layout>
      <c:overlay val="0"/>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c:spPr>
      <c:txPr>
        <a:bodyPr/>
        <a:lstStyle/>
        <a:p>
          <a:pPr>
            <a:defRPr sz="1100"/>
          </a:pPr>
          <a:endParaRPr lang="en-US"/>
        </a:p>
      </c:txPr>
    </c:legend>
    <c:plotVisOnly val="1"/>
    <c:dispBlanksAs val="gap"/>
    <c:showDLblsOverMax val="0"/>
  </c:chart>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c:spPr>
  <c:printSettings>
    <c:headerFooter alignWithMargins="0"/>
    <c:pageMargins b="1" l="0.75000000000001465" r="0.7500000000000146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a:pPr>
            <a:r>
              <a:rPr lang="en-US" sz="1200"/>
              <a:t>Bear Creek Reservoir Annual Average
Total Phosphorus Trend</a:t>
            </a:r>
          </a:p>
        </c:rich>
      </c:tx>
      <c:layout>
        <c:manualLayout>
          <c:xMode val="edge"/>
          <c:yMode val="edge"/>
          <c:x val="0.36817643921737098"/>
          <c:y val="2.134624156731409E-3"/>
        </c:manualLayout>
      </c:layout>
      <c:overlay val="0"/>
    </c:title>
    <c:autoTitleDeleted val="0"/>
    <c:plotArea>
      <c:layout>
        <c:manualLayout>
          <c:layoutTarget val="inner"/>
          <c:xMode val="edge"/>
          <c:yMode val="edge"/>
          <c:x val="0.10815621564061741"/>
          <c:y val="0.1367294015077988"/>
          <c:w val="0.86524972512490061"/>
          <c:h val="0.7533521926213147"/>
        </c:manualLayout>
      </c:layout>
      <c:barChart>
        <c:barDir val="col"/>
        <c:grouping val="clustered"/>
        <c:varyColors val="0"/>
        <c:ser>
          <c:idx val="0"/>
          <c:order val="0"/>
          <c:tx>
            <c:strRef>
              <c:f>'Phosphorus Trends'!$A$101</c:f>
              <c:strCache>
                <c:ptCount val="1"/>
                <c:pt idx="0">
                  <c:v>Reservoir Average</c:v>
                </c:pt>
              </c:strCache>
            </c:strRef>
          </c:tx>
          <c:invertIfNegative val="0"/>
          <c:trendline>
            <c:trendlineType val="poly"/>
            <c:order val="3"/>
            <c:dispRSqr val="0"/>
            <c:dispEq val="0"/>
          </c:trendline>
          <c:cat>
            <c:numRef>
              <c:f>'Phosphorus Trends'!$B$101:$B$124</c:f>
              <c:numCache>
                <c:formatCode>General</c:formatCode>
                <c:ptCount val="2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numCache>
            </c:numRef>
          </c:cat>
          <c:val>
            <c:numRef>
              <c:f>'Phosphorus Trends'!$C$101:$C$124</c:f>
              <c:numCache>
                <c:formatCode>0</c:formatCode>
                <c:ptCount val="24"/>
                <c:pt idx="0">
                  <c:v>124.33333333333333</c:v>
                </c:pt>
                <c:pt idx="1">
                  <c:v>183.73333333333335</c:v>
                </c:pt>
                <c:pt idx="2">
                  <c:v>162.40476666666666</c:v>
                </c:pt>
                <c:pt idx="3">
                  <c:v>193</c:v>
                </c:pt>
                <c:pt idx="4">
                  <c:v>87.333333333333329</c:v>
                </c:pt>
                <c:pt idx="5">
                  <c:v>41</c:v>
                </c:pt>
                <c:pt idx="6">
                  <c:v>42.895833333333336</c:v>
                </c:pt>
                <c:pt idx="7">
                  <c:v>56.052465322207688</c:v>
                </c:pt>
                <c:pt idx="8">
                  <c:v>47.433333333333337</c:v>
                </c:pt>
                <c:pt idx="9">
                  <c:v>41.666666666666664</c:v>
                </c:pt>
                <c:pt idx="10">
                  <c:v>57.333333333333336</c:v>
                </c:pt>
                <c:pt idx="11">
                  <c:v>49.333333333333336</c:v>
                </c:pt>
                <c:pt idx="12">
                  <c:v>50.199999999999996</c:v>
                </c:pt>
                <c:pt idx="13">
                  <c:v>49.533333333333331</c:v>
                </c:pt>
                <c:pt idx="14">
                  <c:v>31.833333333333329</c:v>
                </c:pt>
                <c:pt idx="15">
                  <c:v>39</c:v>
                </c:pt>
                <c:pt idx="16" formatCode="0.0">
                  <c:v>24</c:v>
                </c:pt>
                <c:pt idx="17" formatCode="0.0">
                  <c:v>30.7</c:v>
                </c:pt>
                <c:pt idx="18">
                  <c:v>50.6</c:v>
                </c:pt>
                <c:pt idx="19">
                  <c:v>34.799999999999997</c:v>
                </c:pt>
                <c:pt idx="20">
                  <c:v>33.6</c:v>
                </c:pt>
                <c:pt idx="21">
                  <c:v>40.799999999999997</c:v>
                </c:pt>
                <c:pt idx="22">
                  <c:v>69.8</c:v>
                </c:pt>
                <c:pt idx="23">
                  <c:v>65.599999999999994</c:v>
                </c:pt>
              </c:numCache>
            </c:numRef>
          </c:val>
          <c:extLst>
            <c:ext xmlns:c16="http://schemas.microsoft.com/office/drawing/2014/chart" uri="{C3380CC4-5D6E-409C-BE32-E72D297353CC}">
              <c16:uniqueId val="{00000001-6DD7-4648-B9EA-2AA9B24AC16B}"/>
            </c:ext>
          </c:extLst>
        </c:ser>
        <c:dLbls>
          <c:showLegendKey val="0"/>
          <c:showVal val="0"/>
          <c:showCatName val="0"/>
          <c:showSerName val="0"/>
          <c:showPercent val="0"/>
          <c:showBubbleSize val="0"/>
        </c:dLbls>
        <c:gapWidth val="150"/>
        <c:axId val="129914752"/>
        <c:axId val="129916288"/>
      </c:barChart>
      <c:catAx>
        <c:axId val="129914752"/>
        <c:scaling>
          <c:orientation val="minMax"/>
        </c:scaling>
        <c:delete val="0"/>
        <c:axPos val="b"/>
        <c:numFmt formatCode="General" sourceLinked="1"/>
        <c:majorTickMark val="out"/>
        <c:minorTickMark val="none"/>
        <c:tickLblPos val="low"/>
        <c:txPr>
          <a:bodyPr rot="2460000" vert="horz"/>
          <a:lstStyle/>
          <a:p>
            <a:pPr>
              <a:defRPr sz="800"/>
            </a:pPr>
            <a:endParaRPr lang="en-US"/>
          </a:p>
        </c:txPr>
        <c:crossAx val="129916288"/>
        <c:crosses val="autoZero"/>
        <c:auto val="1"/>
        <c:lblAlgn val="ctr"/>
        <c:lblOffset val="100"/>
        <c:tickLblSkip val="1"/>
        <c:tickMarkSkip val="1"/>
        <c:noMultiLvlLbl val="0"/>
      </c:catAx>
      <c:valAx>
        <c:axId val="129916288"/>
        <c:scaling>
          <c:orientation val="minMax"/>
          <c:max val="200"/>
        </c:scaling>
        <c:delete val="0"/>
        <c:axPos val="l"/>
        <c:majorGridlines/>
        <c:minorGridlines/>
        <c:title>
          <c:tx>
            <c:rich>
              <a:bodyPr/>
              <a:lstStyle/>
              <a:p>
                <a:pPr>
                  <a:defRPr/>
                </a:pPr>
                <a:r>
                  <a:rPr lang="en-US"/>
                  <a:t>Total Phosphorus [ug/l]</a:t>
                </a:r>
              </a:p>
            </c:rich>
          </c:tx>
          <c:layout>
            <c:manualLayout>
              <c:xMode val="edge"/>
              <c:yMode val="edge"/>
              <c:x val="2.1276595744680847E-2"/>
              <c:y val="0.33512134060165588"/>
            </c:manualLayout>
          </c:layout>
          <c:overlay val="0"/>
        </c:title>
        <c:numFmt formatCode="0" sourceLinked="1"/>
        <c:majorTickMark val="out"/>
        <c:minorTickMark val="none"/>
        <c:tickLblPos val="nextTo"/>
        <c:txPr>
          <a:bodyPr rot="0" vert="horz"/>
          <a:lstStyle/>
          <a:p>
            <a:pPr>
              <a:defRPr/>
            </a:pPr>
            <a:endParaRPr lang="en-US"/>
          </a:p>
        </c:txPr>
        <c:crossAx val="129914752"/>
        <c:crosses val="autoZero"/>
        <c:crossBetween val="between"/>
      </c:valAx>
    </c:plotArea>
    <c:plotVisOnly val="1"/>
    <c:dispBlanksAs val="gap"/>
    <c:showDLblsOverMax val="0"/>
  </c:chart>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a:noFill/>
    </a:ln>
  </c:spPr>
  <c:printSettings>
    <c:headerFooter alignWithMargins="0"/>
    <c:pageMargins b="1" l="0.75000000000001465" r="0.75000000000001465" t="1" header="0.5" footer="0.5"/>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25" b="1" i="0" u="none" strike="noStrike" baseline="0">
                <a:solidFill>
                  <a:srgbClr val="000000"/>
                </a:solidFill>
                <a:latin typeface="Arial"/>
                <a:ea typeface="Arial"/>
                <a:cs typeface="Arial"/>
              </a:defRPr>
            </a:pPr>
            <a:r>
              <a:rPr lang="en-US"/>
              <a:t>Bear Creek Reservoir - Total Phosphorus Average Trends</a:t>
            </a:r>
          </a:p>
        </c:rich>
      </c:tx>
      <c:layout>
        <c:manualLayout>
          <c:xMode val="edge"/>
          <c:yMode val="edge"/>
          <c:x val="0.13982300884955737"/>
          <c:y val="4.6461465044142412E-2"/>
        </c:manualLayout>
      </c:layout>
      <c:overlay val="0"/>
      <c:spPr>
        <a:noFill/>
        <a:ln w="25400">
          <a:noFill/>
        </a:ln>
      </c:spPr>
    </c:title>
    <c:autoTitleDeleted val="0"/>
    <c:plotArea>
      <c:layout>
        <c:manualLayout>
          <c:layoutTarget val="inner"/>
          <c:xMode val="edge"/>
          <c:yMode val="edge"/>
          <c:x val="0.12212399934666029"/>
          <c:y val="0.14130434782608794"/>
          <c:w val="0.86017773452864421"/>
          <c:h val="0.69836956521739058"/>
        </c:manualLayout>
      </c:layout>
      <c:lineChart>
        <c:grouping val="standard"/>
        <c:varyColors val="0"/>
        <c:ser>
          <c:idx val="0"/>
          <c:order val="0"/>
          <c:tx>
            <c:strRef>
              <c:f>'Phosphorus Trends'!$E$76</c:f>
              <c:strCache>
                <c:ptCount val="1"/>
                <c:pt idx="0">
                  <c:v>Average Inflow</c:v>
                </c:pt>
              </c:strCache>
            </c:strRef>
          </c:tx>
          <c:spPr>
            <a:ln w="38100">
              <a:solidFill>
                <a:srgbClr val="000080"/>
              </a:solidFill>
              <a:prstDash val="solid"/>
            </a:ln>
          </c:spPr>
          <c:marker>
            <c:symbol val="none"/>
          </c:marker>
          <c:cat>
            <c:numRef>
              <c:f>'Phosphorus Trends'!$F$76:$F$99</c:f>
              <c:numCache>
                <c:formatCode>General</c:formatCode>
                <c:ptCount val="2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numCache>
            </c:numRef>
          </c:cat>
          <c:val>
            <c:numRef>
              <c:f>'Phosphorus Trends'!$G$76:$G$99</c:f>
              <c:numCache>
                <c:formatCode>0</c:formatCode>
                <c:ptCount val="24"/>
                <c:pt idx="0">
                  <c:v>435.5</c:v>
                </c:pt>
                <c:pt idx="1">
                  <c:v>325</c:v>
                </c:pt>
                <c:pt idx="2">
                  <c:v>319.5</c:v>
                </c:pt>
                <c:pt idx="3">
                  <c:v>242.5</c:v>
                </c:pt>
                <c:pt idx="4">
                  <c:v>106.5</c:v>
                </c:pt>
                <c:pt idx="5">
                  <c:v>60</c:v>
                </c:pt>
                <c:pt idx="6">
                  <c:v>37.28125</c:v>
                </c:pt>
                <c:pt idx="7">
                  <c:v>71.546519746997504</c:v>
                </c:pt>
                <c:pt idx="8">
                  <c:v>36.9</c:v>
                </c:pt>
                <c:pt idx="9">
                  <c:v>42.5</c:v>
                </c:pt>
                <c:pt idx="10">
                  <c:v>28</c:v>
                </c:pt>
                <c:pt idx="11">
                  <c:v>22</c:v>
                </c:pt>
                <c:pt idx="12">
                  <c:v>76.100000000000009</c:v>
                </c:pt>
                <c:pt idx="13">
                  <c:v>67.95</c:v>
                </c:pt>
                <c:pt idx="14">
                  <c:v>27.9</c:v>
                </c:pt>
                <c:pt idx="15">
                  <c:v>33.5</c:v>
                </c:pt>
                <c:pt idx="16">
                  <c:v>14.45</c:v>
                </c:pt>
                <c:pt idx="17">
                  <c:v>32</c:v>
                </c:pt>
                <c:pt idx="18">
                  <c:v>26.25</c:v>
                </c:pt>
                <c:pt idx="19">
                  <c:v>27.3</c:v>
                </c:pt>
                <c:pt idx="20">
                  <c:v>32.6</c:v>
                </c:pt>
                <c:pt idx="21">
                  <c:v>24.7</c:v>
                </c:pt>
                <c:pt idx="22">
                  <c:v>47</c:v>
                </c:pt>
                <c:pt idx="23">
                  <c:v>34.6</c:v>
                </c:pt>
              </c:numCache>
            </c:numRef>
          </c:val>
          <c:smooth val="0"/>
          <c:extLst>
            <c:ext xmlns:c16="http://schemas.microsoft.com/office/drawing/2014/chart" uri="{C3380CC4-5D6E-409C-BE32-E72D297353CC}">
              <c16:uniqueId val="{00000000-BBB4-4DF1-93B4-B7227E3B2FD3}"/>
            </c:ext>
          </c:extLst>
        </c:ser>
        <c:ser>
          <c:idx val="1"/>
          <c:order val="1"/>
          <c:tx>
            <c:strRef>
              <c:f>'Phosphorus Trends'!$E$101</c:f>
              <c:strCache>
                <c:ptCount val="1"/>
                <c:pt idx="0">
                  <c:v>Retained In Reservoir</c:v>
                </c:pt>
              </c:strCache>
            </c:strRef>
          </c:tx>
          <c:spPr>
            <a:ln w="25400">
              <a:solidFill>
                <a:srgbClr val="FF00FF"/>
              </a:solidFill>
              <a:prstDash val="solid"/>
            </a:ln>
          </c:spPr>
          <c:marker>
            <c:symbol val="none"/>
          </c:marker>
          <c:cat>
            <c:numRef>
              <c:f>'Phosphorus Trends'!$F$76:$F$99</c:f>
              <c:numCache>
                <c:formatCode>General</c:formatCode>
                <c:ptCount val="2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numCache>
            </c:numRef>
          </c:cat>
          <c:val>
            <c:numRef>
              <c:f>'Phosphorus Trends'!$G$101:$G$124</c:f>
              <c:numCache>
                <c:formatCode>0</c:formatCode>
                <c:ptCount val="24"/>
                <c:pt idx="0">
                  <c:v>307.5</c:v>
                </c:pt>
                <c:pt idx="1">
                  <c:v>144</c:v>
                </c:pt>
                <c:pt idx="2">
                  <c:v>162.5</c:v>
                </c:pt>
                <c:pt idx="3">
                  <c:v>65.5</c:v>
                </c:pt>
                <c:pt idx="4">
                  <c:v>14.5</c:v>
                </c:pt>
                <c:pt idx="5">
                  <c:v>24</c:v>
                </c:pt>
                <c:pt idx="6">
                  <c:v>2.34375</c:v>
                </c:pt>
                <c:pt idx="7">
                  <c:v>32.546519746997504</c:v>
                </c:pt>
                <c:pt idx="8">
                  <c:v>2.3999999999999986</c:v>
                </c:pt>
                <c:pt idx="9">
                  <c:v>7.5</c:v>
                </c:pt>
                <c:pt idx="10">
                  <c:v>-30</c:v>
                </c:pt>
                <c:pt idx="11">
                  <c:v>-24</c:v>
                </c:pt>
                <c:pt idx="12">
                  <c:v>29.20000000000001</c:v>
                </c:pt>
                <c:pt idx="13">
                  <c:v>4.6500000000000057</c:v>
                </c:pt>
                <c:pt idx="14">
                  <c:v>-2.2000000000000028</c:v>
                </c:pt>
                <c:pt idx="15">
                  <c:v>1.5</c:v>
                </c:pt>
                <c:pt idx="16">
                  <c:v>-8.3500000000000014</c:v>
                </c:pt>
                <c:pt idx="17">
                  <c:v>1</c:v>
                </c:pt>
                <c:pt idx="18">
                  <c:v>-2.75</c:v>
                </c:pt>
                <c:pt idx="19">
                  <c:v>3.1000000000000014</c:v>
                </c:pt>
                <c:pt idx="20">
                  <c:v>1.5</c:v>
                </c:pt>
                <c:pt idx="21">
                  <c:v>-14.8</c:v>
                </c:pt>
                <c:pt idx="22">
                  <c:v>-8.8999999999999986</c:v>
                </c:pt>
                <c:pt idx="23">
                  <c:v>-47.800000000000004</c:v>
                </c:pt>
              </c:numCache>
            </c:numRef>
          </c:val>
          <c:smooth val="0"/>
          <c:extLst>
            <c:ext xmlns:c16="http://schemas.microsoft.com/office/drawing/2014/chart" uri="{C3380CC4-5D6E-409C-BE32-E72D297353CC}">
              <c16:uniqueId val="{00000001-BBB4-4DF1-93B4-B7227E3B2FD3}"/>
            </c:ext>
          </c:extLst>
        </c:ser>
        <c:ser>
          <c:idx val="2"/>
          <c:order val="2"/>
          <c:tx>
            <c:strRef>
              <c:f>'Phosphorus Trends'!$A$76</c:f>
              <c:strCache>
                <c:ptCount val="1"/>
                <c:pt idx="0">
                  <c:v>Bear Creek Outflow</c:v>
                </c:pt>
              </c:strCache>
            </c:strRef>
          </c:tx>
          <c:spPr>
            <a:ln w="38100">
              <a:solidFill>
                <a:srgbClr val="FF0000"/>
              </a:solidFill>
              <a:prstDash val="solid"/>
            </a:ln>
          </c:spPr>
          <c:marker>
            <c:symbol val="none"/>
          </c:marker>
          <c:cat>
            <c:numRef>
              <c:f>'Phosphorus Trends'!$F$76:$F$99</c:f>
              <c:numCache>
                <c:formatCode>General</c:formatCode>
                <c:ptCount val="2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numCache>
            </c:numRef>
          </c:cat>
          <c:val>
            <c:numRef>
              <c:f>'Phosphorus Trends'!$C$76:$C$99</c:f>
              <c:numCache>
                <c:formatCode>0</c:formatCode>
                <c:ptCount val="24"/>
                <c:pt idx="0">
                  <c:v>128</c:v>
                </c:pt>
                <c:pt idx="1">
                  <c:v>181</c:v>
                </c:pt>
                <c:pt idx="2">
                  <c:v>157</c:v>
                </c:pt>
                <c:pt idx="3">
                  <c:v>177</c:v>
                </c:pt>
                <c:pt idx="4">
                  <c:v>92</c:v>
                </c:pt>
                <c:pt idx="5">
                  <c:v>36</c:v>
                </c:pt>
                <c:pt idx="6">
                  <c:v>34.9375</c:v>
                </c:pt>
                <c:pt idx="7">
                  <c:v>39</c:v>
                </c:pt>
                <c:pt idx="8">
                  <c:v>34.5</c:v>
                </c:pt>
                <c:pt idx="9">
                  <c:v>35</c:v>
                </c:pt>
                <c:pt idx="10">
                  <c:v>58</c:v>
                </c:pt>
                <c:pt idx="11">
                  <c:v>46</c:v>
                </c:pt>
                <c:pt idx="12">
                  <c:v>46.9</c:v>
                </c:pt>
                <c:pt idx="13">
                  <c:v>63.3</c:v>
                </c:pt>
                <c:pt idx="14">
                  <c:v>30.1</c:v>
                </c:pt>
                <c:pt idx="15">
                  <c:v>32</c:v>
                </c:pt>
                <c:pt idx="16">
                  <c:v>22.8</c:v>
                </c:pt>
                <c:pt idx="17">
                  <c:v>31</c:v>
                </c:pt>
                <c:pt idx="18">
                  <c:v>29</c:v>
                </c:pt>
                <c:pt idx="19">
                  <c:v>24.2</c:v>
                </c:pt>
                <c:pt idx="20">
                  <c:v>31.1</c:v>
                </c:pt>
                <c:pt idx="21">
                  <c:v>39.5</c:v>
                </c:pt>
                <c:pt idx="22">
                  <c:v>55.9</c:v>
                </c:pt>
                <c:pt idx="23">
                  <c:v>82.4</c:v>
                </c:pt>
              </c:numCache>
            </c:numRef>
          </c:val>
          <c:smooth val="0"/>
          <c:extLst>
            <c:ext xmlns:c16="http://schemas.microsoft.com/office/drawing/2014/chart" uri="{C3380CC4-5D6E-409C-BE32-E72D297353CC}">
              <c16:uniqueId val="{00000002-BBB4-4DF1-93B4-B7227E3B2FD3}"/>
            </c:ext>
          </c:extLst>
        </c:ser>
        <c:dLbls>
          <c:showLegendKey val="0"/>
          <c:showVal val="0"/>
          <c:showCatName val="0"/>
          <c:showSerName val="0"/>
          <c:showPercent val="0"/>
          <c:showBubbleSize val="0"/>
        </c:dLbls>
        <c:smooth val="0"/>
        <c:axId val="129968384"/>
        <c:axId val="129970176"/>
      </c:lineChart>
      <c:catAx>
        <c:axId val="129968384"/>
        <c:scaling>
          <c:orientation val="minMax"/>
        </c:scaling>
        <c:delete val="0"/>
        <c:axPos val="b"/>
        <c:numFmt formatCode="General" sourceLinked="1"/>
        <c:majorTickMark val="out"/>
        <c:minorTickMark val="none"/>
        <c:tickLblPos val="nextTo"/>
        <c:spPr>
          <a:ln w="3175">
            <a:solidFill>
              <a:srgbClr val="000000"/>
            </a:solidFill>
            <a:prstDash val="solid"/>
          </a:ln>
        </c:spPr>
        <c:txPr>
          <a:bodyPr rot="-2640000" vert="horz"/>
          <a:lstStyle/>
          <a:p>
            <a:pPr>
              <a:defRPr sz="800" b="1" i="0" u="none" strike="noStrike" baseline="0">
                <a:solidFill>
                  <a:srgbClr val="000000"/>
                </a:solidFill>
                <a:latin typeface="Arial"/>
                <a:ea typeface="Arial"/>
                <a:cs typeface="Arial"/>
              </a:defRPr>
            </a:pPr>
            <a:endParaRPr lang="en-US"/>
          </a:p>
        </c:txPr>
        <c:crossAx val="129970176"/>
        <c:crossesAt val="-50"/>
        <c:auto val="1"/>
        <c:lblAlgn val="ctr"/>
        <c:lblOffset val="100"/>
        <c:tickLblSkip val="1"/>
        <c:tickMarkSkip val="1"/>
        <c:noMultiLvlLbl val="0"/>
      </c:catAx>
      <c:valAx>
        <c:axId val="129970176"/>
        <c:scaling>
          <c:orientation val="minMax"/>
          <c:max val="500"/>
          <c:min val="-50"/>
        </c:scaling>
        <c:delete val="0"/>
        <c:axPos val="l"/>
        <c:majorGridlines>
          <c:spPr>
            <a:ln w="3175">
              <a:solidFill>
                <a:srgbClr val="000000"/>
              </a:solidFill>
              <a:prstDash val="solid"/>
            </a:ln>
          </c:spPr>
        </c:majorGridlines>
        <c:minorGridlines/>
        <c:title>
          <c:tx>
            <c:rich>
              <a:bodyPr/>
              <a:lstStyle/>
              <a:p>
                <a:pPr>
                  <a:defRPr sz="900" b="1" i="0" u="none" strike="noStrike" baseline="0">
                    <a:solidFill>
                      <a:srgbClr val="000000"/>
                    </a:solidFill>
                    <a:latin typeface="Arial"/>
                    <a:ea typeface="Arial"/>
                    <a:cs typeface="Arial"/>
                  </a:defRPr>
                </a:pPr>
                <a:r>
                  <a:rPr lang="en-US"/>
                  <a:t>Total Phosphorus [ug/l]
</a:t>
                </a:r>
              </a:p>
            </c:rich>
          </c:tx>
          <c:layout>
            <c:manualLayout>
              <c:xMode val="edge"/>
              <c:yMode val="edge"/>
              <c:x val="8.8495575221241747E-3"/>
              <c:y val="0.3070652173913043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900" b="1" i="0" u="none" strike="noStrike" baseline="0">
                <a:solidFill>
                  <a:srgbClr val="000000"/>
                </a:solidFill>
                <a:latin typeface="Arial"/>
                <a:ea typeface="Arial"/>
                <a:cs typeface="Arial"/>
              </a:defRPr>
            </a:pPr>
            <a:endParaRPr lang="en-US"/>
          </a:p>
        </c:txPr>
        <c:crossAx val="129968384"/>
        <c:crosses val="autoZero"/>
        <c:crossBetween val="between"/>
        <c:majorUnit val="50"/>
      </c:valAx>
      <c:spPr>
        <a:gradFill>
          <a:gsLst>
            <a:gs pos="0">
              <a:srgbClr val="4F81BD">
                <a:tint val="66000"/>
                <a:satMod val="160000"/>
                <a:alpha val="44000"/>
              </a:srgbClr>
            </a:gs>
            <a:gs pos="50000">
              <a:srgbClr val="4F81BD">
                <a:tint val="44500"/>
                <a:satMod val="160000"/>
              </a:srgbClr>
            </a:gs>
            <a:gs pos="100000">
              <a:srgbClr val="4F81BD">
                <a:tint val="23500"/>
                <a:satMod val="160000"/>
              </a:srgbClr>
            </a:gs>
          </a:gsLst>
          <a:lin ang="5400000" scaled="0"/>
        </a:gradFill>
        <a:ln w="3175">
          <a:solidFill>
            <a:srgbClr val="000000"/>
          </a:solidFill>
          <a:prstDash val="solid"/>
        </a:ln>
      </c:spPr>
    </c:plotArea>
    <c:legend>
      <c:legendPos val="r"/>
      <c:layout>
        <c:manualLayout>
          <c:xMode val="edge"/>
          <c:yMode val="edge"/>
          <c:x val="0.57876161939936765"/>
          <c:y val="0.20108695652173941"/>
          <c:w val="0.18863416776460254"/>
          <c:h val="0.14172401480841149"/>
        </c:manualLayout>
      </c:layout>
      <c:overlay val="0"/>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horizontalDpi="-2"/>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Bear Creek Watershed - Total Phosphorus Trends 
</a:t>
            </a:r>
          </a:p>
        </c:rich>
      </c:tx>
      <c:layout>
        <c:manualLayout>
          <c:xMode val="edge"/>
          <c:yMode val="edge"/>
          <c:x val="0.19651347068145841"/>
          <c:y val="3.4482758620689655E-2"/>
        </c:manualLayout>
      </c:layout>
      <c:overlay val="0"/>
      <c:spPr>
        <a:noFill/>
        <a:ln w="25400">
          <a:noFill/>
        </a:ln>
      </c:spPr>
    </c:title>
    <c:autoTitleDeleted val="0"/>
    <c:plotArea>
      <c:layout>
        <c:manualLayout>
          <c:layoutTarget val="inner"/>
          <c:xMode val="edge"/>
          <c:yMode val="edge"/>
          <c:x val="8.8748087692594582E-2"/>
          <c:y val="0.1285268424992079"/>
          <c:w val="0.9033287497281951"/>
          <c:h val="0.74608264670271851"/>
        </c:manualLayout>
      </c:layout>
      <c:barChart>
        <c:barDir val="col"/>
        <c:grouping val="clustered"/>
        <c:varyColors val="0"/>
        <c:ser>
          <c:idx val="0"/>
          <c:order val="0"/>
          <c:tx>
            <c:strRef>
              <c:f>'Phosphorus Trends'!$E$3</c:f>
              <c:strCache>
                <c:ptCount val="1"/>
                <c:pt idx="0">
                  <c:v>Bear Creek Inflow</c:v>
                </c:pt>
              </c:strCache>
            </c:strRef>
          </c:tx>
          <c:spPr>
            <a:solidFill>
              <a:srgbClr val="9999FF"/>
            </a:solidFill>
            <a:ln w="12700">
              <a:solidFill>
                <a:srgbClr val="000000"/>
              </a:solidFill>
              <a:prstDash val="solid"/>
            </a:ln>
          </c:spPr>
          <c:invertIfNegative val="0"/>
          <c:cat>
            <c:numRef>
              <c:f>'Phosphorus Trends'!$F$3:$F$26</c:f>
              <c:numCache>
                <c:formatCode>General</c:formatCode>
                <c:ptCount val="2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numCache>
            </c:numRef>
          </c:cat>
          <c:val>
            <c:numRef>
              <c:f>'Phosphorus Trends'!$G$3:$G$26</c:f>
              <c:numCache>
                <c:formatCode>0</c:formatCode>
                <c:ptCount val="24"/>
                <c:pt idx="0">
                  <c:v>334</c:v>
                </c:pt>
                <c:pt idx="1">
                  <c:v>267</c:v>
                </c:pt>
                <c:pt idx="2">
                  <c:v>277</c:v>
                </c:pt>
                <c:pt idx="3">
                  <c:v>216</c:v>
                </c:pt>
                <c:pt idx="4">
                  <c:v>122</c:v>
                </c:pt>
                <c:pt idx="5">
                  <c:v>73</c:v>
                </c:pt>
                <c:pt idx="6">
                  <c:v>58.5</c:v>
                </c:pt>
                <c:pt idx="7">
                  <c:v>63.093039493995008</c:v>
                </c:pt>
                <c:pt idx="8">
                  <c:v>40.799999999999997</c:v>
                </c:pt>
                <c:pt idx="9">
                  <c:v>38</c:v>
                </c:pt>
                <c:pt idx="10">
                  <c:v>37</c:v>
                </c:pt>
                <c:pt idx="11">
                  <c:v>22</c:v>
                </c:pt>
                <c:pt idx="12">
                  <c:v>137.30000000000001</c:v>
                </c:pt>
                <c:pt idx="13">
                  <c:v>113.3</c:v>
                </c:pt>
                <c:pt idx="14">
                  <c:v>34.1</c:v>
                </c:pt>
                <c:pt idx="15">
                  <c:v>44</c:v>
                </c:pt>
                <c:pt idx="16">
                  <c:v>21.3</c:v>
                </c:pt>
                <c:pt idx="17">
                  <c:v>41</c:v>
                </c:pt>
                <c:pt idx="18">
                  <c:v>37.700000000000003</c:v>
                </c:pt>
                <c:pt idx="19">
                  <c:v>19.100000000000001</c:v>
                </c:pt>
                <c:pt idx="20">
                  <c:v>45.9</c:v>
                </c:pt>
                <c:pt idx="21">
                  <c:v>36.9</c:v>
                </c:pt>
                <c:pt idx="22">
                  <c:v>61.7</c:v>
                </c:pt>
                <c:pt idx="23">
                  <c:v>47.4</c:v>
                </c:pt>
              </c:numCache>
            </c:numRef>
          </c:val>
          <c:extLst>
            <c:ext xmlns:c16="http://schemas.microsoft.com/office/drawing/2014/chart" uri="{C3380CC4-5D6E-409C-BE32-E72D297353CC}">
              <c16:uniqueId val="{00000000-F638-4F77-A8B4-6F2CC32005D2}"/>
            </c:ext>
          </c:extLst>
        </c:ser>
        <c:ser>
          <c:idx val="1"/>
          <c:order val="1"/>
          <c:tx>
            <c:strRef>
              <c:f>'Phosphorus Trends'!$E$49</c:f>
              <c:strCache>
                <c:ptCount val="1"/>
                <c:pt idx="0">
                  <c:v>Turkey Creek Inflow</c:v>
                </c:pt>
              </c:strCache>
            </c:strRef>
          </c:tx>
          <c:spPr>
            <a:solidFill>
              <a:srgbClr val="993366"/>
            </a:solidFill>
            <a:ln w="12700">
              <a:solidFill>
                <a:srgbClr val="000000"/>
              </a:solidFill>
              <a:prstDash val="solid"/>
            </a:ln>
          </c:spPr>
          <c:invertIfNegative val="0"/>
          <c:cat>
            <c:numRef>
              <c:f>'Phosphorus Trends'!$F$3:$F$26</c:f>
              <c:numCache>
                <c:formatCode>General</c:formatCode>
                <c:ptCount val="2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numCache>
            </c:numRef>
          </c:cat>
          <c:val>
            <c:numRef>
              <c:f>'Phosphorus Trends'!$G$49:$G$72</c:f>
              <c:numCache>
                <c:formatCode>0</c:formatCode>
                <c:ptCount val="24"/>
                <c:pt idx="0" formatCode="0.0">
                  <c:v>537</c:v>
                </c:pt>
                <c:pt idx="1">
                  <c:v>383</c:v>
                </c:pt>
                <c:pt idx="2">
                  <c:v>362</c:v>
                </c:pt>
                <c:pt idx="3">
                  <c:v>269</c:v>
                </c:pt>
                <c:pt idx="4">
                  <c:v>91</c:v>
                </c:pt>
                <c:pt idx="5">
                  <c:v>47</c:v>
                </c:pt>
                <c:pt idx="6">
                  <c:v>16.0625</c:v>
                </c:pt>
                <c:pt idx="7" formatCode="0.0_)">
                  <c:v>80</c:v>
                </c:pt>
                <c:pt idx="8" formatCode="0.0_)">
                  <c:v>33</c:v>
                </c:pt>
                <c:pt idx="9" formatCode="0.0_)">
                  <c:v>47</c:v>
                </c:pt>
                <c:pt idx="10" formatCode="0.0_)">
                  <c:v>19</c:v>
                </c:pt>
                <c:pt idx="11" formatCode="0.0_)">
                  <c:v>22</c:v>
                </c:pt>
                <c:pt idx="12" formatCode="0.0_)">
                  <c:v>14.9</c:v>
                </c:pt>
                <c:pt idx="13" formatCode="0.0_)">
                  <c:v>22.6</c:v>
                </c:pt>
                <c:pt idx="14" formatCode="0.0_)">
                  <c:v>21.7</c:v>
                </c:pt>
                <c:pt idx="15" formatCode="0.0_)">
                  <c:v>23</c:v>
                </c:pt>
                <c:pt idx="16" formatCode="0.0_)">
                  <c:v>7.6</c:v>
                </c:pt>
                <c:pt idx="17" formatCode="0.0_)">
                  <c:v>23</c:v>
                </c:pt>
                <c:pt idx="18" formatCode="0.0_)">
                  <c:v>14.8</c:v>
                </c:pt>
                <c:pt idx="19" formatCode="0.0_)">
                  <c:v>35.5</c:v>
                </c:pt>
                <c:pt idx="20" formatCode="0.0_)">
                  <c:v>19.3</c:v>
                </c:pt>
                <c:pt idx="21" formatCode="0.0_)">
                  <c:v>12.5</c:v>
                </c:pt>
                <c:pt idx="22" formatCode="0.0_)">
                  <c:v>32.299999999999997</c:v>
                </c:pt>
                <c:pt idx="23" formatCode="0.0_)">
                  <c:v>21.8</c:v>
                </c:pt>
              </c:numCache>
            </c:numRef>
          </c:val>
          <c:extLst>
            <c:ext xmlns:c16="http://schemas.microsoft.com/office/drawing/2014/chart" uri="{C3380CC4-5D6E-409C-BE32-E72D297353CC}">
              <c16:uniqueId val="{00000001-F638-4F77-A8B4-6F2CC32005D2}"/>
            </c:ext>
          </c:extLst>
        </c:ser>
        <c:dLbls>
          <c:showLegendKey val="0"/>
          <c:showVal val="0"/>
          <c:showCatName val="0"/>
          <c:showSerName val="0"/>
          <c:showPercent val="0"/>
          <c:showBubbleSize val="0"/>
        </c:dLbls>
        <c:gapWidth val="150"/>
        <c:axId val="129998848"/>
        <c:axId val="130000384"/>
      </c:barChart>
      <c:catAx>
        <c:axId val="1299988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30000384"/>
        <c:crosses val="autoZero"/>
        <c:auto val="1"/>
        <c:lblAlgn val="ctr"/>
        <c:lblOffset val="100"/>
        <c:tickLblSkip val="1"/>
        <c:tickMarkSkip val="1"/>
        <c:noMultiLvlLbl val="0"/>
      </c:catAx>
      <c:valAx>
        <c:axId val="130000384"/>
        <c:scaling>
          <c:orientation val="minMax"/>
        </c:scaling>
        <c:delete val="0"/>
        <c:axPos val="l"/>
        <c:majorGridlines>
          <c:spPr>
            <a:ln w="3175">
              <a:solidFill>
                <a:srgbClr val="000000"/>
              </a:solidFill>
              <a:prstDash val="solid"/>
            </a:ln>
          </c:spPr>
        </c:majorGridlines>
        <c:minorGridlines/>
        <c:title>
          <c:tx>
            <c:rich>
              <a:bodyPr/>
              <a:lstStyle/>
              <a:p>
                <a:pPr>
                  <a:defRPr sz="1150" b="1" i="0" u="none" strike="noStrike" baseline="0">
                    <a:solidFill>
                      <a:srgbClr val="000000"/>
                    </a:solidFill>
                    <a:latin typeface="Arial"/>
                    <a:ea typeface="Arial"/>
                    <a:cs typeface="Arial"/>
                  </a:defRPr>
                </a:pPr>
                <a:r>
                  <a:rPr lang="en-US"/>
                  <a:t>Total Phosphorus [ug/l]</a:t>
                </a:r>
              </a:p>
            </c:rich>
          </c:tx>
          <c:layout>
            <c:manualLayout>
              <c:xMode val="edge"/>
              <c:yMode val="edge"/>
              <c:x val="7.9239302694136312E-3"/>
              <c:y val="0.2351100469808045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9998848"/>
        <c:crosses val="autoZero"/>
        <c:crossBetween val="between"/>
      </c:valAx>
      <c:spPr>
        <a:gradFill>
          <a:gsLst>
            <a:gs pos="0">
              <a:srgbClr val="4F81BD">
                <a:tint val="66000"/>
                <a:satMod val="160000"/>
                <a:alpha val="44000"/>
              </a:srgbClr>
            </a:gs>
            <a:gs pos="50000">
              <a:srgbClr val="4F81BD">
                <a:tint val="44500"/>
                <a:satMod val="160000"/>
              </a:srgbClr>
            </a:gs>
            <a:gs pos="100000">
              <a:srgbClr val="4F81BD">
                <a:tint val="23500"/>
                <a:satMod val="160000"/>
              </a:srgbClr>
            </a:gs>
          </a:gsLst>
          <a:lin ang="5400000" scaled="0"/>
        </a:gradFill>
        <a:ln w="3175">
          <a:solidFill>
            <a:srgbClr val="000000"/>
          </a:solidFill>
          <a:prstDash val="solid"/>
        </a:ln>
      </c:spPr>
    </c:plotArea>
    <c:legend>
      <c:legendPos val="r"/>
      <c:layout>
        <c:manualLayout>
          <c:xMode val="edge"/>
          <c:yMode val="edge"/>
          <c:x val="0.71828985998855865"/>
          <c:y val="0.14768951218375787"/>
          <c:w val="0.22345499997920226"/>
          <c:h val="0.14360961458765023"/>
        </c:manualLayout>
      </c:layout>
      <c:overlay val="0"/>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25400">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6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a:pPr>
            <a:r>
              <a:rPr lang="en-US"/>
              <a:t>Total Phosphorus Distributon In Water Column</a:t>
            </a:r>
          </a:p>
        </c:rich>
      </c:tx>
      <c:layout>
        <c:manualLayout>
          <c:xMode val="edge"/>
          <c:yMode val="edge"/>
          <c:x val="0.21894409937889764"/>
          <c:y val="3.333333333333334E-2"/>
        </c:manualLayout>
      </c:layout>
      <c:overlay val="0"/>
    </c:title>
    <c:autoTitleDeleted val="0"/>
    <c:plotArea>
      <c:layout>
        <c:manualLayout>
          <c:layoutTarget val="inner"/>
          <c:xMode val="edge"/>
          <c:yMode val="edge"/>
          <c:x val="0.13899613899615479"/>
          <c:y val="0.11794925634295711"/>
          <c:w val="0.83397683397683464"/>
          <c:h val="0.68557486917908861"/>
        </c:manualLayout>
      </c:layout>
      <c:barChart>
        <c:barDir val="col"/>
        <c:grouping val="stacked"/>
        <c:varyColors val="0"/>
        <c:ser>
          <c:idx val="2"/>
          <c:order val="0"/>
          <c:tx>
            <c:strRef>
              <c:f>'Phosphorus Trends'!$A$3</c:f>
              <c:strCache>
                <c:ptCount val="1"/>
                <c:pt idx="0">
                  <c:v>Reservoir Bottom</c:v>
                </c:pt>
              </c:strCache>
            </c:strRef>
          </c:tx>
          <c:invertIfNegative val="0"/>
          <c:cat>
            <c:numRef>
              <c:f>'Phosphorus Trends'!$B$49:$B$72</c:f>
              <c:numCache>
                <c:formatCode>General</c:formatCode>
                <c:ptCount val="2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numCache>
            </c:numRef>
          </c:cat>
          <c:val>
            <c:numRef>
              <c:f>'Phosphorus Trends'!$C$3:$C$26</c:f>
              <c:numCache>
                <c:formatCode>0</c:formatCode>
                <c:ptCount val="24"/>
                <c:pt idx="0">
                  <c:v>119.5</c:v>
                </c:pt>
                <c:pt idx="1">
                  <c:v>270</c:v>
                </c:pt>
                <c:pt idx="2">
                  <c:v>201</c:v>
                </c:pt>
                <c:pt idx="3">
                  <c:v>240</c:v>
                </c:pt>
                <c:pt idx="4">
                  <c:v>100</c:v>
                </c:pt>
                <c:pt idx="5">
                  <c:v>52</c:v>
                </c:pt>
                <c:pt idx="6">
                  <c:v>66.1875</c:v>
                </c:pt>
                <c:pt idx="7">
                  <c:v>85.579818007202547</c:v>
                </c:pt>
                <c:pt idx="8">
                  <c:v>69.2</c:v>
                </c:pt>
                <c:pt idx="9">
                  <c:v>54</c:v>
                </c:pt>
                <c:pt idx="10">
                  <c:v>56</c:v>
                </c:pt>
                <c:pt idx="11">
                  <c:v>64</c:v>
                </c:pt>
                <c:pt idx="12">
                  <c:v>55.5</c:v>
                </c:pt>
                <c:pt idx="13">
                  <c:v>52.9</c:v>
                </c:pt>
                <c:pt idx="14">
                  <c:v>44.3</c:v>
                </c:pt>
                <c:pt idx="15">
                  <c:v>47</c:v>
                </c:pt>
                <c:pt idx="16">
                  <c:v>26</c:v>
                </c:pt>
                <c:pt idx="17">
                  <c:v>31</c:v>
                </c:pt>
                <c:pt idx="18">
                  <c:v>62.2</c:v>
                </c:pt>
                <c:pt idx="19">
                  <c:v>35.299999999999997</c:v>
                </c:pt>
                <c:pt idx="20">
                  <c:v>38.9</c:v>
                </c:pt>
                <c:pt idx="21">
                  <c:v>47.9</c:v>
                </c:pt>
                <c:pt idx="22">
                  <c:v>69.8</c:v>
                </c:pt>
                <c:pt idx="23">
                  <c:v>59.8</c:v>
                </c:pt>
              </c:numCache>
            </c:numRef>
          </c:val>
          <c:extLst>
            <c:ext xmlns:c16="http://schemas.microsoft.com/office/drawing/2014/chart" uri="{C3380CC4-5D6E-409C-BE32-E72D297353CC}">
              <c16:uniqueId val="{00000000-8250-4EA9-8BF4-D974DEED414A}"/>
            </c:ext>
          </c:extLst>
        </c:ser>
        <c:ser>
          <c:idx val="0"/>
          <c:order val="1"/>
          <c:tx>
            <c:strRef>
              <c:f>'Phosphorus Trends'!$A$49</c:f>
              <c:strCache>
                <c:ptCount val="1"/>
                <c:pt idx="0">
                  <c:v>Reservoir Top</c:v>
                </c:pt>
              </c:strCache>
            </c:strRef>
          </c:tx>
          <c:invertIfNegative val="0"/>
          <c:val>
            <c:numRef>
              <c:f>'Phosphorus Trends'!$C$49:$C$72</c:f>
              <c:numCache>
                <c:formatCode>0</c:formatCode>
                <c:ptCount val="24"/>
                <c:pt idx="0">
                  <c:v>129</c:v>
                </c:pt>
                <c:pt idx="1">
                  <c:v>144</c:v>
                </c:pt>
                <c:pt idx="2">
                  <c:v>146</c:v>
                </c:pt>
                <c:pt idx="3">
                  <c:v>175</c:v>
                </c:pt>
                <c:pt idx="4">
                  <c:v>83</c:v>
                </c:pt>
                <c:pt idx="5">
                  <c:v>34</c:v>
                </c:pt>
                <c:pt idx="6">
                  <c:v>29.4375</c:v>
                </c:pt>
                <c:pt idx="7" formatCode="0.0_)">
                  <c:v>38</c:v>
                </c:pt>
                <c:pt idx="8" formatCode="0.0_)">
                  <c:v>33.299999999999997</c:v>
                </c:pt>
                <c:pt idx="9" formatCode="0.0_)">
                  <c:v>34</c:v>
                </c:pt>
                <c:pt idx="10" formatCode="0.0_)">
                  <c:v>59</c:v>
                </c:pt>
                <c:pt idx="11" formatCode="0.0_)">
                  <c:v>42</c:v>
                </c:pt>
                <c:pt idx="12" formatCode="0.0_)">
                  <c:v>46.1</c:v>
                </c:pt>
                <c:pt idx="13" formatCode="0.0_)">
                  <c:v>49.1</c:v>
                </c:pt>
                <c:pt idx="14" formatCode="0.0_)">
                  <c:v>24.3</c:v>
                </c:pt>
                <c:pt idx="15" formatCode="0.0_)">
                  <c:v>33</c:v>
                </c:pt>
                <c:pt idx="16" formatCode="0.0_)">
                  <c:v>21.6</c:v>
                </c:pt>
                <c:pt idx="17" formatCode="0.0_)">
                  <c:v>30</c:v>
                </c:pt>
                <c:pt idx="18" formatCode="0.0_)">
                  <c:v>39.799999999999997</c:v>
                </c:pt>
                <c:pt idx="19" formatCode="0.0_)">
                  <c:v>34.200000000000003</c:v>
                </c:pt>
                <c:pt idx="20" formatCode="0.0_)">
                  <c:v>28.3</c:v>
                </c:pt>
                <c:pt idx="21" formatCode="0.0_)">
                  <c:v>33.700000000000003</c:v>
                </c:pt>
                <c:pt idx="22" formatCode="0.0_)">
                  <c:v>53.4</c:v>
                </c:pt>
                <c:pt idx="23" formatCode="0.0_)">
                  <c:v>71.400000000000006</c:v>
                </c:pt>
              </c:numCache>
            </c:numRef>
          </c:val>
          <c:extLst>
            <c:ext xmlns:c16="http://schemas.microsoft.com/office/drawing/2014/chart" uri="{C3380CC4-5D6E-409C-BE32-E72D297353CC}">
              <c16:uniqueId val="{00000001-8250-4EA9-8BF4-D974DEED414A}"/>
            </c:ext>
          </c:extLst>
        </c:ser>
        <c:dLbls>
          <c:showLegendKey val="0"/>
          <c:showVal val="0"/>
          <c:showCatName val="0"/>
          <c:showSerName val="0"/>
          <c:showPercent val="0"/>
          <c:showBubbleSize val="0"/>
        </c:dLbls>
        <c:gapWidth val="150"/>
        <c:overlap val="100"/>
        <c:axId val="130013056"/>
        <c:axId val="130014592"/>
      </c:barChart>
      <c:catAx>
        <c:axId val="130013056"/>
        <c:scaling>
          <c:orientation val="minMax"/>
        </c:scaling>
        <c:delete val="0"/>
        <c:axPos val="b"/>
        <c:numFmt formatCode="General" sourceLinked="1"/>
        <c:majorTickMark val="out"/>
        <c:minorTickMark val="none"/>
        <c:tickLblPos val="nextTo"/>
        <c:txPr>
          <a:bodyPr rot="-5400000" vert="horz"/>
          <a:lstStyle/>
          <a:p>
            <a:pPr>
              <a:defRPr/>
            </a:pPr>
            <a:endParaRPr lang="en-US"/>
          </a:p>
        </c:txPr>
        <c:crossAx val="130014592"/>
        <c:crosses val="autoZero"/>
        <c:auto val="1"/>
        <c:lblAlgn val="ctr"/>
        <c:lblOffset val="100"/>
        <c:tickLblSkip val="1"/>
        <c:tickMarkSkip val="1"/>
        <c:noMultiLvlLbl val="0"/>
      </c:catAx>
      <c:valAx>
        <c:axId val="130014592"/>
        <c:scaling>
          <c:orientation val="minMax"/>
        </c:scaling>
        <c:delete val="0"/>
        <c:axPos val="l"/>
        <c:majorGridlines/>
        <c:minorGridlines/>
        <c:title>
          <c:tx>
            <c:rich>
              <a:bodyPr/>
              <a:lstStyle/>
              <a:p>
                <a:pPr>
                  <a:defRPr/>
                </a:pPr>
                <a:r>
                  <a:rPr lang="en-US"/>
                  <a:t>Total Phosphorus ug/l</a:t>
                </a:r>
              </a:p>
            </c:rich>
          </c:tx>
          <c:layout>
            <c:manualLayout>
              <c:xMode val="edge"/>
              <c:yMode val="edge"/>
              <c:x val="3.7099166951957092E-2"/>
              <c:y val="0.21503062117235391"/>
            </c:manualLayout>
          </c:layout>
          <c:overlay val="0"/>
        </c:title>
        <c:numFmt formatCode="0" sourceLinked="1"/>
        <c:majorTickMark val="out"/>
        <c:minorTickMark val="none"/>
        <c:tickLblPos val="nextTo"/>
        <c:txPr>
          <a:bodyPr rot="0" vert="horz"/>
          <a:lstStyle/>
          <a:p>
            <a:pPr>
              <a:defRPr/>
            </a:pPr>
            <a:endParaRPr lang="en-US"/>
          </a:p>
        </c:txPr>
        <c:crossAx val="130013056"/>
        <c:crosses val="autoZero"/>
        <c:crossBetween val="between"/>
      </c:valAx>
    </c:plotArea>
    <c:legend>
      <c:legendPos val="t"/>
      <c:layout>
        <c:manualLayout>
          <c:xMode val="edge"/>
          <c:yMode val="edge"/>
          <c:x val="0.68951614907531178"/>
          <c:y val="0.16643748799693459"/>
          <c:w val="0.24699525902160913"/>
          <c:h val="0.12554118559014427"/>
        </c:manualLayout>
      </c:layout>
      <c:overlay val="0"/>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c:spPr>
      <c:txPr>
        <a:bodyPr/>
        <a:lstStyle/>
        <a:p>
          <a:pPr>
            <a:defRPr sz="1050"/>
          </a:pPr>
          <a:endParaRPr lang="en-US"/>
        </a:p>
      </c:txPr>
    </c:legend>
    <c:plotVisOnly val="1"/>
    <c:dispBlanksAs val="gap"/>
    <c:showDLblsOverMax val="0"/>
  </c:chart>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c:spPr>
  <c:printSettings>
    <c:headerFooter alignWithMargins="0"/>
    <c:pageMargins b="1" l="0.75000000000001465" r="0.75000000000001465" t="1" header="0.5" footer="0.5"/>
    <c:pageSetup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sz="1000"/>
              <a:t>2013 Total Suspended Sediment Load into Reservoir</a:t>
            </a:r>
          </a:p>
        </c:rich>
      </c:tx>
      <c:overlay val="0"/>
      <c:spPr>
        <a:noFill/>
        <a:ln w="25400">
          <a:noFill/>
        </a:ln>
      </c:spPr>
    </c:title>
    <c:autoTitleDeleted val="0"/>
    <c:plotArea>
      <c:layout>
        <c:manualLayout>
          <c:layoutTarget val="inner"/>
          <c:xMode val="edge"/>
          <c:yMode val="edge"/>
          <c:x val="0.24454407320110574"/>
          <c:y val="0.15498154981550041"/>
          <c:w val="0.75545592679890061"/>
          <c:h val="0.59710608129700815"/>
        </c:manualLayout>
      </c:layout>
      <c:lineChart>
        <c:grouping val="standard"/>
        <c:varyColors val="0"/>
        <c:ser>
          <c:idx val="0"/>
          <c:order val="0"/>
          <c:tx>
            <c:strRef>
              <c:f>Loading!$A$59</c:f>
              <c:strCache>
                <c:ptCount val="1"/>
                <c:pt idx="0">
                  <c:v>Site 15a-Bear Creek Inflow</c:v>
                </c:pt>
              </c:strCache>
            </c:strRef>
          </c:tx>
          <c:spPr>
            <a:ln w="38100">
              <a:solidFill>
                <a:srgbClr val="000080"/>
              </a:solidFill>
              <a:prstDash val="solid"/>
            </a:ln>
          </c:spPr>
          <c:marker>
            <c:symbol val="diamond"/>
            <c:size val="9"/>
            <c:spPr>
              <a:solidFill>
                <a:srgbClr val="000080"/>
              </a:solidFill>
              <a:ln>
                <a:solidFill>
                  <a:srgbClr val="000080"/>
                </a:solidFill>
                <a:prstDash val="solid"/>
              </a:ln>
            </c:spPr>
          </c:marker>
          <c:cat>
            <c:strRef>
              <c:f>Loading!$B$3:$M$3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Loading!$B$59:$M$59</c:f>
              <c:numCache>
                <c:formatCode>#,##0</c:formatCode>
                <c:ptCount val="12"/>
                <c:pt idx="0">
                  <c:v>16397.955084797999</c:v>
                </c:pt>
                <c:pt idx="1">
                  <c:v>1643.2718411340002</c:v>
                </c:pt>
                <c:pt idx="2">
                  <c:v>2117.161102392</c:v>
                </c:pt>
                <c:pt idx="3">
                  <c:v>12453.888837600001</c:v>
                </c:pt>
                <c:pt idx="4">
                  <c:v>213499.82851142401</c:v>
                </c:pt>
                <c:pt idx="5">
                  <c:v>24745.786405200004</c:v>
                </c:pt>
                <c:pt idx="6">
                  <c:v>13193.924355759</c:v>
                </c:pt>
                <c:pt idx="7">
                  <c:v>68944.285018859257</c:v>
                </c:pt>
                <c:pt idx="8">
                  <c:v>1158683.0564925</c:v>
                </c:pt>
                <c:pt idx="9">
                  <c:v>313858.08562500001</c:v>
                </c:pt>
                <c:pt idx="10">
                  <c:v>9602.8424856000001</c:v>
                </c:pt>
                <c:pt idx="11">
                  <c:v>34649.932653000003</c:v>
                </c:pt>
              </c:numCache>
            </c:numRef>
          </c:val>
          <c:smooth val="0"/>
          <c:extLst>
            <c:ext xmlns:c16="http://schemas.microsoft.com/office/drawing/2014/chart" uri="{C3380CC4-5D6E-409C-BE32-E72D297353CC}">
              <c16:uniqueId val="{00000000-6CB4-4A2B-9A67-BA7E30D47131}"/>
            </c:ext>
          </c:extLst>
        </c:ser>
        <c:ser>
          <c:idx val="1"/>
          <c:order val="1"/>
          <c:tx>
            <c:strRef>
              <c:f>Loading!$A$58</c:f>
              <c:strCache>
                <c:ptCount val="1"/>
                <c:pt idx="0">
                  <c:v>Site 16a-Turkey Creek Inflow</c:v>
                </c:pt>
              </c:strCache>
            </c:strRef>
          </c:tx>
          <c:spPr>
            <a:ln w="38100">
              <a:solidFill>
                <a:srgbClr val="FF00FF"/>
              </a:solidFill>
              <a:prstDash val="solid"/>
            </a:ln>
          </c:spPr>
          <c:marker>
            <c:symbol val="square"/>
            <c:size val="3"/>
            <c:spPr>
              <a:solidFill>
                <a:srgbClr val="FF00FF"/>
              </a:solidFill>
              <a:ln>
                <a:solidFill>
                  <a:srgbClr val="FF00FF"/>
                </a:solidFill>
                <a:prstDash val="solid"/>
              </a:ln>
            </c:spPr>
          </c:marker>
          <c:cat>
            <c:strRef>
              <c:f>Loading!$B$3:$M$3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Loading!$B$58:$M$58</c:f>
              <c:numCache>
                <c:formatCode>#,##0</c:formatCode>
                <c:ptCount val="12"/>
                <c:pt idx="0">
                  <c:v>5918.9450174400017</c:v>
                </c:pt>
                <c:pt idx="1">
                  <c:v>3302.5160214900002</c:v>
                </c:pt>
                <c:pt idx="2">
                  <c:v>1628.3794437120002</c:v>
                </c:pt>
                <c:pt idx="3">
                  <c:v>1916.6807066400004</c:v>
                </c:pt>
                <c:pt idx="4">
                  <c:v>40450.030075349998</c:v>
                </c:pt>
                <c:pt idx="5">
                  <c:v>401.73834960000005</c:v>
                </c:pt>
                <c:pt idx="6">
                  <c:v>4005.4568887462506</c:v>
                </c:pt>
                <c:pt idx="7">
                  <c:v>793.09845850200008</c:v>
                </c:pt>
                <c:pt idx="8">
                  <c:v>173020.36462231501</c:v>
                </c:pt>
                <c:pt idx="9">
                  <c:v>1412.7798627599998</c:v>
                </c:pt>
                <c:pt idx="10">
                  <c:v>149.03196840000001</c:v>
                </c:pt>
                <c:pt idx="11">
                  <c:v>562.43368944000008</c:v>
                </c:pt>
              </c:numCache>
            </c:numRef>
          </c:val>
          <c:smooth val="0"/>
          <c:extLst>
            <c:ext xmlns:c16="http://schemas.microsoft.com/office/drawing/2014/chart" uri="{C3380CC4-5D6E-409C-BE32-E72D297353CC}">
              <c16:uniqueId val="{00000001-6CB4-4A2B-9A67-BA7E30D47131}"/>
            </c:ext>
          </c:extLst>
        </c:ser>
        <c:dLbls>
          <c:showLegendKey val="0"/>
          <c:showVal val="0"/>
          <c:showCatName val="0"/>
          <c:showSerName val="0"/>
          <c:showPercent val="0"/>
          <c:showBubbleSize val="0"/>
        </c:dLbls>
        <c:marker val="1"/>
        <c:smooth val="0"/>
        <c:axId val="130092032"/>
        <c:axId val="130114688"/>
      </c:lineChart>
      <c:catAx>
        <c:axId val="13009203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30114688"/>
        <c:crosses val="autoZero"/>
        <c:auto val="1"/>
        <c:lblAlgn val="ctr"/>
        <c:lblOffset val="100"/>
        <c:tickLblSkip val="1"/>
        <c:tickMarkSkip val="1"/>
        <c:noMultiLvlLbl val="0"/>
      </c:catAx>
      <c:valAx>
        <c:axId val="130114688"/>
        <c:scaling>
          <c:orientation val="minMax"/>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Total TSS Load (Pounds)</a:t>
                </a:r>
              </a:p>
            </c:rich>
          </c:tx>
          <c:layout>
            <c:manualLayout>
              <c:xMode val="edge"/>
              <c:yMode val="edge"/>
              <c:x val="0.13027941021904627"/>
              <c:y val="0.11165257479346447"/>
            </c:manualLayout>
          </c:layout>
          <c:overlay val="0"/>
          <c:spPr>
            <a:noFill/>
            <a:ln w="25400">
              <a:noFill/>
            </a:ln>
          </c:spPr>
        </c:title>
        <c:numFmt formatCode="#,##0" sourceLinked="1"/>
        <c:majorTickMark val="none"/>
        <c:minorTickMark val="none"/>
        <c:tickLblPos val="nextTo"/>
        <c:spPr>
          <a:gradFill>
            <a:gsLst>
              <a:gs pos="0">
                <a:srgbClr val="4F81BD">
                  <a:tint val="66000"/>
                  <a:satMod val="160000"/>
                  <a:alpha val="51000"/>
                </a:srgbClr>
              </a:gs>
              <a:gs pos="50000">
                <a:srgbClr val="4F81BD">
                  <a:tint val="44500"/>
                  <a:satMod val="160000"/>
                </a:srgbClr>
              </a:gs>
              <a:gs pos="100000">
                <a:srgbClr val="4F81BD">
                  <a:tint val="23500"/>
                  <a:satMod val="160000"/>
                </a:srgbClr>
              </a:gs>
            </a:gsLst>
            <a:lin ang="5400000" scaled="0"/>
          </a:gradFill>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30092032"/>
        <c:crosses val="autoZero"/>
        <c:crossBetween val="between"/>
      </c:valAx>
      <c:dTable>
        <c:showHorzBorder val="1"/>
        <c:showVertBorder val="1"/>
        <c:showOutline val="1"/>
        <c:showKeys val="1"/>
        <c:txPr>
          <a:bodyPr/>
          <a:lstStyle/>
          <a:p>
            <a:pPr rtl="0">
              <a:defRPr sz="900"/>
            </a:pPr>
            <a:endParaRPr lang="en-US"/>
          </a:p>
        </c:txPr>
      </c:dTable>
      <c:spPr>
        <a:gradFill>
          <a:gsLst>
            <a:gs pos="0">
              <a:srgbClr val="4F81BD">
                <a:tint val="66000"/>
                <a:satMod val="160000"/>
                <a:alpha val="44000"/>
              </a:srgbClr>
            </a:gs>
            <a:gs pos="50000">
              <a:srgbClr val="4F81BD">
                <a:tint val="44500"/>
                <a:satMod val="160000"/>
              </a:srgbClr>
            </a:gs>
            <a:gs pos="100000">
              <a:srgbClr val="4F81BD">
                <a:tint val="23500"/>
                <a:satMod val="160000"/>
              </a:srgbClr>
            </a:gs>
          </a:gsLst>
          <a:lin ang="5400000" scaled="0"/>
        </a:gradFill>
        <a:ln w="12700">
          <a:solidFill>
            <a:srgbClr val="808080"/>
          </a:solidFill>
          <a:prstDash val="solid"/>
        </a:ln>
      </c:spPr>
    </c:plotArea>
    <c:plotVisOnly val="1"/>
    <c:dispBlanksAs val="gap"/>
    <c:showDLblsOverMax val="0"/>
  </c:chart>
  <c:spPr>
    <a:gradFill>
      <a:gsLst>
        <a:gs pos="0">
          <a:srgbClr val="4F81BD">
            <a:tint val="66000"/>
            <a:satMod val="160000"/>
            <a:alpha val="36000"/>
          </a:srgbClr>
        </a:gs>
        <a:gs pos="50000">
          <a:srgbClr val="4F81BD">
            <a:tint val="44500"/>
            <a:satMod val="160000"/>
          </a:srgbClr>
        </a:gs>
        <a:gs pos="100000">
          <a:srgbClr val="4F81BD">
            <a:tint val="23500"/>
            <a:satMod val="160000"/>
          </a:srgbClr>
        </a:gs>
      </a:gsLst>
      <a:lin ang="5400000" scaled="0"/>
    </a:gra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verticalDpi="0"/>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US" sz="1100"/>
              <a:t>2013 Bear Creek ReservoirTotal Suspended Sediment Load (pounds, %) </a:t>
            </a:r>
          </a:p>
        </c:rich>
      </c:tx>
      <c:layout>
        <c:manualLayout>
          <c:xMode val="edge"/>
          <c:yMode val="edge"/>
          <c:x val="9.8447124489185703E-2"/>
          <c:y val="7.9710144927540347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3.9804644672580484E-2"/>
          <c:y val="0.31304347826088402"/>
          <c:w val="0.93994219077045749"/>
          <c:h val="0.62898550724642188"/>
        </c:manualLayout>
      </c:layout>
      <c:pie3DChart>
        <c:varyColors val="1"/>
        <c:ser>
          <c:idx val="0"/>
          <c:order val="0"/>
          <c:tx>
            <c:strRef>
              <c:f>Loading!$A$57</c:f>
              <c:strCache>
                <c:ptCount val="1"/>
                <c:pt idx="0">
                  <c:v>TSS (Pounds)</c:v>
                </c:pt>
              </c:strCache>
            </c:strRef>
          </c:tx>
          <c:spPr>
            <a:solidFill>
              <a:srgbClr val="00FF00"/>
            </a:solidFill>
            <a:ln w="12700">
              <a:solidFill>
                <a:srgbClr val="000000"/>
              </a:solidFill>
              <a:prstDash val="solid"/>
            </a:ln>
          </c:spPr>
          <c:explosion val="20"/>
          <c:dPt>
            <c:idx val="0"/>
            <c:bubble3D val="0"/>
            <c:explosion val="0"/>
            <c:spPr>
              <a:solidFill>
                <a:srgbClr val="CC99FF"/>
              </a:solidFill>
              <a:ln w="12700">
                <a:solidFill>
                  <a:srgbClr val="000000"/>
                </a:solidFill>
                <a:prstDash val="solid"/>
              </a:ln>
            </c:spPr>
            <c:extLst>
              <c:ext xmlns:c16="http://schemas.microsoft.com/office/drawing/2014/chart" uri="{C3380CC4-5D6E-409C-BE32-E72D297353CC}">
                <c16:uniqueId val="{00000000-1D5D-4637-BC8F-6FC2BB9CBE11}"/>
              </c:ext>
            </c:extLst>
          </c:dPt>
          <c:dPt>
            <c:idx val="1"/>
            <c:bubble3D val="0"/>
            <c:explosion val="41"/>
            <c:spPr>
              <a:solidFill>
                <a:schemeClr val="tx2">
                  <a:lumMod val="20000"/>
                  <a:lumOff val="80000"/>
                </a:schemeClr>
              </a:solidFill>
              <a:ln w="12700">
                <a:solidFill>
                  <a:srgbClr val="000000"/>
                </a:solidFill>
                <a:prstDash val="solid"/>
              </a:ln>
            </c:spPr>
            <c:extLst>
              <c:ext xmlns:c16="http://schemas.microsoft.com/office/drawing/2014/chart" uri="{C3380CC4-5D6E-409C-BE32-E72D297353CC}">
                <c16:uniqueId val="{00000001-1D5D-4637-BC8F-6FC2BB9CBE11}"/>
              </c:ext>
            </c:extLst>
          </c:dPt>
          <c:dLbls>
            <c:dLbl>
              <c:idx val="0"/>
              <c:layout>
                <c:manualLayout>
                  <c:x val="4.8115675681384855E-2"/>
                  <c:y val="-2.164439672313689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1D5D-4637-BC8F-6FC2BB9CBE11}"/>
                </c:ext>
              </c:extLst>
            </c:dLbl>
            <c:dLbl>
              <c:idx val="1"/>
              <c:layout>
                <c:manualLayout>
                  <c:x val="6.5226635402968997E-2"/>
                  <c:y val="-0.31804024496937888"/>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D5D-4637-BC8F-6FC2BB9CBE11}"/>
                </c:ext>
              </c:extLst>
            </c:dLbl>
            <c:numFmt formatCode="0%" sourceLinked="0"/>
            <c:spPr>
              <a:gradFill>
                <a:gsLst>
                  <a:gs pos="0">
                    <a:srgbClr val="4F81BD">
                      <a:tint val="66000"/>
                      <a:satMod val="160000"/>
                      <a:alpha val="51000"/>
                    </a:srgbClr>
                  </a:gs>
                  <a:gs pos="50000">
                    <a:srgbClr val="4F81BD">
                      <a:tint val="44500"/>
                      <a:satMod val="160000"/>
                    </a:srgbClr>
                  </a:gs>
                  <a:gs pos="100000">
                    <a:srgbClr val="4F81BD">
                      <a:tint val="23500"/>
                      <a:satMod val="160000"/>
                    </a:srgbClr>
                  </a:gs>
                </a:gsLst>
                <a:lin ang="5400000" scaled="0"/>
              </a:gradFill>
              <a:ln w="25400">
                <a:noFill/>
              </a:ln>
            </c:spPr>
            <c:txPr>
              <a:bodyPr/>
              <a:lstStyle/>
              <a:p>
                <a:pPr>
                  <a:defRPr sz="800" b="1" i="0" u="none" strike="noStrike" baseline="0">
                    <a:solidFill>
                      <a:srgbClr val="000000"/>
                    </a:solidFill>
                    <a:latin typeface="Arial"/>
                    <a:ea typeface="Arial"/>
                    <a:cs typeface="Arial"/>
                  </a:defRPr>
                </a:pPr>
                <a:endParaRPr lang="en-US"/>
              </a:p>
            </c:txPr>
            <c:showLegendKey val="0"/>
            <c:showVal val="1"/>
            <c:showCatName val="1"/>
            <c:showSerName val="0"/>
            <c:showPercent val="1"/>
            <c:showBubbleSize val="0"/>
            <c:showLeaderLines val="0"/>
            <c:extLst>
              <c:ext xmlns:c15="http://schemas.microsoft.com/office/drawing/2012/chart" uri="{CE6537A1-D6FC-4f65-9D91-7224C49458BB}"/>
            </c:extLst>
          </c:dLbls>
          <c:cat>
            <c:strRef>
              <c:f>Loading!$A$58:$A$59</c:f>
              <c:strCache>
                <c:ptCount val="2"/>
                <c:pt idx="0">
                  <c:v>Site 16a-Turkey Creek Inflow</c:v>
                </c:pt>
                <c:pt idx="1">
                  <c:v>Site 15a-Bear Creek Inflow</c:v>
                </c:pt>
              </c:strCache>
            </c:strRef>
          </c:cat>
          <c:val>
            <c:numRef>
              <c:f>Loading!$N$58:$N$59</c:f>
              <c:numCache>
                <c:formatCode>#,##0</c:formatCode>
                <c:ptCount val="2"/>
                <c:pt idx="0">
                  <c:v>233561.45510439525</c:v>
                </c:pt>
                <c:pt idx="1">
                  <c:v>1869790.0184132664</c:v>
                </c:pt>
              </c:numCache>
            </c:numRef>
          </c:val>
          <c:extLst>
            <c:ext xmlns:c16="http://schemas.microsoft.com/office/drawing/2014/chart" uri="{C3380CC4-5D6E-409C-BE32-E72D297353CC}">
              <c16:uniqueId val="{00000002-1D5D-4637-BC8F-6FC2BB9CBE11}"/>
            </c:ext>
          </c:extLst>
        </c:ser>
        <c:dLbls>
          <c:showLegendKey val="0"/>
          <c:showVal val="1"/>
          <c:showCatName val="1"/>
          <c:showSerName val="0"/>
          <c:showPercent val="1"/>
          <c:showBubbleSize val="0"/>
          <c:showLeaderLines val="0"/>
        </c:dLbls>
      </c:pie3DChart>
      <c:spPr>
        <a:solidFill>
          <a:srgbClr val="FFFFFF"/>
        </a:solidFill>
        <a:ln w="25400">
          <a:noFill/>
        </a:ln>
      </c:spPr>
    </c:plotArea>
    <c:plotVisOnly val="1"/>
    <c:dispBlanksAs val="zero"/>
    <c:showDLblsOverMax val="0"/>
  </c:chart>
  <c:spPr>
    <a:gradFill>
      <a:gsLst>
        <a:gs pos="0">
          <a:srgbClr val="4F81BD">
            <a:tint val="66000"/>
            <a:satMod val="160000"/>
            <a:alpha val="51000"/>
          </a:srgbClr>
        </a:gs>
        <a:gs pos="50000">
          <a:srgbClr val="4F81BD">
            <a:tint val="44500"/>
            <a:satMod val="160000"/>
          </a:srgbClr>
        </a:gs>
        <a:gs pos="100000">
          <a:srgbClr val="4F81BD">
            <a:tint val="23500"/>
            <a:satMod val="160000"/>
          </a:srgbClr>
        </a:gs>
      </a:gsLst>
      <a:lin ang="5400000" scaled="0"/>
    </a:gra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verticalDpi="0"/>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US" sz="1100"/>
              <a:t>2013 Bear Creek Reservoir Nitrate Loading (Pounds, %) </a:t>
            </a:r>
          </a:p>
        </c:rich>
      </c:tx>
      <c:layout>
        <c:manualLayout>
          <c:xMode val="edge"/>
          <c:yMode val="edge"/>
          <c:x val="0.14319248826291694"/>
          <c:y val="3.9473684210526355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1.4602287921556958E-2"/>
          <c:y val="0.20783664753770267"/>
          <c:w val="0.94783915218144965"/>
          <c:h val="0.74328359802482313"/>
        </c:manualLayout>
      </c:layout>
      <c:pie3DChart>
        <c:varyColors val="1"/>
        <c:ser>
          <c:idx val="0"/>
          <c:order val="0"/>
          <c:tx>
            <c:strRef>
              <c:f>Loading!$A$16</c:f>
              <c:strCache>
                <c:ptCount val="1"/>
                <c:pt idx="0">
                  <c:v>Nitrate Pounds</c:v>
                </c:pt>
              </c:strCache>
            </c:strRef>
          </c:tx>
          <c:spPr>
            <a:solidFill>
              <a:srgbClr val="00FF00"/>
            </a:solidFill>
            <a:ln w="12700">
              <a:solidFill>
                <a:srgbClr val="000000"/>
              </a:solidFill>
              <a:prstDash val="solid"/>
            </a:ln>
          </c:spPr>
          <c:explosion val="29"/>
          <c:dPt>
            <c:idx val="0"/>
            <c:bubble3D val="0"/>
            <c:spPr>
              <a:solidFill>
                <a:srgbClr val="CC99FF"/>
              </a:solidFill>
              <a:ln w="12700">
                <a:solidFill>
                  <a:srgbClr val="000000"/>
                </a:solidFill>
                <a:prstDash val="solid"/>
              </a:ln>
            </c:spPr>
            <c:extLst>
              <c:ext xmlns:c16="http://schemas.microsoft.com/office/drawing/2014/chart" uri="{C3380CC4-5D6E-409C-BE32-E72D297353CC}">
                <c16:uniqueId val="{00000000-4F4D-4AA3-A91C-365BE5895243}"/>
              </c:ext>
            </c:extLst>
          </c:dPt>
          <c:dPt>
            <c:idx val="1"/>
            <c:bubble3D val="0"/>
            <c:explosion val="34"/>
            <c:spPr>
              <a:solidFill>
                <a:schemeClr val="tx2">
                  <a:lumMod val="20000"/>
                  <a:lumOff val="80000"/>
                </a:schemeClr>
              </a:solidFill>
              <a:ln w="12700">
                <a:solidFill>
                  <a:srgbClr val="000000"/>
                </a:solidFill>
                <a:prstDash val="solid"/>
              </a:ln>
            </c:spPr>
            <c:extLst>
              <c:ext xmlns:c16="http://schemas.microsoft.com/office/drawing/2014/chart" uri="{C3380CC4-5D6E-409C-BE32-E72D297353CC}">
                <c16:uniqueId val="{00000001-4F4D-4AA3-A91C-365BE5895243}"/>
              </c:ext>
            </c:extLst>
          </c:dPt>
          <c:dLbls>
            <c:dLbl>
              <c:idx val="0"/>
              <c:layout>
                <c:manualLayout>
                  <c:x val="8.6093347920551122E-2"/>
                  <c:y val="1.4189820059510643E-2"/>
                </c:manualLayout>
              </c:layout>
              <c:numFmt formatCode="0%" sourceLinked="0"/>
              <c:spPr>
                <a:gradFill>
                  <a:gsLst>
                    <a:gs pos="0">
                      <a:srgbClr val="4F81BD">
                        <a:tint val="66000"/>
                        <a:satMod val="160000"/>
                        <a:alpha val="51000"/>
                      </a:srgbClr>
                    </a:gs>
                    <a:gs pos="50000">
                      <a:srgbClr val="4F81BD">
                        <a:tint val="44500"/>
                        <a:satMod val="160000"/>
                      </a:srgbClr>
                    </a:gs>
                    <a:gs pos="100000">
                      <a:srgbClr val="4F81BD">
                        <a:tint val="23500"/>
                        <a:satMod val="160000"/>
                      </a:srgbClr>
                    </a:gs>
                  </a:gsLst>
                  <a:lin ang="5400000" scaled="0"/>
                </a:gradFill>
                <a:ln w="25400">
                  <a:noFill/>
                </a:ln>
              </c:spPr>
              <c:txPr>
                <a:bodyPr/>
                <a:lstStyle/>
                <a:p>
                  <a:pPr>
                    <a:defRPr sz="900" b="1" i="0" u="none" strike="noStrike" baseline="0">
                      <a:solidFill>
                        <a:srgbClr val="000000"/>
                      </a:solidFill>
                      <a:latin typeface="Arial"/>
                      <a:ea typeface="Arial"/>
                      <a:cs typeface="Arial"/>
                    </a:defRPr>
                  </a:pPr>
                  <a:endParaRPr lang="en-US"/>
                </a:p>
              </c:txPr>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4F4D-4AA3-A91C-365BE5895243}"/>
                </c:ext>
              </c:extLst>
            </c:dLbl>
            <c:dLbl>
              <c:idx val="1"/>
              <c:layout>
                <c:manualLayout>
                  <c:x val="9.7474372307235227E-2"/>
                  <c:y val="-0.34072939187686452"/>
                </c:manualLayout>
              </c:layout>
              <c:numFmt formatCode="0%" sourceLinked="0"/>
              <c:spPr>
                <a:gradFill>
                  <a:gsLst>
                    <a:gs pos="0">
                      <a:srgbClr val="4F81BD">
                        <a:tint val="66000"/>
                        <a:satMod val="160000"/>
                        <a:alpha val="51000"/>
                      </a:srgbClr>
                    </a:gs>
                    <a:gs pos="50000">
                      <a:srgbClr val="4F81BD">
                        <a:tint val="44500"/>
                        <a:satMod val="160000"/>
                      </a:srgbClr>
                    </a:gs>
                    <a:gs pos="100000">
                      <a:srgbClr val="4F81BD">
                        <a:tint val="23500"/>
                        <a:satMod val="160000"/>
                      </a:srgbClr>
                    </a:gs>
                  </a:gsLst>
                  <a:lin ang="5400000" scaled="0"/>
                </a:gradFill>
                <a:ln w="25400">
                  <a:noFill/>
                </a:ln>
              </c:spPr>
              <c:txPr>
                <a:bodyPr/>
                <a:lstStyle/>
                <a:p>
                  <a:pPr>
                    <a:defRPr sz="900" b="1" i="0" u="none" strike="noStrike" baseline="0">
                      <a:solidFill>
                        <a:srgbClr val="000000"/>
                      </a:solidFill>
                      <a:latin typeface="Arial"/>
                      <a:ea typeface="Arial"/>
                      <a:cs typeface="Arial"/>
                    </a:defRPr>
                  </a:pPr>
                  <a:endParaRPr lang="en-US"/>
                </a:p>
              </c:txPr>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F4D-4AA3-A91C-365BE5895243}"/>
                </c:ext>
              </c:extLst>
            </c:dLbl>
            <c:numFmt formatCode="0%" sourceLinked="0"/>
            <c:spPr>
              <a:gradFill>
                <a:gsLst>
                  <a:gs pos="0">
                    <a:srgbClr val="4F81BD">
                      <a:tint val="66000"/>
                      <a:satMod val="160000"/>
                      <a:alpha val="51000"/>
                    </a:srgbClr>
                  </a:gs>
                  <a:gs pos="50000">
                    <a:srgbClr val="4F81BD">
                      <a:tint val="44500"/>
                      <a:satMod val="160000"/>
                    </a:srgbClr>
                  </a:gs>
                  <a:gs pos="100000">
                    <a:srgbClr val="4F81BD">
                      <a:tint val="23500"/>
                      <a:satMod val="160000"/>
                    </a:srgbClr>
                  </a:gs>
                </a:gsLst>
                <a:lin ang="5400000" scaled="0"/>
              </a:gradFill>
              <a:ln w="25400">
                <a:noFill/>
              </a:ln>
            </c:spPr>
            <c:txPr>
              <a:bodyPr/>
              <a:lstStyle/>
              <a:p>
                <a:pPr>
                  <a:defRPr sz="1000" b="1" i="0" u="none" strike="noStrike" baseline="0">
                    <a:solidFill>
                      <a:srgbClr val="000000"/>
                    </a:solidFill>
                    <a:latin typeface="Arial"/>
                    <a:ea typeface="Arial"/>
                    <a:cs typeface="Arial"/>
                  </a:defRPr>
                </a:pPr>
                <a:endParaRPr lang="en-US"/>
              </a:p>
            </c:txPr>
            <c:dLblPos val="outEnd"/>
            <c:showLegendKey val="0"/>
            <c:showVal val="1"/>
            <c:showCatName val="1"/>
            <c:showSerName val="0"/>
            <c:showPercent val="1"/>
            <c:showBubbleSize val="0"/>
            <c:showLeaderLines val="0"/>
            <c:extLst>
              <c:ext xmlns:c15="http://schemas.microsoft.com/office/drawing/2012/chart" uri="{CE6537A1-D6FC-4f65-9D91-7224C49458BB}"/>
            </c:extLst>
          </c:dLbls>
          <c:cat>
            <c:strRef>
              <c:f>Loading!$A$17:$A$18</c:f>
              <c:strCache>
                <c:ptCount val="2"/>
                <c:pt idx="0">
                  <c:v>Site 16a-Turkey Creek Inflow</c:v>
                </c:pt>
                <c:pt idx="1">
                  <c:v>Site 15a-Bear Creek Inflow</c:v>
                </c:pt>
              </c:strCache>
            </c:strRef>
          </c:cat>
          <c:val>
            <c:numRef>
              <c:f>Loading!$N$17:$N$18</c:f>
              <c:numCache>
                <c:formatCode>#,##0</c:formatCode>
                <c:ptCount val="2"/>
                <c:pt idx="0">
                  <c:v>6477.1354400572582</c:v>
                </c:pt>
                <c:pt idx="1">
                  <c:v>44542.435656775298</c:v>
                </c:pt>
              </c:numCache>
            </c:numRef>
          </c:val>
          <c:extLst>
            <c:ext xmlns:c16="http://schemas.microsoft.com/office/drawing/2014/chart" uri="{C3380CC4-5D6E-409C-BE32-E72D297353CC}">
              <c16:uniqueId val="{00000002-4F4D-4AA3-A91C-365BE5895243}"/>
            </c:ext>
          </c:extLst>
        </c:ser>
        <c:dLbls>
          <c:showLegendKey val="0"/>
          <c:showVal val="1"/>
          <c:showCatName val="1"/>
          <c:showSerName val="0"/>
          <c:showPercent val="1"/>
          <c:showBubbleSize val="0"/>
          <c:showLeaderLines val="0"/>
        </c:dLbls>
      </c:pie3DChart>
      <c:spPr>
        <a:solidFill>
          <a:srgbClr val="FFFFFF"/>
        </a:solidFill>
        <a:ln w="25400">
          <a:noFill/>
        </a:ln>
      </c:spPr>
    </c:plotArea>
    <c:plotVisOnly val="1"/>
    <c:dispBlanksAs val="zero"/>
    <c:showDLblsOverMax val="0"/>
  </c:chart>
  <c:spPr>
    <a:gradFill>
      <a:gsLst>
        <a:gs pos="0">
          <a:srgbClr val="4F81BD">
            <a:tint val="66000"/>
            <a:satMod val="160000"/>
            <a:alpha val="51000"/>
          </a:srgbClr>
        </a:gs>
        <a:gs pos="50000">
          <a:srgbClr val="4F81BD">
            <a:tint val="44500"/>
            <a:satMod val="160000"/>
          </a:srgbClr>
        </a:gs>
        <a:gs pos="100000">
          <a:srgbClr val="4F81BD">
            <a:tint val="23500"/>
            <a:satMod val="160000"/>
          </a:srgbClr>
        </a:gs>
      </a:gsLst>
      <a:lin ang="5400000" scaled="0"/>
    </a:gra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n-US" sz="1050"/>
              <a:t>2013 Bear Creek Reservoir Total Phosphorus Load (Pounds, %) </a:t>
            </a:r>
          </a:p>
        </c:rich>
      </c:tx>
      <c:layout>
        <c:manualLayout>
          <c:xMode val="edge"/>
          <c:yMode val="edge"/>
          <c:x val="0.15727706933829541"/>
          <c:y val="8.0100475423092496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6.4311260101366466E-2"/>
          <c:y val="0.18922450789791151"/>
          <c:w val="0.90609912078747168"/>
          <c:h val="0.69999254463184812"/>
        </c:manualLayout>
      </c:layout>
      <c:pie3DChart>
        <c:varyColors val="1"/>
        <c:ser>
          <c:idx val="0"/>
          <c:order val="0"/>
          <c:tx>
            <c:strRef>
              <c:f>Loading!$A$42</c:f>
              <c:strCache>
                <c:ptCount val="1"/>
                <c:pt idx="0">
                  <c:v>Total Phosphorus Pounds</c:v>
                </c:pt>
              </c:strCache>
            </c:strRef>
          </c:tx>
          <c:spPr>
            <a:solidFill>
              <a:srgbClr val="9999FF"/>
            </a:solidFill>
            <a:ln w="12700">
              <a:solidFill>
                <a:srgbClr val="000000"/>
              </a:solidFill>
              <a:prstDash val="solid"/>
            </a:ln>
          </c:spPr>
          <c:explosion val="47"/>
          <c:dPt>
            <c:idx val="1"/>
            <c:bubble3D val="0"/>
            <c:spPr>
              <a:solidFill>
                <a:schemeClr val="tx2">
                  <a:lumMod val="20000"/>
                  <a:lumOff val="80000"/>
                </a:schemeClr>
              </a:solidFill>
              <a:ln w="12700">
                <a:solidFill>
                  <a:srgbClr val="000000"/>
                </a:solidFill>
                <a:prstDash val="solid"/>
              </a:ln>
            </c:spPr>
            <c:extLst>
              <c:ext xmlns:c16="http://schemas.microsoft.com/office/drawing/2014/chart" uri="{C3380CC4-5D6E-409C-BE32-E72D297353CC}">
                <c16:uniqueId val="{00000000-E061-46E7-A4B5-6F1EE6C9D423}"/>
              </c:ext>
            </c:extLst>
          </c:dPt>
          <c:dLbls>
            <c:dLbl>
              <c:idx val="0"/>
              <c:layout>
                <c:manualLayout>
                  <c:x val="7.5035480378036923E-2"/>
                  <c:y val="0.20695987291464737"/>
                </c:manualLayout>
              </c:layout>
              <c:numFmt formatCode="0%" sourceLinked="0"/>
              <c:spPr>
                <a:gradFill>
                  <a:gsLst>
                    <a:gs pos="0">
                      <a:srgbClr val="4F81BD">
                        <a:tint val="66000"/>
                        <a:satMod val="160000"/>
                        <a:alpha val="51000"/>
                      </a:srgbClr>
                    </a:gs>
                    <a:gs pos="50000">
                      <a:srgbClr val="4F81BD">
                        <a:tint val="44500"/>
                        <a:satMod val="160000"/>
                      </a:srgbClr>
                    </a:gs>
                    <a:gs pos="100000">
                      <a:srgbClr val="4F81BD">
                        <a:tint val="23500"/>
                        <a:satMod val="160000"/>
                      </a:srgbClr>
                    </a:gs>
                  </a:gsLst>
                  <a:lin ang="5400000" scaled="0"/>
                </a:gradFill>
                <a:ln w="25400">
                  <a:noFill/>
                </a:ln>
              </c:spPr>
              <c:txPr>
                <a:bodyPr/>
                <a:lstStyle/>
                <a:p>
                  <a:pPr>
                    <a:defRPr sz="700" b="1" i="0" u="none" strike="noStrike" baseline="0">
                      <a:solidFill>
                        <a:srgbClr val="000000"/>
                      </a:solidFill>
                      <a:latin typeface="Arial"/>
                      <a:ea typeface="Arial"/>
                      <a:cs typeface="Arial"/>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E061-46E7-A4B5-6F1EE6C9D423}"/>
                </c:ext>
              </c:extLst>
            </c:dLbl>
            <c:dLbl>
              <c:idx val="1"/>
              <c:layout>
                <c:manualLayout>
                  <c:x val="-1.1175530628764883E-2"/>
                  <c:y val="-0.34655418618921802"/>
                </c:manualLayout>
              </c:layout>
              <c:numFmt formatCode="0%" sourceLinked="0"/>
              <c:spPr>
                <a:gradFill>
                  <a:gsLst>
                    <a:gs pos="0">
                      <a:srgbClr val="4F81BD">
                        <a:tint val="66000"/>
                        <a:satMod val="160000"/>
                        <a:alpha val="51000"/>
                      </a:srgbClr>
                    </a:gs>
                    <a:gs pos="50000">
                      <a:srgbClr val="4F81BD">
                        <a:tint val="44500"/>
                        <a:satMod val="160000"/>
                      </a:srgbClr>
                    </a:gs>
                    <a:gs pos="100000">
                      <a:srgbClr val="4F81BD">
                        <a:tint val="23500"/>
                        <a:satMod val="160000"/>
                      </a:srgbClr>
                    </a:gs>
                  </a:gsLst>
                  <a:lin ang="5400000" scaled="0"/>
                </a:gradFill>
                <a:ln w="25400">
                  <a:noFill/>
                </a:ln>
              </c:spPr>
              <c:txPr>
                <a:bodyPr/>
                <a:lstStyle/>
                <a:p>
                  <a:pPr>
                    <a:defRPr sz="700" b="1" i="0" u="none" strike="noStrike" baseline="0">
                      <a:solidFill>
                        <a:srgbClr val="000000"/>
                      </a:solidFill>
                      <a:latin typeface="Arial"/>
                      <a:ea typeface="Arial"/>
                      <a:cs typeface="Arial"/>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0-E061-46E7-A4B5-6F1EE6C9D423}"/>
                </c:ext>
              </c:extLst>
            </c:dLbl>
            <c:numFmt formatCode="0%" sourceLinked="0"/>
            <c:spPr>
              <a:gradFill>
                <a:gsLst>
                  <a:gs pos="0">
                    <a:srgbClr val="4F81BD">
                      <a:tint val="66000"/>
                      <a:satMod val="160000"/>
                      <a:alpha val="51000"/>
                    </a:srgbClr>
                  </a:gs>
                  <a:gs pos="50000">
                    <a:srgbClr val="4F81BD">
                      <a:tint val="44500"/>
                      <a:satMod val="160000"/>
                    </a:srgbClr>
                  </a:gs>
                  <a:gs pos="100000">
                    <a:srgbClr val="4F81BD">
                      <a:tint val="23500"/>
                      <a:satMod val="160000"/>
                    </a:srgbClr>
                  </a:gs>
                </a:gsLst>
                <a:lin ang="5400000" scaled="0"/>
              </a:gradFill>
              <a:ln w="25400">
                <a:noFill/>
              </a:ln>
            </c:spPr>
            <c:txPr>
              <a:bodyPr/>
              <a:lstStyle/>
              <a:p>
                <a:pPr>
                  <a:defRPr sz="900" b="1" i="0" u="none" strike="noStrike" baseline="0">
                    <a:solidFill>
                      <a:srgbClr val="000000"/>
                    </a:solidFill>
                    <a:latin typeface="Arial"/>
                    <a:ea typeface="Arial"/>
                    <a:cs typeface="Arial"/>
                  </a:defRPr>
                </a:pPr>
                <a:endParaRPr lang="en-US"/>
              </a:p>
            </c:txPr>
            <c:dLblPos val="outEnd"/>
            <c:showLegendKey val="0"/>
            <c:showVal val="1"/>
            <c:showCatName val="1"/>
            <c:showSerName val="0"/>
            <c:showPercent val="1"/>
            <c:showBubbleSize val="0"/>
            <c:separator>
</c:separator>
            <c:showLeaderLines val="0"/>
            <c:extLst>
              <c:ext xmlns:c15="http://schemas.microsoft.com/office/drawing/2012/chart" uri="{CE6537A1-D6FC-4f65-9D91-7224C49458BB}"/>
            </c:extLst>
          </c:dLbls>
          <c:cat>
            <c:strRef>
              <c:f>Loading!$A$43:$A$44</c:f>
              <c:strCache>
                <c:ptCount val="2"/>
                <c:pt idx="0">
                  <c:v>Site 16a-Turkey Creek Inflow</c:v>
                </c:pt>
                <c:pt idx="1">
                  <c:v>Site 15a-Bear Creek Inflow</c:v>
                </c:pt>
              </c:strCache>
            </c:strRef>
          </c:cat>
          <c:val>
            <c:numRef>
              <c:f>Loading!$N$43:$N$44</c:f>
              <c:numCache>
                <c:formatCode>#,##0</c:formatCode>
                <c:ptCount val="2"/>
                <c:pt idx="0">
                  <c:v>372.32323233341259</c:v>
                </c:pt>
                <c:pt idx="1">
                  <c:v>14014.357788130248</c:v>
                </c:pt>
              </c:numCache>
            </c:numRef>
          </c:val>
          <c:extLst>
            <c:ext xmlns:c16="http://schemas.microsoft.com/office/drawing/2014/chart" uri="{C3380CC4-5D6E-409C-BE32-E72D297353CC}">
              <c16:uniqueId val="{00000002-E061-46E7-A4B5-6F1EE6C9D423}"/>
            </c:ext>
          </c:extLst>
        </c:ser>
        <c:dLbls>
          <c:showLegendKey val="0"/>
          <c:showVal val="1"/>
          <c:showCatName val="1"/>
          <c:showSerName val="0"/>
          <c:showPercent val="1"/>
          <c:showBubbleSize val="0"/>
          <c:showLeaderLines val="0"/>
        </c:dLbls>
      </c:pie3DChart>
      <c:spPr>
        <a:solidFill>
          <a:sysClr val="window" lastClr="FFFFFF"/>
        </a:solidFill>
        <a:ln w="25400">
          <a:noFill/>
        </a:ln>
      </c:spPr>
    </c:plotArea>
    <c:plotVisOnly val="1"/>
    <c:dispBlanksAs val="zero"/>
    <c:showDLblsOverMax val="0"/>
  </c:chart>
  <c:spPr>
    <a:gradFill>
      <a:gsLst>
        <a:gs pos="0">
          <a:srgbClr val="4F81BD">
            <a:tint val="66000"/>
            <a:satMod val="160000"/>
            <a:alpha val="51000"/>
          </a:srgbClr>
        </a:gs>
        <a:gs pos="50000">
          <a:srgbClr val="4F81BD">
            <a:tint val="44500"/>
            <a:satMod val="160000"/>
          </a:srgbClr>
        </a:gs>
        <a:gs pos="100000">
          <a:srgbClr val="4F81BD">
            <a:tint val="23500"/>
            <a:satMod val="160000"/>
          </a:srgbClr>
        </a:gs>
      </a:gsLst>
      <a:lin ang="5400000" scaled="0"/>
    </a:gra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verticalDpi="0"/>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US" sz="1100"/>
              <a:t>2013 Bear Creek Reservoir Estimated Inflow  (acre-feet, %)</a:t>
            </a:r>
          </a:p>
        </c:rich>
      </c:tx>
      <c:layout>
        <c:manualLayout>
          <c:xMode val="edge"/>
          <c:yMode val="edge"/>
          <c:x val="0.12211358173379985"/>
          <c:y val="4.0000014235514032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1.378137090146081E-2"/>
          <c:y val="0.20895385344681006"/>
          <c:w val="0.95739212598422585"/>
          <c:h val="0.72024979636166164"/>
        </c:manualLayout>
      </c:layout>
      <c:pie3DChart>
        <c:varyColors val="1"/>
        <c:ser>
          <c:idx val="0"/>
          <c:order val="0"/>
          <c:tx>
            <c:strRef>
              <c:f>Loading!$N$3</c:f>
              <c:strCache>
                <c:ptCount val="1"/>
                <c:pt idx="0">
                  <c:v>Annual ac-ft/yr</c:v>
                </c:pt>
              </c:strCache>
            </c:strRef>
          </c:tx>
          <c:spPr>
            <a:solidFill>
              <a:srgbClr val="00FF00"/>
            </a:solidFill>
            <a:ln w="12700">
              <a:solidFill>
                <a:srgbClr val="000000"/>
              </a:solidFill>
              <a:prstDash val="solid"/>
            </a:ln>
          </c:spPr>
          <c:explosion val="9"/>
          <c:dPt>
            <c:idx val="0"/>
            <c:bubble3D val="0"/>
            <c:explosion val="16"/>
            <c:spPr>
              <a:solidFill>
                <a:srgbClr val="CC99FF"/>
              </a:solidFill>
              <a:ln w="12700">
                <a:solidFill>
                  <a:srgbClr val="000000"/>
                </a:solidFill>
                <a:prstDash val="solid"/>
              </a:ln>
            </c:spPr>
            <c:extLst>
              <c:ext xmlns:c16="http://schemas.microsoft.com/office/drawing/2014/chart" uri="{C3380CC4-5D6E-409C-BE32-E72D297353CC}">
                <c16:uniqueId val="{00000000-A047-48BE-ADBD-69FF3FEE49CE}"/>
              </c:ext>
            </c:extLst>
          </c:dPt>
          <c:dPt>
            <c:idx val="1"/>
            <c:bubble3D val="0"/>
            <c:explosion val="26"/>
            <c:spPr>
              <a:solidFill>
                <a:schemeClr val="tx2">
                  <a:lumMod val="20000"/>
                  <a:lumOff val="80000"/>
                </a:schemeClr>
              </a:solidFill>
              <a:ln w="12700">
                <a:solidFill>
                  <a:srgbClr val="000000"/>
                </a:solidFill>
                <a:prstDash val="solid"/>
              </a:ln>
            </c:spPr>
            <c:extLst>
              <c:ext xmlns:c16="http://schemas.microsoft.com/office/drawing/2014/chart" uri="{C3380CC4-5D6E-409C-BE32-E72D297353CC}">
                <c16:uniqueId val="{00000001-A047-48BE-ADBD-69FF3FEE49CE}"/>
              </c:ext>
            </c:extLst>
          </c:dPt>
          <c:dLbls>
            <c:dLbl>
              <c:idx val="0"/>
              <c:layout>
                <c:manualLayout>
                  <c:x val="0.12626641522644394"/>
                  <c:y val="0.14908141788564191"/>
                </c:manualLayout>
              </c:layout>
              <c:spPr>
                <a:gradFill>
                  <a:gsLst>
                    <a:gs pos="0">
                      <a:srgbClr val="9BBB59">
                        <a:lumMod val="75000"/>
                      </a:srgbClr>
                    </a:gs>
                    <a:gs pos="50000">
                      <a:srgbClr val="4F81BD">
                        <a:tint val="44500"/>
                        <a:satMod val="160000"/>
                      </a:srgbClr>
                    </a:gs>
                    <a:gs pos="100000">
                      <a:srgbClr val="4F81BD">
                        <a:tint val="23500"/>
                        <a:satMod val="160000"/>
                      </a:srgbClr>
                    </a:gs>
                  </a:gsLst>
                  <a:lin ang="5400000" scaled="0"/>
                </a:gradFill>
                <a:ln w="25400">
                  <a:noFill/>
                </a:ln>
              </c:spPr>
              <c:txPr>
                <a:bodyPr/>
                <a:lstStyle/>
                <a:p>
                  <a:pPr>
                    <a:defRPr sz="900" b="1" i="0" u="none" strike="noStrike" baseline="0">
                      <a:solidFill>
                        <a:srgbClr val="000000"/>
                      </a:solidFill>
                      <a:latin typeface="Arial"/>
                      <a:ea typeface="Arial"/>
                      <a:cs typeface="Arial"/>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0-A047-48BE-ADBD-69FF3FEE49CE}"/>
                </c:ext>
              </c:extLst>
            </c:dLbl>
            <c:dLbl>
              <c:idx val="1"/>
              <c:layout>
                <c:manualLayout>
                  <c:x val="3.6126644043769654E-2"/>
                  <c:y val="-0.38522474673241747"/>
                </c:manualLayout>
              </c:layout>
              <c:numFmt formatCode="0%" sourceLinked="0"/>
              <c:spPr>
                <a:gradFill>
                  <a:gsLst>
                    <a:gs pos="0">
                      <a:srgbClr val="9BBB59">
                        <a:lumMod val="75000"/>
                      </a:srgbClr>
                    </a:gs>
                    <a:gs pos="50000">
                      <a:srgbClr val="4F81BD">
                        <a:tint val="44500"/>
                        <a:satMod val="160000"/>
                      </a:srgbClr>
                    </a:gs>
                    <a:gs pos="100000">
                      <a:srgbClr val="4F81BD">
                        <a:tint val="23500"/>
                        <a:satMod val="160000"/>
                      </a:srgbClr>
                    </a:gs>
                  </a:gsLst>
                  <a:lin ang="5400000" scaled="0"/>
                </a:gradFill>
                <a:ln w="25400">
                  <a:noFill/>
                </a:ln>
              </c:spPr>
              <c:txPr>
                <a:bodyPr/>
                <a:lstStyle/>
                <a:p>
                  <a:pPr>
                    <a:defRPr sz="900" b="1" i="0" u="none" strike="noStrike" baseline="0">
                      <a:solidFill>
                        <a:srgbClr val="000000"/>
                      </a:solidFill>
                      <a:latin typeface="Arial"/>
                      <a:ea typeface="Arial"/>
                      <a:cs typeface="Arial"/>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A047-48BE-ADBD-69FF3FEE49CE}"/>
                </c:ext>
              </c:extLst>
            </c:dLbl>
            <c:numFmt formatCode="0%" sourceLinked="0"/>
            <c:spPr>
              <a:noFill/>
              <a:ln w="25400">
                <a:noFill/>
              </a:ln>
            </c:spPr>
            <c:txPr>
              <a:bodyPr/>
              <a:lstStyle/>
              <a:p>
                <a:pPr>
                  <a:defRPr sz="900" b="1" i="0" u="none" strike="noStrike" baseline="0">
                    <a:solidFill>
                      <a:srgbClr val="000000"/>
                    </a:solidFill>
                    <a:latin typeface="Arial"/>
                    <a:ea typeface="Arial"/>
                    <a:cs typeface="Arial"/>
                  </a:defRPr>
                </a:pPr>
                <a:endParaRPr lang="en-US"/>
              </a:p>
            </c:txPr>
            <c:showLegendKey val="0"/>
            <c:showVal val="1"/>
            <c:showCatName val="1"/>
            <c:showSerName val="0"/>
            <c:showPercent val="1"/>
            <c:showBubbleSize val="0"/>
            <c:separator>
</c:separator>
            <c:showLeaderLines val="0"/>
            <c:extLst>
              <c:ext xmlns:c15="http://schemas.microsoft.com/office/drawing/2012/chart" uri="{CE6537A1-D6FC-4f65-9D91-7224C49458BB}"/>
            </c:extLst>
          </c:dLbls>
          <c:cat>
            <c:strRef>
              <c:f>[1]Loading!$A$4:$A$5</c:f>
              <c:strCache>
                <c:ptCount val="2"/>
                <c:pt idx="0">
                  <c:v>Turkey Creek Inflow</c:v>
                </c:pt>
                <c:pt idx="1">
                  <c:v>Bear Creek Inflow</c:v>
                </c:pt>
              </c:strCache>
            </c:strRef>
          </c:cat>
          <c:val>
            <c:numRef>
              <c:f>Loading!$N$4:$N$5</c:f>
              <c:numCache>
                <c:formatCode>#,##0</c:formatCode>
                <c:ptCount val="2"/>
                <c:pt idx="0">
                  <c:v>4882.5128549999999</c:v>
                </c:pt>
                <c:pt idx="1">
                  <c:v>45089.999324999997</c:v>
                </c:pt>
              </c:numCache>
            </c:numRef>
          </c:val>
          <c:extLst>
            <c:ext xmlns:c16="http://schemas.microsoft.com/office/drawing/2014/chart" uri="{C3380CC4-5D6E-409C-BE32-E72D297353CC}">
              <c16:uniqueId val="{00000002-A047-48BE-ADBD-69FF3FEE49CE}"/>
            </c:ext>
          </c:extLst>
        </c:ser>
        <c:dLbls>
          <c:showLegendKey val="0"/>
          <c:showVal val="1"/>
          <c:showCatName val="1"/>
          <c:showSerName val="0"/>
          <c:showPercent val="1"/>
          <c:showBubbleSize val="0"/>
          <c:showLeaderLines val="0"/>
        </c:dLbls>
      </c:pie3DChart>
      <c:spPr>
        <a:solidFill>
          <a:srgbClr val="FFFFFF"/>
        </a:solidFill>
        <a:ln w="25400">
          <a:noFill/>
        </a:ln>
      </c:spPr>
    </c:plotArea>
    <c:plotVisOnly val="1"/>
    <c:dispBlanksAs val="zero"/>
    <c:showDLblsOverMax val="0"/>
  </c:chart>
  <c:spPr>
    <a:gradFill>
      <a:gsLst>
        <a:gs pos="0">
          <a:srgbClr val="4F81BD">
            <a:tint val="66000"/>
            <a:satMod val="160000"/>
            <a:alpha val="51000"/>
          </a:srgbClr>
        </a:gs>
        <a:gs pos="50000">
          <a:srgbClr val="4F81BD">
            <a:tint val="44500"/>
            <a:satMod val="160000"/>
          </a:srgbClr>
        </a:gs>
        <a:gs pos="100000">
          <a:srgbClr val="4F81BD">
            <a:tint val="23500"/>
            <a:satMod val="160000"/>
          </a:srgbClr>
        </a:gs>
      </a:gsLst>
      <a:lin ang="5400000" scaled="0"/>
    </a:gra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sz="1000"/>
              <a:t>Bear Creek Reservoir Chlorophyll [ug/l] Trend</a:t>
            </a:r>
          </a:p>
        </c:rich>
      </c:tx>
      <c:layout>
        <c:manualLayout>
          <c:xMode val="edge"/>
          <c:yMode val="edge"/>
          <c:x val="0.24096385542168691"/>
          <c:y val="4.065040650406504E-2"/>
        </c:manualLayout>
      </c:layout>
      <c:overlay val="0"/>
      <c:spPr>
        <a:noFill/>
        <a:ln w="25400">
          <a:noFill/>
        </a:ln>
      </c:spPr>
    </c:title>
    <c:autoTitleDeleted val="0"/>
    <c:plotArea>
      <c:layout>
        <c:manualLayout>
          <c:layoutTarget val="inner"/>
          <c:xMode val="edge"/>
          <c:yMode val="edge"/>
          <c:x val="9.6385731178093584E-2"/>
          <c:y val="0.19105766902339388"/>
          <c:w val="0.89357604946357594"/>
          <c:h val="0.60569346137203661"/>
        </c:manualLayout>
      </c:layout>
      <c:barChart>
        <c:barDir val="col"/>
        <c:grouping val="clustered"/>
        <c:varyColors val="0"/>
        <c:ser>
          <c:idx val="0"/>
          <c:order val="0"/>
          <c:tx>
            <c:strRef>
              <c:f>'Annual Reservoir Trends'!$B$4</c:f>
              <c:strCache>
                <c:ptCount val="1"/>
                <c:pt idx="0">
                  <c:v>Top</c:v>
                </c:pt>
              </c:strCache>
            </c:strRef>
          </c:tx>
          <c:spPr>
            <a:solidFill>
              <a:srgbClr val="9999FF"/>
            </a:solidFill>
            <a:ln w="12700">
              <a:solidFill>
                <a:srgbClr val="000000"/>
              </a:solidFill>
              <a:prstDash val="solid"/>
            </a:ln>
          </c:spPr>
          <c:invertIfNegative val="0"/>
          <c:trendline>
            <c:spPr>
              <a:ln w="25400">
                <a:solidFill>
                  <a:srgbClr val="000000"/>
                </a:solidFill>
                <a:prstDash val="solid"/>
              </a:ln>
            </c:spPr>
            <c:trendlineType val="linear"/>
            <c:dispRSqr val="0"/>
            <c:dispEq val="0"/>
          </c:trendline>
          <c:cat>
            <c:numRef>
              <c:f>'Annual Reservoir Trends'!$C$3:$Y$3</c:f>
              <c:numCache>
                <c:formatCode>[$-409]d\-mmm;@</c:formatCode>
                <c:ptCount val="2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numCache>
            </c:numRef>
          </c:cat>
          <c:val>
            <c:numRef>
              <c:f>'Annual Reservoir Trends'!$C$4:$Y$4</c:f>
              <c:numCache>
                <c:formatCode>0.0</c:formatCode>
                <c:ptCount val="23"/>
                <c:pt idx="0">
                  <c:v>17.670000000000002</c:v>
                </c:pt>
                <c:pt idx="1">
                  <c:v>26.03</c:v>
                </c:pt>
                <c:pt idx="2">
                  <c:v>13.73</c:v>
                </c:pt>
                <c:pt idx="3">
                  <c:v>29.68</c:v>
                </c:pt>
                <c:pt idx="4">
                  <c:v>9.4</c:v>
                </c:pt>
                <c:pt idx="5">
                  <c:v>17.100000000000001</c:v>
                </c:pt>
                <c:pt idx="6">
                  <c:v>8.23</c:v>
                </c:pt>
                <c:pt idx="7">
                  <c:v>4.9000000000000004</c:v>
                </c:pt>
                <c:pt idx="8">
                  <c:v>6.2</c:v>
                </c:pt>
                <c:pt idx="9">
                  <c:v>23.9</c:v>
                </c:pt>
                <c:pt idx="10">
                  <c:v>24.6</c:v>
                </c:pt>
                <c:pt idx="11">
                  <c:v>15.4</c:v>
                </c:pt>
                <c:pt idx="12">
                  <c:v>14.8</c:v>
                </c:pt>
                <c:pt idx="13">
                  <c:v>6.6</c:v>
                </c:pt>
                <c:pt idx="14">
                  <c:v>15.4</c:v>
                </c:pt>
                <c:pt idx="15">
                  <c:v>9.1</c:v>
                </c:pt>
                <c:pt idx="16">
                  <c:v>9.3000000000000007</c:v>
                </c:pt>
                <c:pt idx="17">
                  <c:v>17.3</c:v>
                </c:pt>
                <c:pt idx="18">
                  <c:v>12.5</c:v>
                </c:pt>
                <c:pt idx="19">
                  <c:v>10.6</c:v>
                </c:pt>
                <c:pt idx="20">
                  <c:v>10.8</c:v>
                </c:pt>
                <c:pt idx="21">
                  <c:v>14.9</c:v>
                </c:pt>
                <c:pt idx="22">
                  <c:v>14.6</c:v>
                </c:pt>
              </c:numCache>
            </c:numRef>
          </c:val>
          <c:extLst>
            <c:ext xmlns:c16="http://schemas.microsoft.com/office/drawing/2014/chart" uri="{C3380CC4-5D6E-409C-BE32-E72D297353CC}">
              <c16:uniqueId val="{00000001-578C-4125-9423-EB881DA93B87}"/>
            </c:ext>
          </c:extLst>
        </c:ser>
        <c:dLbls>
          <c:showLegendKey val="0"/>
          <c:showVal val="0"/>
          <c:showCatName val="0"/>
          <c:showSerName val="0"/>
          <c:showPercent val="0"/>
          <c:showBubbleSize val="0"/>
        </c:dLbls>
        <c:gapWidth val="150"/>
        <c:axId val="98055680"/>
        <c:axId val="98057216"/>
      </c:barChart>
      <c:dateAx>
        <c:axId val="98055680"/>
        <c:scaling>
          <c:orientation val="minMax"/>
        </c:scaling>
        <c:delete val="0"/>
        <c:axPos val="b"/>
        <c:numFmt formatCode="[$-409]d\-mmm;@" sourceLinked="1"/>
        <c:majorTickMark val="out"/>
        <c:minorTickMark val="none"/>
        <c:tickLblPos val="nextTo"/>
        <c:spPr>
          <a:ln w="3175">
            <a:solidFill>
              <a:srgbClr val="000000"/>
            </a:solidFill>
            <a:prstDash val="solid"/>
          </a:ln>
        </c:spPr>
        <c:txPr>
          <a:bodyPr rot="-2700000" vert="horz"/>
          <a:lstStyle/>
          <a:p>
            <a:pPr>
              <a:defRPr sz="800" b="1" i="0" u="none" strike="noStrike" baseline="0">
                <a:solidFill>
                  <a:srgbClr val="000000"/>
                </a:solidFill>
                <a:latin typeface="Arial"/>
                <a:ea typeface="Arial"/>
                <a:cs typeface="Arial"/>
              </a:defRPr>
            </a:pPr>
            <a:endParaRPr lang="en-US"/>
          </a:p>
        </c:txPr>
        <c:crossAx val="98057216"/>
        <c:crosses val="autoZero"/>
        <c:auto val="1"/>
        <c:lblOffset val="100"/>
        <c:baseTimeUnit val="days"/>
        <c:majorUnit val="1"/>
        <c:minorUnit val="1"/>
      </c:dateAx>
      <c:valAx>
        <c:axId val="98057216"/>
        <c:scaling>
          <c:orientation val="minMax"/>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925" b="1" i="0" u="none" strike="noStrike" baseline="0">
                <a:solidFill>
                  <a:srgbClr val="000000"/>
                </a:solidFill>
                <a:latin typeface="Arial"/>
                <a:ea typeface="Arial"/>
                <a:cs typeface="Arial"/>
              </a:defRPr>
            </a:pPr>
            <a:endParaRPr lang="en-US"/>
          </a:p>
        </c:txPr>
        <c:crossAx val="98055680"/>
        <c:crosses val="autoZero"/>
        <c:crossBetween val="between"/>
      </c:valAx>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horizontalDpi="-2"/>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2013 Total Nitrogen Pounds</a:t>
            </a:r>
          </a:p>
        </c:rich>
      </c:tx>
      <c:layout>
        <c:manualLayout>
          <c:xMode val="edge"/>
          <c:yMode val="edge"/>
          <c:x val="0.38527226615510596"/>
          <c:y val="8.5188253907285988E-2"/>
        </c:manualLayout>
      </c:layout>
      <c:overlay val="0"/>
    </c:title>
    <c:autoTitleDeleted val="0"/>
    <c:view3D>
      <c:rotX val="30"/>
      <c:rotY val="30"/>
      <c:rAngAx val="0"/>
    </c:view3D>
    <c:floor>
      <c:thickness val="0"/>
    </c:floor>
    <c:sideWall>
      <c:thickness val="0"/>
    </c:sideWall>
    <c:backWall>
      <c:thickness val="0"/>
    </c:backWall>
    <c:plotArea>
      <c:layout>
        <c:manualLayout>
          <c:layoutTarget val="inner"/>
          <c:xMode val="edge"/>
          <c:yMode val="edge"/>
          <c:x val="2.5533206453458811E-2"/>
          <c:y val="0.19648019607305184"/>
          <c:w val="0.93812592586314225"/>
          <c:h val="0.74072338518660752"/>
        </c:manualLayout>
      </c:layout>
      <c:pie3DChart>
        <c:varyColors val="1"/>
        <c:ser>
          <c:idx val="1"/>
          <c:order val="0"/>
          <c:tx>
            <c:strRef>
              <c:f>Loading!$A$29</c:f>
              <c:strCache>
                <c:ptCount val="1"/>
                <c:pt idx="0">
                  <c:v>Total Nitrogen Pounds</c:v>
                </c:pt>
              </c:strCache>
            </c:strRef>
          </c:tx>
          <c:explosion val="17"/>
          <c:dPt>
            <c:idx val="1"/>
            <c:bubble3D val="0"/>
            <c:spPr>
              <a:solidFill>
                <a:schemeClr val="tx2">
                  <a:lumMod val="20000"/>
                  <a:lumOff val="80000"/>
                </a:schemeClr>
              </a:solidFill>
            </c:spPr>
            <c:extLst>
              <c:ext xmlns:c16="http://schemas.microsoft.com/office/drawing/2014/chart" uri="{C3380CC4-5D6E-409C-BE32-E72D297353CC}">
                <c16:uniqueId val="{00000000-7011-4A30-A731-E55F47C1AD24}"/>
              </c:ext>
            </c:extLst>
          </c:dPt>
          <c:dLbls>
            <c:dLbl>
              <c:idx val="0"/>
              <c:layout>
                <c:manualLayout>
                  <c:x val="4.8320144050884896E-2"/>
                  <c:y val="4.5609664645577842E-2"/>
                </c:manualLayout>
              </c:layout>
              <c:spPr>
                <a:gradFill>
                  <a:gsLst>
                    <a:gs pos="0">
                      <a:srgbClr val="4F81BD">
                        <a:tint val="66000"/>
                        <a:satMod val="160000"/>
                        <a:alpha val="51000"/>
                      </a:srgbClr>
                    </a:gs>
                    <a:gs pos="50000">
                      <a:srgbClr val="4F81BD">
                        <a:tint val="44500"/>
                        <a:satMod val="160000"/>
                      </a:srgbClr>
                    </a:gs>
                    <a:gs pos="100000">
                      <a:srgbClr val="4F81BD">
                        <a:tint val="23500"/>
                        <a:satMod val="160000"/>
                      </a:srgbClr>
                    </a:gs>
                  </a:gsLst>
                  <a:lin ang="5400000" scaled="0"/>
                </a:gradFill>
              </c:spPr>
              <c:txPr>
                <a:bodyPr/>
                <a:lstStyle/>
                <a:p>
                  <a:pPr>
                    <a:defRPr sz="800"/>
                  </a:pPr>
                  <a:endParaRPr lang="en-US"/>
                </a:p>
              </c:txPr>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011-4A30-A731-E55F47C1AD24}"/>
                </c:ext>
              </c:extLst>
            </c:dLbl>
            <c:dLbl>
              <c:idx val="1"/>
              <c:layout>
                <c:manualLayout>
                  <c:x val="0.20046036254948008"/>
                  <c:y val="-0.27797711750119625"/>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7011-4A30-A731-E55F47C1AD24}"/>
                </c:ext>
              </c:extLst>
            </c:dLbl>
            <c:spPr>
              <a:gradFill>
                <a:gsLst>
                  <a:gs pos="0">
                    <a:srgbClr val="4F81BD">
                      <a:tint val="66000"/>
                      <a:satMod val="160000"/>
                      <a:alpha val="51000"/>
                    </a:srgbClr>
                  </a:gs>
                  <a:gs pos="50000">
                    <a:srgbClr val="4F81BD">
                      <a:tint val="44500"/>
                      <a:satMod val="160000"/>
                    </a:srgbClr>
                  </a:gs>
                  <a:gs pos="100000">
                    <a:srgbClr val="4F81BD">
                      <a:tint val="23500"/>
                      <a:satMod val="160000"/>
                    </a:srgbClr>
                  </a:gs>
                </a:gsLst>
                <a:lin ang="5400000" scaled="0"/>
              </a:gradFill>
            </c:spPr>
            <c:txPr>
              <a:bodyPr/>
              <a:lstStyle/>
              <a:p>
                <a:pPr>
                  <a:defRPr sz="900"/>
                </a:pPr>
                <a:endParaRPr lang="en-US"/>
              </a:p>
            </c:txPr>
            <c:showLegendKey val="0"/>
            <c:showVal val="1"/>
            <c:showCatName val="1"/>
            <c:showSerName val="0"/>
            <c:showPercent val="1"/>
            <c:showBubbleSize val="0"/>
            <c:showLeaderLines val="0"/>
            <c:extLst>
              <c:ext xmlns:c15="http://schemas.microsoft.com/office/drawing/2012/chart" uri="{CE6537A1-D6FC-4f65-9D91-7224C49458BB}"/>
            </c:extLst>
          </c:dLbls>
          <c:cat>
            <c:strRef>
              <c:f>Loading!$A$30:$A$31</c:f>
              <c:strCache>
                <c:ptCount val="2"/>
                <c:pt idx="0">
                  <c:v>Site 16a-Turkey Creek Inflow</c:v>
                </c:pt>
                <c:pt idx="1">
                  <c:v>Site 15a-Bear Creek Inflow</c:v>
                </c:pt>
              </c:strCache>
            </c:strRef>
          </c:cat>
          <c:val>
            <c:numRef>
              <c:f>Loading!$N$30:$N$31</c:f>
              <c:numCache>
                <c:formatCode>#,##0</c:formatCode>
                <c:ptCount val="2"/>
                <c:pt idx="0">
                  <c:v>9844.8627751926397</c:v>
                </c:pt>
                <c:pt idx="1">
                  <c:v>84265.27671564529</c:v>
                </c:pt>
              </c:numCache>
            </c:numRef>
          </c:val>
          <c:extLst>
            <c:ext xmlns:c16="http://schemas.microsoft.com/office/drawing/2014/chart" uri="{C3380CC4-5D6E-409C-BE32-E72D297353CC}">
              <c16:uniqueId val="{00000002-7011-4A30-A731-E55F47C1AD24}"/>
            </c:ext>
          </c:extLst>
        </c:ser>
        <c:dLbls>
          <c:showLegendKey val="0"/>
          <c:showVal val="0"/>
          <c:showCatName val="0"/>
          <c:showSerName val="0"/>
          <c:showPercent val="0"/>
          <c:showBubbleSize val="0"/>
          <c:showLeaderLines val="0"/>
        </c:dLbls>
      </c:pie3DChart>
      <c:spPr>
        <a:solidFill>
          <a:srgbClr val="FFFFFF"/>
        </a:solidFill>
      </c:spPr>
    </c:plotArea>
    <c:plotVisOnly val="1"/>
    <c:dispBlanksAs val="gap"/>
    <c:showDLblsOverMax val="0"/>
  </c:chart>
  <c:spPr>
    <a:gradFill>
      <a:gsLst>
        <a:gs pos="0">
          <a:srgbClr val="4F81BD">
            <a:tint val="66000"/>
            <a:satMod val="160000"/>
            <a:alpha val="51000"/>
          </a:srgbClr>
        </a:gs>
        <a:gs pos="50000">
          <a:srgbClr val="4F81BD">
            <a:tint val="44500"/>
            <a:satMod val="160000"/>
          </a:srgbClr>
        </a:gs>
        <a:gs pos="100000">
          <a:srgbClr val="4F81BD">
            <a:tint val="23500"/>
            <a:satMod val="160000"/>
          </a:srgbClr>
        </a:gs>
      </a:gsLst>
      <a:lin ang="5400000" scaled="0"/>
    </a:gradFill>
  </c:spPr>
  <c:printSettings>
    <c:headerFooter/>
    <c:pageMargins b="0.75000000000001465" l="0.70000000000000062" r="0.70000000000000062" t="0.7500000000000146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Phosphorus, total </a:t>
            </a:r>
          </a:p>
        </c:rich>
      </c:tx>
      <c:overlay val="0"/>
    </c:title>
    <c:autoTitleDeleted val="0"/>
    <c:plotArea>
      <c:layout/>
      <c:barChart>
        <c:barDir val="col"/>
        <c:grouping val="clustered"/>
        <c:varyColors val="0"/>
        <c:ser>
          <c:idx val="0"/>
          <c:order val="0"/>
          <c:tx>
            <c:strRef>
              <c:f>Loading!$Q$21:$T$21</c:f>
              <c:strCache>
                <c:ptCount val="4"/>
                <c:pt idx="0">
                  <c:v>Total Phosphorus</c:v>
                </c:pt>
                <c:pt idx="1">
                  <c:v>172</c:v>
                </c:pt>
                <c:pt idx="2">
                  <c:v>13,050</c:v>
                </c:pt>
                <c:pt idx="3">
                  <c:v>26</c:v>
                </c:pt>
              </c:strCache>
            </c:strRef>
          </c:tx>
          <c:invertIfNegative val="0"/>
          <c:cat>
            <c:strRef>
              <c:f>Loading!$R$17:$T$17</c:f>
              <c:strCache>
                <c:ptCount val="3"/>
                <c:pt idx="0">
                  <c:v>August</c:v>
                </c:pt>
                <c:pt idx="1">
                  <c:v>September</c:v>
                </c:pt>
                <c:pt idx="2">
                  <c:v>October</c:v>
                </c:pt>
              </c:strCache>
            </c:strRef>
          </c:cat>
          <c:val>
            <c:numRef>
              <c:f>Loading!$R$21:$T$21</c:f>
              <c:numCache>
                <c:formatCode>#,##0</c:formatCode>
                <c:ptCount val="3"/>
                <c:pt idx="0">
                  <c:v>172</c:v>
                </c:pt>
                <c:pt idx="1">
                  <c:v>13050</c:v>
                </c:pt>
                <c:pt idx="2">
                  <c:v>26</c:v>
                </c:pt>
              </c:numCache>
            </c:numRef>
          </c:val>
          <c:extLst>
            <c:ext xmlns:c16="http://schemas.microsoft.com/office/drawing/2014/chart" uri="{C3380CC4-5D6E-409C-BE32-E72D297353CC}">
              <c16:uniqueId val="{00000000-C01E-4F83-AABD-D8E782E4D382}"/>
            </c:ext>
          </c:extLst>
        </c:ser>
        <c:dLbls>
          <c:showLegendKey val="0"/>
          <c:showVal val="0"/>
          <c:showCatName val="0"/>
          <c:showSerName val="0"/>
          <c:showPercent val="0"/>
          <c:showBubbleSize val="0"/>
        </c:dLbls>
        <c:gapWidth val="150"/>
        <c:axId val="130448384"/>
        <c:axId val="130466560"/>
      </c:barChart>
      <c:catAx>
        <c:axId val="130448384"/>
        <c:scaling>
          <c:orientation val="minMax"/>
        </c:scaling>
        <c:delete val="0"/>
        <c:axPos val="b"/>
        <c:numFmt formatCode="General" sourceLinked="0"/>
        <c:majorTickMark val="out"/>
        <c:minorTickMark val="none"/>
        <c:tickLblPos val="nextTo"/>
        <c:crossAx val="130466560"/>
        <c:crosses val="autoZero"/>
        <c:auto val="1"/>
        <c:lblAlgn val="ctr"/>
        <c:lblOffset val="100"/>
        <c:noMultiLvlLbl val="0"/>
      </c:catAx>
      <c:valAx>
        <c:axId val="130466560"/>
        <c:scaling>
          <c:orientation val="minMax"/>
        </c:scaling>
        <c:delete val="0"/>
        <c:axPos val="l"/>
        <c:majorGridlines/>
        <c:numFmt formatCode="#,##0" sourceLinked="1"/>
        <c:majorTickMark val="out"/>
        <c:minorTickMark val="none"/>
        <c:tickLblPos val="nextTo"/>
        <c:crossAx val="130448384"/>
        <c:crosses val="autoZero"/>
        <c:crossBetween val="between"/>
      </c:valAx>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c:spPr>
    </c:plotArea>
    <c:plotVisOnly val="1"/>
    <c:dispBlanksAs val="gap"/>
    <c:showDLblsOverMax val="0"/>
  </c:chart>
  <c:printSettings>
    <c:headerFooter/>
    <c:pageMargins b="0.75000000000000533" l="0.70000000000000062" r="0.70000000000000062" t="0.75000000000000533"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Total Phosphorus Deposition in Bear Creek Reservoir</a:t>
            </a:r>
          </a:p>
        </c:rich>
      </c:tx>
      <c:overlay val="0"/>
    </c:title>
    <c:autoTitleDeleted val="0"/>
    <c:plotArea>
      <c:layout/>
      <c:barChart>
        <c:barDir val="col"/>
        <c:grouping val="clustered"/>
        <c:varyColors val="0"/>
        <c:ser>
          <c:idx val="0"/>
          <c:order val="0"/>
          <c:tx>
            <c:strRef>
              <c:f>Loading!$E$133</c:f>
              <c:strCache>
                <c:ptCount val="1"/>
              </c:strCache>
            </c:strRef>
          </c:tx>
          <c:invertIfNegative val="0"/>
          <c:cat>
            <c:numRef>
              <c:f>Loading!$B$126:$G$126</c:f>
              <c:numCache>
                <c:formatCode>General</c:formatCode>
                <c:ptCount val="6"/>
                <c:pt idx="0">
                  <c:v>2008</c:v>
                </c:pt>
                <c:pt idx="1">
                  <c:v>2009</c:v>
                </c:pt>
                <c:pt idx="2">
                  <c:v>2010</c:v>
                </c:pt>
                <c:pt idx="3">
                  <c:v>2011</c:v>
                </c:pt>
                <c:pt idx="4">
                  <c:v>2012</c:v>
                </c:pt>
                <c:pt idx="5">
                  <c:v>2013</c:v>
                </c:pt>
              </c:numCache>
            </c:numRef>
          </c:cat>
          <c:val>
            <c:numRef>
              <c:f>Loading!$E$134</c:f>
              <c:numCache>
                <c:formatCode>0.0</c:formatCode>
                <c:ptCount val="1"/>
              </c:numCache>
            </c:numRef>
          </c:val>
          <c:extLst>
            <c:ext xmlns:c16="http://schemas.microsoft.com/office/drawing/2014/chart" uri="{C3380CC4-5D6E-409C-BE32-E72D297353CC}">
              <c16:uniqueId val="{00000000-25D0-4E1D-89B0-5848DB28DF44}"/>
            </c:ext>
          </c:extLst>
        </c:ser>
        <c:ser>
          <c:idx val="1"/>
          <c:order val="1"/>
          <c:tx>
            <c:strRef>
              <c:f>Loading!$B$127:$G$127</c:f>
              <c:strCache>
                <c:ptCount val="6"/>
                <c:pt idx="0">
                  <c:v>667</c:v>
                </c:pt>
                <c:pt idx="1">
                  <c:v>1,014</c:v>
                </c:pt>
                <c:pt idx="2">
                  <c:v>1,395</c:v>
                </c:pt>
                <c:pt idx="3">
                  <c:v>223</c:v>
                </c:pt>
                <c:pt idx="4">
                  <c:v>374</c:v>
                </c:pt>
                <c:pt idx="5">
                  <c:v>6,759</c:v>
                </c:pt>
              </c:strCache>
            </c:strRef>
          </c:tx>
          <c:invertIfNegative val="0"/>
          <c:cat>
            <c:numRef>
              <c:f>Loading!$B$126:$G$126</c:f>
              <c:numCache>
                <c:formatCode>General</c:formatCode>
                <c:ptCount val="6"/>
                <c:pt idx="0">
                  <c:v>2008</c:v>
                </c:pt>
                <c:pt idx="1">
                  <c:v>2009</c:v>
                </c:pt>
                <c:pt idx="2">
                  <c:v>2010</c:v>
                </c:pt>
                <c:pt idx="3">
                  <c:v>2011</c:v>
                </c:pt>
                <c:pt idx="4">
                  <c:v>2012</c:v>
                </c:pt>
                <c:pt idx="5">
                  <c:v>2013</c:v>
                </c:pt>
              </c:numCache>
            </c:numRef>
          </c:cat>
          <c:val>
            <c:numRef>
              <c:f>Loading!$B$127:$G$127</c:f>
              <c:numCache>
                <c:formatCode>#,##0</c:formatCode>
                <c:ptCount val="6"/>
                <c:pt idx="0">
                  <c:v>667</c:v>
                </c:pt>
                <c:pt idx="1">
                  <c:v>1014</c:v>
                </c:pt>
                <c:pt idx="2">
                  <c:v>1395</c:v>
                </c:pt>
                <c:pt idx="3">
                  <c:v>223</c:v>
                </c:pt>
                <c:pt idx="4">
                  <c:v>374</c:v>
                </c:pt>
                <c:pt idx="5">
                  <c:v>6759</c:v>
                </c:pt>
              </c:numCache>
            </c:numRef>
          </c:val>
          <c:extLst>
            <c:ext xmlns:c16="http://schemas.microsoft.com/office/drawing/2014/chart" uri="{C3380CC4-5D6E-409C-BE32-E72D297353CC}">
              <c16:uniqueId val="{00000001-25D0-4E1D-89B0-5848DB28DF44}"/>
            </c:ext>
          </c:extLst>
        </c:ser>
        <c:dLbls>
          <c:showLegendKey val="0"/>
          <c:showVal val="0"/>
          <c:showCatName val="0"/>
          <c:showSerName val="0"/>
          <c:showPercent val="0"/>
          <c:showBubbleSize val="0"/>
        </c:dLbls>
        <c:gapWidth val="0"/>
        <c:axId val="130491136"/>
        <c:axId val="130492672"/>
      </c:barChart>
      <c:catAx>
        <c:axId val="130491136"/>
        <c:scaling>
          <c:orientation val="minMax"/>
        </c:scaling>
        <c:delete val="0"/>
        <c:axPos val="b"/>
        <c:numFmt formatCode="General" sourceLinked="1"/>
        <c:majorTickMark val="in"/>
        <c:minorTickMark val="in"/>
        <c:tickLblPos val="nextTo"/>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crossAx val="130492672"/>
        <c:crosses val="autoZero"/>
        <c:auto val="1"/>
        <c:lblAlgn val="ctr"/>
        <c:lblOffset val="100"/>
        <c:tickLblSkip val="1"/>
        <c:noMultiLvlLbl val="0"/>
      </c:catAx>
      <c:valAx>
        <c:axId val="130492672"/>
        <c:scaling>
          <c:orientation val="minMax"/>
          <c:max val="7000"/>
        </c:scaling>
        <c:delete val="0"/>
        <c:axPos val="l"/>
        <c:majorGridlines/>
        <c:title>
          <c:tx>
            <c:rich>
              <a:bodyPr/>
              <a:lstStyle/>
              <a:p>
                <a:pPr>
                  <a:defRPr/>
                </a:pPr>
                <a:r>
                  <a:rPr lang="en-US"/>
                  <a:t>TP pounds/year</a:t>
                </a:r>
              </a:p>
            </c:rich>
          </c:tx>
          <c:overlay val="0"/>
        </c:title>
        <c:numFmt formatCode="#,##0" sourceLinked="0"/>
        <c:majorTickMark val="out"/>
        <c:minorTickMark val="none"/>
        <c:tickLblPos val="nextTo"/>
        <c:crossAx val="130491136"/>
        <c:crosses val="autoZero"/>
        <c:crossBetween val="between"/>
        <c:majorUnit val="1000"/>
        <c:minorUnit val="500"/>
      </c:valAx>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a:noFill/>
        </a:ln>
        <a:scene3d>
          <a:camera prst="orthographicFront"/>
          <a:lightRig rig="threePt" dir="t"/>
        </a:scene3d>
        <a:sp3d/>
      </c:spPr>
    </c:plotArea>
    <c:plotVisOnly val="1"/>
    <c:dispBlanksAs val="gap"/>
    <c:showDLblsOverMax val="0"/>
  </c:chart>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a:noFill/>
    </a:ln>
  </c:spPr>
  <c:printSettings>
    <c:headerFooter/>
    <c:pageMargins b="0.75000000000000056" l="0.70000000000000051" r="0.70000000000000051" t="0.75000000000000056" header="0.30000000000000027" footer="0.30000000000000027"/>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Carlson Seasonal Trophic Status Index [TSI]</a:t>
            </a:r>
          </a:p>
        </c:rich>
      </c:tx>
      <c:layout>
        <c:manualLayout>
          <c:xMode val="edge"/>
          <c:yMode val="edge"/>
          <c:x val="0.23773006134969324"/>
          <c:y val="3.4591194968553458E-2"/>
        </c:manualLayout>
      </c:layout>
      <c:overlay val="0"/>
      <c:spPr>
        <a:noFill/>
        <a:ln w="25400">
          <a:noFill/>
        </a:ln>
      </c:spPr>
    </c:title>
    <c:autoTitleDeleted val="0"/>
    <c:plotArea>
      <c:layout>
        <c:manualLayout>
          <c:layoutTarget val="inner"/>
          <c:xMode val="edge"/>
          <c:yMode val="edge"/>
          <c:x val="6.0917755392307808E-2"/>
          <c:y val="0.15513657123134839"/>
          <c:w val="0.92357584931513192"/>
          <c:h val="0.61006476656092323"/>
        </c:manualLayout>
      </c:layout>
      <c:lineChart>
        <c:grouping val="standard"/>
        <c:varyColors val="0"/>
        <c:ser>
          <c:idx val="0"/>
          <c:order val="0"/>
          <c:tx>
            <c:strRef>
              <c:f>Carlson!$Z$42</c:f>
              <c:strCache>
                <c:ptCount val="1"/>
                <c:pt idx="0">
                  <c:v>Chlorophyll-a</c:v>
                </c:pt>
              </c:strCache>
            </c:strRef>
          </c:tx>
          <c:spPr>
            <a:ln w="38100">
              <a:solidFill>
                <a:srgbClr val="000080"/>
              </a:solidFill>
              <a:prstDash val="solid"/>
            </a:ln>
          </c:spPr>
          <c:marker>
            <c:symbol val="none"/>
          </c:marker>
          <c:cat>
            <c:numRef>
              <c:f>Carlson!$C$38:$Y$38</c:f>
              <c:numCache>
                <c:formatCode>[$-409]d\-mmm;@</c:formatCode>
                <c:ptCount val="2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numCache>
            </c:numRef>
          </c:cat>
          <c:val>
            <c:numRef>
              <c:f>Carlson!$C$34:$Y$34</c:f>
              <c:numCache>
                <c:formatCode>0.00</c:formatCode>
                <c:ptCount val="23"/>
                <c:pt idx="0">
                  <c:v>44.174991975146384</c:v>
                </c:pt>
                <c:pt idx="1">
                  <c:v>54.795415178371954</c:v>
                </c:pt>
                <c:pt idx="2">
                  <c:v>56.76550870656898</c:v>
                </c:pt>
                <c:pt idx="3">
                  <c:v>62.711700939593776</c:v>
                </c:pt>
                <c:pt idx="4">
                  <c:v>54.087614881709925</c:v>
                </c:pt>
                <c:pt idx="5">
                  <c:v>61.698736529492948</c:v>
                </c:pt>
                <c:pt idx="6">
                  <c:v>48.177160393127224</c:v>
                </c:pt>
                <c:pt idx="7">
                  <c:v>40.34379989323088</c:v>
                </c:pt>
                <c:pt idx="8">
                  <c:v>41.699054713727698</c:v>
                </c:pt>
                <c:pt idx="9">
                  <c:v>56.900821196687197</c:v>
                </c:pt>
                <c:pt idx="10">
                  <c:v>61.570174131482617</c:v>
                </c:pt>
                <c:pt idx="11">
                  <c:v>60.134190892128345</c:v>
                </c:pt>
                <c:pt idx="12">
                  <c:v>59.223330881746776</c:v>
                </c:pt>
                <c:pt idx="13">
                  <c:v>51.594049063898417</c:v>
                </c:pt>
                <c:pt idx="14">
                  <c:v>57.424145267406118</c:v>
                </c:pt>
                <c:pt idx="15">
                  <c:v>55.911927098300708</c:v>
                </c:pt>
                <c:pt idx="16">
                  <c:v>48.962379355404615</c:v>
                </c:pt>
                <c:pt idx="17">
                  <c:v>62.486173765809482</c:v>
                </c:pt>
                <c:pt idx="18">
                  <c:v>61.486327467207936</c:v>
                </c:pt>
                <c:pt idx="19">
                  <c:v>57.295908147230385</c:v>
                </c:pt>
                <c:pt idx="20">
                  <c:v>52.154773103668319</c:v>
                </c:pt>
                <c:pt idx="21">
                  <c:v>62.216333570611212</c:v>
                </c:pt>
                <c:pt idx="22">
                  <c:v>62.711700939593776</c:v>
                </c:pt>
              </c:numCache>
            </c:numRef>
          </c:val>
          <c:smooth val="0"/>
          <c:extLst>
            <c:ext xmlns:c16="http://schemas.microsoft.com/office/drawing/2014/chart" uri="{C3380CC4-5D6E-409C-BE32-E72D297353CC}">
              <c16:uniqueId val="{00000000-0AF8-4503-9D1F-F7A584F3E3CA}"/>
            </c:ext>
          </c:extLst>
        </c:ser>
        <c:ser>
          <c:idx val="1"/>
          <c:order val="1"/>
          <c:tx>
            <c:strRef>
              <c:f>Carlson!$Z$43</c:f>
              <c:strCache>
                <c:ptCount val="1"/>
                <c:pt idx="0">
                  <c:v>Total Phosphorus</c:v>
                </c:pt>
              </c:strCache>
            </c:strRef>
          </c:tx>
          <c:spPr>
            <a:ln w="38100">
              <a:solidFill>
                <a:srgbClr val="FF00FF"/>
              </a:solidFill>
              <a:prstDash val="solid"/>
            </a:ln>
          </c:spPr>
          <c:marker>
            <c:symbol val="none"/>
          </c:marker>
          <c:cat>
            <c:numRef>
              <c:f>Carlson!$C$38:$Y$38</c:f>
              <c:numCache>
                <c:formatCode>[$-409]d\-mmm;@</c:formatCode>
                <c:ptCount val="2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numCache>
            </c:numRef>
          </c:cat>
          <c:val>
            <c:numRef>
              <c:f>Carlson!$C$37:$Y$37</c:f>
              <c:numCache>
                <c:formatCode>0.00</c:formatCode>
                <c:ptCount val="23"/>
                <c:pt idx="0">
                  <c:v>79.950309900597716</c:v>
                </c:pt>
                <c:pt idx="1">
                  <c:v>79.164812772428064</c:v>
                </c:pt>
                <c:pt idx="2">
                  <c:v>81.040837132116607</c:v>
                </c:pt>
                <c:pt idx="3">
                  <c:v>69.396448868134499</c:v>
                </c:pt>
                <c:pt idx="4">
                  <c:v>62.800695131408894</c:v>
                </c:pt>
                <c:pt idx="5">
                  <c:v>53.621504171891345</c:v>
                </c:pt>
                <c:pt idx="6">
                  <c:v>56.978558937189497</c:v>
                </c:pt>
                <c:pt idx="7">
                  <c:v>55.41811904667734</c:v>
                </c:pt>
                <c:pt idx="8">
                  <c:v>59.483858202128459</c:v>
                </c:pt>
                <c:pt idx="9">
                  <c:v>58.183879383470696</c:v>
                </c:pt>
                <c:pt idx="10">
                  <c:v>63.709719096324825</c:v>
                </c:pt>
                <c:pt idx="11">
                  <c:v>60.846925623884772</c:v>
                </c:pt>
                <c:pt idx="12">
                  <c:v>63.756011270913007</c:v>
                </c:pt>
                <c:pt idx="13">
                  <c:v>57.451388182297023</c:v>
                </c:pt>
                <c:pt idx="14">
                  <c:v>59.296176593952403</c:v>
                </c:pt>
                <c:pt idx="15">
                  <c:v>50.851743280210364</c:v>
                </c:pt>
                <c:pt idx="16">
                  <c:v>52.506124871048137</c:v>
                </c:pt>
                <c:pt idx="17">
                  <c:v>63.523049822907645</c:v>
                </c:pt>
                <c:pt idx="18">
                  <c:v>60.299447281822843</c:v>
                </c:pt>
                <c:pt idx="19">
                  <c:v>56.904419956393461</c:v>
                </c:pt>
                <c:pt idx="20">
                  <c:v>61.988085786341578</c:v>
                </c:pt>
                <c:pt idx="21">
                  <c:v>70.147033659345396</c:v>
                </c:pt>
                <c:pt idx="22">
                  <c:v>72.152076901603735</c:v>
                </c:pt>
              </c:numCache>
            </c:numRef>
          </c:val>
          <c:smooth val="0"/>
          <c:extLst>
            <c:ext xmlns:c16="http://schemas.microsoft.com/office/drawing/2014/chart" uri="{C3380CC4-5D6E-409C-BE32-E72D297353CC}">
              <c16:uniqueId val="{00000001-0AF8-4503-9D1F-F7A584F3E3CA}"/>
            </c:ext>
          </c:extLst>
        </c:ser>
        <c:ser>
          <c:idx val="2"/>
          <c:order val="2"/>
          <c:tx>
            <c:strRef>
              <c:f>Carlson!$Z$44</c:f>
              <c:strCache>
                <c:ptCount val="1"/>
                <c:pt idx="0">
                  <c:v>Sechhi</c:v>
                </c:pt>
              </c:strCache>
            </c:strRef>
          </c:tx>
          <c:spPr>
            <a:ln w="38100">
              <a:solidFill>
                <a:srgbClr val="FF0000"/>
              </a:solidFill>
              <a:prstDash val="solid"/>
            </a:ln>
          </c:spPr>
          <c:marker>
            <c:symbol val="none"/>
          </c:marker>
          <c:cat>
            <c:numRef>
              <c:f>Carlson!$C$38:$Y$38</c:f>
              <c:numCache>
                <c:formatCode>[$-409]d\-mmm;@</c:formatCode>
                <c:ptCount val="2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numCache>
            </c:numRef>
          </c:cat>
          <c:val>
            <c:numRef>
              <c:f>Carlson!$C$31:$Y$31</c:f>
              <c:numCache>
                <c:formatCode>0.00</c:formatCode>
                <c:ptCount val="23"/>
                <c:pt idx="0">
                  <c:v>49.797204222096241</c:v>
                </c:pt>
                <c:pt idx="1">
                  <c:v>49.172094162064695</c:v>
                </c:pt>
                <c:pt idx="2">
                  <c:v>48.443157153348082</c:v>
                </c:pt>
                <c:pt idx="3">
                  <c:v>52.353646902194129</c:v>
                </c:pt>
                <c:pt idx="4">
                  <c:v>56.900245019719819</c:v>
                </c:pt>
                <c:pt idx="5">
                  <c:v>46.607283013608452</c:v>
                </c:pt>
                <c:pt idx="6">
                  <c:v>55.151435070288322</c:v>
                </c:pt>
                <c:pt idx="7">
                  <c:v>52.353646902194129</c:v>
                </c:pt>
                <c:pt idx="8">
                  <c:v>51.529994158760466</c:v>
                </c:pt>
                <c:pt idx="9">
                  <c:v>47.935263171469352</c:v>
                </c:pt>
                <c:pt idx="10">
                  <c:v>47.997779538505156</c:v>
                </c:pt>
                <c:pt idx="11">
                  <c:v>45.687241950921816</c:v>
                </c:pt>
                <c:pt idx="12">
                  <c:v>53.227247702568953</c:v>
                </c:pt>
                <c:pt idx="13">
                  <c:v>50.011749128131186</c:v>
                </c:pt>
                <c:pt idx="14">
                  <c:v>54.15724779216135</c:v>
                </c:pt>
                <c:pt idx="15">
                  <c:v>47.384495494730302</c:v>
                </c:pt>
                <c:pt idx="16">
                  <c:v>46.796250553693426</c:v>
                </c:pt>
                <c:pt idx="17">
                  <c:v>54.15724779216135</c:v>
                </c:pt>
                <c:pt idx="18">
                  <c:v>51.529994158760466</c:v>
                </c:pt>
                <c:pt idx="19">
                  <c:v>53.227247702568953</c:v>
                </c:pt>
                <c:pt idx="20">
                  <c:v>48.638329437150865</c:v>
                </c:pt>
                <c:pt idx="21">
                  <c:v>54.947034480054228</c:v>
                </c:pt>
                <c:pt idx="22">
                  <c:v>58.111882738723722</c:v>
                </c:pt>
              </c:numCache>
            </c:numRef>
          </c:val>
          <c:smooth val="0"/>
          <c:extLst>
            <c:ext xmlns:c16="http://schemas.microsoft.com/office/drawing/2014/chart" uri="{C3380CC4-5D6E-409C-BE32-E72D297353CC}">
              <c16:uniqueId val="{00000002-0AF8-4503-9D1F-F7A584F3E3CA}"/>
            </c:ext>
          </c:extLst>
        </c:ser>
        <c:dLbls>
          <c:showLegendKey val="0"/>
          <c:showVal val="0"/>
          <c:showCatName val="0"/>
          <c:showSerName val="0"/>
          <c:showPercent val="0"/>
          <c:showBubbleSize val="0"/>
        </c:dLbls>
        <c:smooth val="0"/>
        <c:axId val="130698624"/>
        <c:axId val="130700416"/>
      </c:lineChart>
      <c:dateAx>
        <c:axId val="130698624"/>
        <c:scaling>
          <c:orientation val="minMax"/>
        </c:scaling>
        <c:delete val="0"/>
        <c:axPos val="b"/>
        <c:numFmt formatCode="[$-409]d\-mmm;@"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30700416"/>
        <c:crosses val="autoZero"/>
        <c:auto val="1"/>
        <c:lblOffset val="100"/>
        <c:baseTimeUnit val="days"/>
        <c:majorUnit val="1"/>
        <c:minorUnit val="1"/>
      </c:dateAx>
      <c:valAx>
        <c:axId val="130700416"/>
        <c:scaling>
          <c:orientation val="minMax"/>
          <c:max val="90"/>
          <c:min val="30"/>
        </c:scaling>
        <c:delete val="0"/>
        <c:axPos val="l"/>
        <c:majorGridlines>
          <c:spPr>
            <a:ln w="3175">
              <a:solidFill>
                <a:srgbClr val="000000"/>
              </a:solidFill>
              <a:prstDash val="solid"/>
            </a:ln>
          </c:spPr>
        </c:majorGridlines>
        <c:numFmt formatCode="General" sourceLinked="0"/>
        <c:majorTickMark val="out"/>
        <c:minorTickMark val="out"/>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130698624"/>
        <c:crosses val="autoZero"/>
        <c:crossBetween val="between"/>
        <c:minorUnit val="10"/>
      </c:valAx>
      <c:spPr>
        <a:gradFill>
          <a:gsLst>
            <a:gs pos="67000">
              <a:srgbClr val="00B050">
                <a:alpha val="78000"/>
              </a:srgbClr>
            </a:gs>
            <a:gs pos="50000">
              <a:srgbClr val="4F81BD">
                <a:tint val="44500"/>
                <a:satMod val="160000"/>
              </a:srgbClr>
            </a:gs>
            <a:gs pos="100000">
              <a:srgbClr val="4F81BD">
                <a:tint val="23500"/>
                <a:satMod val="160000"/>
              </a:srgbClr>
            </a:gs>
          </a:gsLst>
          <a:lin ang="5400000" scaled="0"/>
        </a:gradFill>
      </c:spPr>
    </c:plotArea>
    <c:legend>
      <c:legendPos val="b"/>
      <c:layout>
        <c:manualLayout>
          <c:xMode val="edge"/>
          <c:yMode val="edge"/>
          <c:x val="0.2213623366911539"/>
          <c:y val="0.87770730493550764"/>
          <c:w val="0.57216777372102157"/>
          <c:h val="7.3227104008448729E-2"/>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Arial Black"/>
              <a:ea typeface="Arial Black"/>
              <a:cs typeface="Arial Black"/>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horizontalDpi="-2"/>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Carlson's Annual Trophic Status Index [TSI]  
</a:t>
            </a:r>
          </a:p>
        </c:rich>
      </c:tx>
      <c:layout>
        <c:manualLayout>
          <c:xMode val="edge"/>
          <c:yMode val="edge"/>
          <c:x val="0.2458521870286576"/>
          <c:y val="3.5031847133758252E-2"/>
        </c:manualLayout>
      </c:layout>
      <c:overlay val="0"/>
      <c:spPr>
        <a:noFill/>
        <a:ln w="25400">
          <a:noFill/>
        </a:ln>
      </c:spPr>
    </c:title>
    <c:autoTitleDeleted val="0"/>
    <c:plotArea>
      <c:layout>
        <c:manualLayout>
          <c:layoutTarget val="inner"/>
          <c:xMode val="edge"/>
          <c:yMode val="edge"/>
          <c:x val="6.3573958344615447E-2"/>
          <c:y val="0.12526539278132995"/>
          <c:w val="0.91237266492943359"/>
          <c:h val="0.66985138004246281"/>
        </c:manualLayout>
      </c:layout>
      <c:lineChart>
        <c:grouping val="standard"/>
        <c:varyColors val="0"/>
        <c:ser>
          <c:idx val="0"/>
          <c:order val="0"/>
          <c:tx>
            <c:strRef>
              <c:f>Carlson!$Z$42</c:f>
              <c:strCache>
                <c:ptCount val="1"/>
                <c:pt idx="0">
                  <c:v>Chlorophyll-a</c:v>
                </c:pt>
              </c:strCache>
            </c:strRef>
          </c:tx>
          <c:spPr>
            <a:ln w="38100">
              <a:solidFill>
                <a:srgbClr val="000080"/>
              </a:solidFill>
              <a:prstDash val="solid"/>
            </a:ln>
          </c:spPr>
          <c:marker>
            <c:symbol val="none"/>
          </c:marker>
          <c:cat>
            <c:numRef>
              <c:f>Carlson!$B$27:$Y$27</c:f>
              <c:numCache>
                <c:formatCode>[$-409]d\-mmm;@</c:formatCode>
                <c:ptCount val="24"/>
                <c:pt idx="0">
                  <c:v>1988</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numCache>
            </c:numRef>
          </c:cat>
          <c:val>
            <c:numRef>
              <c:f>Carlson!$B$23:$Y$23</c:f>
              <c:numCache>
                <c:formatCode>0.00</c:formatCode>
                <c:ptCount val="24"/>
                <c:pt idx="0">
                  <c:v>50.328755837972679</c:v>
                </c:pt>
                <c:pt idx="1">
                  <c:v>60.569001946553058</c:v>
                </c:pt>
                <c:pt idx="2">
                  <c:v>59.490108185268312</c:v>
                </c:pt>
                <c:pt idx="3">
                  <c:v>52.045163024800708</c:v>
                </c:pt>
                <c:pt idx="4">
                  <c:v>60.196813250617694</c:v>
                </c:pt>
                <c:pt idx="5">
                  <c:v>46.563595517817454</c:v>
                </c:pt>
                <c:pt idx="6">
                  <c:v>58.451359727019508</c:v>
                </c:pt>
                <c:pt idx="7">
                  <c:v>51.241556053390738</c:v>
                </c:pt>
                <c:pt idx="8">
                  <c:v>44.90901337268226</c:v>
                </c:pt>
                <c:pt idx="9">
                  <c:v>47.844586171188787</c:v>
                </c:pt>
                <c:pt idx="10">
                  <c:v>56.558974762338245</c:v>
                </c:pt>
                <c:pt idx="11">
                  <c:v>62.018942605224893</c:v>
                </c:pt>
                <c:pt idx="12">
                  <c:v>57.424145267406118</c:v>
                </c:pt>
                <c:pt idx="13">
                  <c:v>57.034292643354384</c:v>
                </c:pt>
                <c:pt idx="14">
                  <c:v>49.112153257007648</c:v>
                </c:pt>
                <c:pt idx="15">
                  <c:v>57.487640634706224</c:v>
                </c:pt>
                <c:pt idx="16">
                  <c:v>52.263171996658713</c:v>
                </c:pt>
                <c:pt idx="17">
                  <c:v>52.47644126556186</c:v>
                </c:pt>
                <c:pt idx="18">
                  <c:v>58.565430779751622</c:v>
                </c:pt>
                <c:pt idx="19">
                  <c:v>55.377398000663987</c:v>
                </c:pt>
                <c:pt idx="20">
                  <c:v>53.759977750967792</c:v>
                </c:pt>
                <c:pt idx="21">
                  <c:v>53.943347575817015</c:v>
                </c:pt>
                <c:pt idx="22">
                  <c:v>57.100353499053369</c:v>
                </c:pt>
                <c:pt idx="23">
                  <c:v>56.900821196687197</c:v>
                </c:pt>
              </c:numCache>
            </c:numRef>
          </c:val>
          <c:smooth val="0"/>
          <c:extLst>
            <c:ext xmlns:c16="http://schemas.microsoft.com/office/drawing/2014/chart" uri="{C3380CC4-5D6E-409C-BE32-E72D297353CC}">
              <c16:uniqueId val="{00000000-5018-4209-919C-E1D577676AB1}"/>
            </c:ext>
          </c:extLst>
        </c:ser>
        <c:ser>
          <c:idx val="1"/>
          <c:order val="1"/>
          <c:tx>
            <c:strRef>
              <c:f>Carlson!$Z$43</c:f>
              <c:strCache>
                <c:ptCount val="1"/>
                <c:pt idx="0">
                  <c:v>Total Phosphorus</c:v>
                </c:pt>
              </c:strCache>
            </c:strRef>
          </c:tx>
          <c:spPr>
            <a:ln w="38100">
              <a:solidFill>
                <a:srgbClr val="FF00FF"/>
              </a:solidFill>
              <a:prstDash val="solid"/>
            </a:ln>
          </c:spPr>
          <c:marker>
            <c:symbol val="none"/>
          </c:marker>
          <c:cat>
            <c:numRef>
              <c:f>Carlson!$B$27:$Y$27</c:f>
              <c:numCache>
                <c:formatCode>[$-409]d\-mmm;@</c:formatCode>
                <c:ptCount val="24"/>
                <c:pt idx="0">
                  <c:v>1988</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numCache>
            </c:numRef>
          </c:cat>
          <c:val>
            <c:numRef>
              <c:f>Carlson!$B$26:$Y$26</c:f>
              <c:numCache>
                <c:formatCode>0.00</c:formatCode>
                <c:ptCount val="24"/>
                <c:pt idx="0">
                  <c:v>77.86486390810137</c:v>
                </c:pt>
                <c:pt idx="1">
                  <c:v>79.361907306518916</c:v>
                </c:pt>
                <c:pt idx="2">
                  <c:v>77.53626381206297</c:v>
                </c:pt>
                <c:pt idx="3">
                  <c:v>78.029833513059273</c:v>
                </c:pt>
                <c:pt idx="4">
                  <c:v>68.55336662767651</c:v>
                </c:pt>
                <c:pt idx="5">
                  <c:v>57.668020750593648</c:v>
                </c:pt>
                <c:pt idx="6">
                  <c:v>52.923548917470939</c:v>
                </c:pt>
                <c:pt idx="7">
                  <c:v>56.48969856202617</c:v>
                </c:pt>
                <c:pt idx="8">
                  <c:v>56.062695626673559</c:v>
                </c:pt>
                <c:pt idx="9">
                  <c:v>57.909204411993279</c:v>
                </c:pt>
                <c:pt idx="10">
                  <c:v>63.190448587242685</c:v>
                </c:pt>
                <c:pt idx="11">
                  <c:v>60.503576069721355</c:v>
                </c:pt>
                <c:pt idx="12">
                  <c:v>60.618936684980596</c:v>
                </c:pt>
                <c:pt idx="13">
                  <c:v>60.416445895266378</c:v>
                </c:pt>
                <c:pt idx="14">
                  <c:v>54.080778661183317</c:v>
                </c:pt>
                <c:pt idx="15">
                  <c:v>57.052318688804327</c:v>
                </c:pt>
                <c:pt idx="16">
                  <c:v>49.977536233617379</c:v>
                </c:pt>
                <c:pt idx="17">
                  <c:v>53.527867479233244</c:v>
                </c:pt>
                <c:pt idx="18">
                  <c:v>60.733381730151109</c:v>
                </c:pt>
                <c:pt idx="19">
                  <c:v>55.335482717373779</c:v>
                </c:pt>
                <c:pt idx="20">
                  <c:v>54.829465885695264</c:v>
                </c:pt>
                <c:pt idx="21">
                  <c:v>57.629195613933874</c:v>
                </c:pt>
                <c:pt idx="22">
                  <c:v>63.569944173179216</c:v>
                </c:pt>
                <c:pt idx="23">
                  <c:v>64.477161535599635</c:v>
                </c:pt>
              </c:numCache>
            </c:numRef>
          </c:val>
          <c:smooth val="0"/>
          <c:extLst>
            <c:ext xmlns:c16="http://schemas.microsoft.com/office/drawing/2014/chart" uri="{C3380CC4-5D6E-409C-BE32-E72D297353CC}">
              <c16:uniqueId val="{00000001-5018-4209-919C-E1D577676AB1}"/>
            </c:ext>
          </c:extLst>
        </c:ser>
        <c:ser>
          <c:idx val="2"/>
          <c:order val="2"/>
          <c:tx>
            <c:strRef>
              <c:f>Carlson!$Z$44</c:f>
              <c:strCache>
                <c:ptCount val="1"/>
                <c:pt idx="0">
                  <c:v>Sechhi</c:v>
                </c:pt>
              </c:strCache>
            </c:strRef>
          </c:tx>
          <c:spPr>
            <a:ln w="38100">
              <a:solidFill>
                <a:srgbClr val="FF0000"/>
              </a:solidFill>
              <a:prstDash val="solid"/>
            </a:ln>
          </c:spPr>
          <c:marker>
            <c:symbol val="none"/>
          </c:marker>
          <c:cat>
            <c:numRef>
              <c:f>Carlson!$B$27:$Y$27</c:f>
              <c:numCache>
                <c:formatCode>[$-409]d\-mmm;@</c:formatCode>
                <c:ptCount val="24"/>
                <c:pt idx="0">
                  <c:v>1988</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numCache>
            </c:numRef>
          </c:cat>
          <c:val>
            <c:numRef>
              <c:f>Carlson!$B$20:$Y$20</c:f>
              <c:numCache>
                <c:formatCode>0.00</c:formatCode>
                <c:ptCount val="24"/>
                <c:pt idx="0">
                  <c:v>53.003832374585691</c:v>
                </c:pt>
                <c:pt idx="1">
                  <c:v>48.836181515570374</c:v>
                </c:pt>
                <c:pt idx="2">
                  <c:v>49.308682862449672</c:v>
                </c:pt>
                <c:pt idx="3">
                  <c:v>44.958783608185414</c:v>
                </c:pt>
                <c:pt idx="4">
                  <c:v>51.610272917923112</c:v>
                </c:pt>
                <c:pt idx="5">
                  <c:v>49.036788003623514</c:v>
                </c:pt>
                <c:pt idx="6">
                  <c:v>46.724380080519353</c:v>
                </c:pt>
                <c:pt idx="7">
                  <c:v>52.353646902194129</c:v>
                </c:pt>
                <c:pt idx="8">
                  <c:v>51.529994158760466</c:v>
                </c:pt>
                <c:pt idx="9">
                  <c:v>51.529994158760466</c:v>
                </c:pt>
                <c:pt idx="10">
                  <c:v>47.384495494730302</c:v>
                </c:pt>
                <c:pt idx="11">
                  <c:v>47.997779538505156</c:v>
                </c:pt>
                <c:pt idx="12">
                  <c:v>44.168996920292535</c:v>
                </c:pt>
                <c:pt idx="13">
                  <c:v>52.353646902194129</c:v>
                </c:pt>
                <c:pt idx="14">
                  <c:v>46.231080077154644</c:v>
                </c:pt>
                <c:pt idx="15">
                  <c:v>49.308682862449672</c:v>
                </c:pt>
                <c:pt idx="16">
                  <c:v>47.384495494730302</c:v>
                </c:pt>
                <c:pt idx="17">
                  <c:v>52.353646902194129</c:v>
                </c:pt>
                <c:pt idx="18">
                  <c:v>47.384495494730302</c:v>
                </c:pt>
                <c:pt idx="19">
                  <c:v>45.687241950921816</c:v>
                </c:pt>
                <c:pt idx="20">
                  <c:v>52.353646902194129</c:v>
                </c:pt>
                <c:pt idx="21">
                  <c:v>48.638329437150865</c:v>
                </c:pt>
                <c:pt idx="22">
                  <c:v>48.57297785121758</c:v>
                </c:pt>
                <c:pt idx="23">
                  <c:v>51.057492811881161</c:v>
                </c:pt>
              </c:numCache>
            </c:numRef>
          </c:val>
          <c:smooth val="0"/>
          <c:extLst>
            <c:ext xmlns:c16="http://schemas.microsoft.com/office/drawing/2014/chart" uri="{C3380CC4-5D6E-409C-BE32-E72D297353CC}">
              <c16:uniqueId val="{00000002-5018-4209-919C-E1D577676AB1}"/>
            </c:ext>
          </c:extLst>
        </c:ser>
        <c:dLbls>
          <c:showLegendKey val="0"/>
          <c:showVal val="0"/>
          <c:showCatName val="0"/>
          <c:showSerName val="0"/>
          <c:showPercent val="0"/>
          <c:showBubbleSize val="0"/>
        </c:dLbls>
        <c:smooth val="0"/>
        <c:axId val="130976768"/>
        <c:axId val="130982656"/>
      </c:lineChart>
      <c:dateAx>
        <c:axId val="130976768"/>
        <c:scaling>
          <c:orientation val="minMax"/>
        </c:scaling>
        <c:delete val="0"/>
        <c:axPos val="b"/>
        <c:numFmt formatCode="[$-409]d\-mmm;@"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30982656"/>
        <c:crosses val="autoZero"/>
        <c:auto val="1"/>
        <c:lblOffset val="100"/>
        <c:baseTimeUnit val="days"/>
        <c:majorUnit val="1"/>
        <c:minorUnit val="1"/>
      </c:dateAx>
      <c:valAx>
        <c:axId val="130982656"/>
        <c:scaling>
          <c:orientation val="minMax"/>
          <c:min val="3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30976768"/>
        <c:crosses val="autoZero"/>
        <c:crossBetween val="between"/>
        <c:minorUnit val="10"/>
      </c:valAx>
      <c:spPr>
        <a:gradFill>
          <a:gsLst>
            <a:gs pos="65000">
              <a:srgbClr val="00B050">
                <a:alpha val="86000"/>
              </a:srgbClr>
            </a:gs>
            <a:gs pos="50000">
              <a:srgbClr val="4F81BD">
                <a:tint val="44500"/>
                <a:satMod val="160000"/>
              </a:srgbClr>
            </a:gs>
            <a:gs pos="100000">
              <a:srgbClr val="4F81BD">
                <a:tint val="23500"/>
                <a:satMod val="160000"/>
              </a:srgbClr>
            </a:gs>
          </a:gsLst>
          <a:lin ang="5400000" scaled="0"/>
        </a:gradFill>
        <a:ln w="3175">
          <a:solidFill>
            <a:srgbClr val="000000"/>
          </a:solidFill>
          <a:prstDash val="solid"/>
        </a:ln>
      </c:spPr>
    </c:plotArea>
    <c:legend>
      <c:legendPos val="b"/>
      <c:layout>
        <c:manualLayout>
          <c:xMode val="edge"/>
          <c:yMode val="edge"/>
          <c:x val="0.25325376281197315"/>
          <c:y val="0.89065817409766457"/>
          <c:w val="0.56351048966193029"/>
          <c:h val="7.8824080111005404E-2"/>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Arial Black"/>
              <a:ea typeface="Arial Black"/>
              <a:cs typeface="Arial Black"/>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55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horizontalDpi="-2" verticalDpi="0"/>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Walker's Growing Season TSI Trophic Status
</a:t>
            </a:r>
          </a:p>
        </c:rich>
      </c:tx>
      <c:layout>
        <c:manualLayout>
          <c:xMode val="edge"/>
          <c:yMode val="edge"/>
          <c:x val="0.31267217630857286"/>
          <c:y val="3.5460992907801435E-2"/>
        </c:manualLayout>
      </c:layout>
      <c:overlay val="0"/>
      <c:spPr>
        <a:noFill/>
        <a:ln w="25400">
          <a:noFill/>
        </a:ln>
      </c:spPr>
    </c:title>
    <c:autoTitleDeleted val="0"/>
    <c:plotArea>
      <c:layout>
        <c:manualLayout>
          <c:layoutTarget val="inner"/>
          <c:xMode val="edge"/>
          <c:yMode val="edge"/>
          <c:x val="9.7997574864545453E-2"/>
          <c:y val="0.14746255520455137"/>
          <c:w val="0.90111783093760756"/>
          <c:h val="0.68530222611062508"/>
        </c:manualLayout>
      </c:layout>
      <c:lineChart>
        <c:grouping val="standard"/>
        <c:varyColors val="0"/>
        <c:ser>
          <c:idx val="0"/>
          <c:order val="0"/>
          <c:tx>
            <c:strRef>
              <c:f>Walker!$G$52</c:f>
              <c:strCache>
                <c:ptCount val="1"/>
                <c:pt idx="0">
                  <c:v>Chlorophyll-a</c:v>
                </c:pt>
              </c:strCache>
            </c:strRef>
          </c:tx>
          <c:spPr>
            <a:ln w="38100">
              <a:solidFill>
                <a:srgbClr val="000080"/>
              </a:solidFill>
              <a:prstDash val="solid"/>
            </a:ln>
          </c:spPr>
          <c:marker>
            <c:symbol val="none"/>
          </c:marker>
          <c:cat>
            <c:numRef>
              <c:f>Walker!$AC$16:$AY$16</c:f>
              <c:numCache>
                <c:formatCode>[$-409]d\-mmm;@</c:formatCode>
                <c:ptCount val="2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numCache>
            </c:numRef>
          </c:cat>
          <c:val>
            <c:numRef>
              <c:f>Walker!$AC$18:$AY$18</c:f>
              <c:numCache>
                <c:formatCode>0.00</c:formatCode>
                <c:ptCount val="23"/>
                <c:pt idx="0">
                  <c:v>39.954269549603552</c:v>
                </c:pt>
                <c:pt idx="1">
                  <c:v>55.565533829982016</c:v>
                </c:pt>
                <c:pt idx="2">
                  <c:v>58.461430738911787</c:v>
                </c:pt>
                <c:pt idx="3">
                  <c:v>67.201909026395739</c:v>
                </c:pt>
                <c:pt idx="4">
                  <c:v>54.525117899516516</c:v>
                </c:pt>
                <c:pt idx="5">
                  <c:v>65.712923624392289</c:v>
                </c:pt>
                <c:pt idx="6">
                  <c:v>45.83717154626855</c:v>
                </c:pt>
                <c:pt idx="7">
                  <c:v>34.269184011910241</c:v>
                </c:pt>
                <c:pt idx="8">
                  <c:v>36.314818447701668</c:v>
                </c:pt>
                <c:pt idx="9">
                  <c:v>58.660330444060072</c:v>
                </c:pt>
                <c:pt idx="10">
                  <c:v>65.523946072984643</c:v>
                </c:pt>
                <c:pt idx="11">
                  <c:v>63.413153176808436</c:v>
                </c:pt>
                <c:pt idx="12">
                  <c:v>62.074253956655305</c:v>
                </c:pt>
                <c:pt idx="13">
                  <c:v>50.859754077616223</c:v>
                </c:pt>
                <c:pt idx="14">
                  <c:v>59.522913145001397</c:v>
                </c:pt>
                <c:pt idx="15">
                  <c:v>57.206726682721325</c:v>
                </c:pt>
                <c:pt idx="16">
                  <c:v>46.991387390920949</c:v>
                </c:pt>
                <c:pt idx="17">
                  <c:v>66.870400173595584</c:v>
                </c:pt>
                <c:pt idx="18">
                  <c:v>65.400697459443251</c:v>
                </c:pt>
                <c:pt idx="19">
                  <c:v>59.241080069629163</c:v>
                </c:pt>
                <c:pt idx="20">
                  <c:v>51.683978405188284</c:v>
                </c:pt>
                <c:pt idx="21">
                  <c:v>66.47375434130619</c:v>
                </c:pt>
                <c:pt idx="22">
                  <c:v>67.201909026395739</c:v>
                </c:pt>
              </c:numCache>
            </c:numRef>
          </c:val>
          <c:smooth val="0"/>
          <c:extLst>
            <c:ext xmlns:c16="http://schemas.microsoft.com/office/drawing/2014/chart" uri="{C3380CC4-5D6E-409C-BE32-E72D297353CC}">
              <c16:uniqueId val="{00000000-C0A8-4BCB-94CA-C07EFA91F7FF}"/>
            </c:ext>
          </c:extLst>
        </c:ser>
        <c:ser>
          <c:idx val="1"/>
          <c:order val="1"/>
          <c:tx>
            <c:strRef>
              <c:f>Walker!$G$53</c:f>
              <c:strCache>
                <c:ptCount val="1"/>
                <c:pt idx="0">
                  <c:v>Total Phosphorus</c:v>
                </c:pt>
              </c:strCache>
            </c:strRef>
          </c:tx>
          <c:spPr>
            <a:ln w="38100">
              <a:solidFill>
                <a:srgbClr val="FF00FF"/>
              </a:solidFill>
              <a:prstDash val="solid"/>
            </a:ln>
          </c:spPr>
          <c:marker>
            <c:symbol val="none"/>
          </c:marker>
          <c:cat>
            <c:numRef>
              <c:f>Walker!$AC$16:$AY$16</c:f>
              <c:numCache>
                <c:formatCode>[$-409]d\-mmm;@</c:formatCode>
                <c:ptCount val="2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numCache>
            </c:numRef>
          </c:cat>
          <c:val>
            <c:numRef>
              <c:f>Walker!$AC$21:$AY$21</c:f>
              <c:numCache>
                <c:formatCode>0.00</c:formatCode>
                <c:ptCount val="23"/>
                <c:pt idx="0">
                  <c:v>105.23732345422789</c:v>
                </c:pt>
                <c:pt idx="1">
                  <c:v>104.14677889764283</c:v>
                </c:pt>
                <c:pt idx="2">
                  <c:v>106.75135640672498</c:v>
                </c:pt>
                <c:pt idx="3">
                  <c:v>90.584875613041092</c:v>
                </c:pt>
                <c:pt idx="4">
                  <c:v>81.427664114480308</c:v>
                </c:pt>
                <c:pt idx="5">
                  <c:v>68.683738801752057</c:v>
                </c:pt>
                <c:pt idx="6">
                  <c:v>73.344504155515523</c:v>
                </c:pt>
                <c:pt idx="7">
                  <c:v>71.178068191018056</c:v>
                </c:pt>
                <c:pt idx="8">
                  <c:v>76.822735173828832</c:v>
                </c:pt>
                <c:pt idx="9">
                  <c:v>75.017910212003002</c:v>
                </c:pt>
                <c:pt idx="10">
                  <c:v>82.689707094897571</c:v>
                </c:pt>
                <c:pt idx="11">
                  <c:v>78.715149167140993</c:v>
                </c:pt>
                <c:pt idx="12">
                  <c:v>82.753976813015143</c:v>
                </c:pt>
                <c:pt idx="13">
                  <c:v>74.00095640843179</c:v>
                </c:pt>
                <c:pt idx="14">
                  <c:v>76.562167504225187</c:v>
                </c:pt>
                <c:pt idx="15">
                  <c:v>64.838342612330891</c:v>
                </c:pt>
                <c:pt idx="16">
                  <c:v>67.135202490872658</c:v>
                </c:pt>
                <c:pt idx="17">
                  <c:v>82.430544899764982</c:v>
                </c:pt>
                <c:pt idx="18">
                  <c:v>77.95505787670551</c:v>
                </c:pt>
                <c:pt idx="19">
                  <c:v>73.241573337517138</c:v>
                </c:pt>
                <c:pt idx="20">
                  <c:v>80.299478324726664</c:v>
                </c:pt>
                <c:pt idx="21">
                  <c:v>91.626949643557182</c:v>
                </c:pt>
                <c:pt idx="22">
                  <c:v>94.410650455624605</c:v>
                </c:pt>
              </c:numCache>
            </c:numRef>
          </c:val>
          <c:smooth val="0"/>
          <c:extLst>
            <c:ext xmlns:c16="http://schemas.microsoft.com/office/drawing/2014/chart" uri="{C3380CC4-5D6E-409C-BE32-E72D297353CC}">
              <c16:uniqueId val="{00000001-C0A8-4BCB-94CA-C07EFA91F7FF}"/>
            </c:ext>
          </c:extLst>
        </c:ser>
        <c:ser>
          <c:idx val="2"/>
          <c:order val="2"/>
          <c:tx>
            <c:strRef>
              <c:f>Walker!$G$54</c:f>
              <c:strCache>
                <c:ptCount val="1"/>
                <c:pt idx="0">
                  <c:v>Sechhi</c:v>
                </c:pt>
              </c:strCache>
            </c:strRef>
          </c:tx>
          <c:spPr>
            <a:ln w="38100">
              <a:solidFill>
                <a:srgbClr val="FF0000"/>
              </a:solidFill>
              <a:prstDash val="solid"/>
            </a:ln>
          </c:spPr>
          <c:marker>
            <c:symbol val="none"/>
          </c:marker>
          <c:cat>
            <c:numRef>
              <c:f>Walker!$AC$16:$AY$16</c:f>
              <c:numCache>
                <c:formatCode>[$-409]d\-mmm;@</c:formatCode>
                <c:ptCount val="2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numCache>
            </c:numRef>
          </c:cat>
          <c:val>
            <c:numRef>
              <c:f>Walker!$AC$24:$AY$24</c:f>
              <c:numCache>
                <c:formatCode>0.00</c:formatCode>
                <c:ptCount val="23"/>
                <c:pt idx="0">
                  <c:v>58.073026973148814</c:v>
                </c:pt>
                <c:pt idx="1">
                  <c:v>57.060845376748709</c:v>
                </c:pt>
                <c:pt idx="2">
                  <c:v>55.869127614357176</c:v>
                </c:pt>
                <c:pt idx="3">
                  <c:v>62.129262586264701</c:v>
                </c:pt>
                <c:pt idx="4">
                  <c:v>69.080907012382241</c:v>
                </c:pt>
                <c:pt idx="5">
                  <c:v>52.807093237995446</c:v>
                </c:pt>
                <c:pt idx="6">
                  <c:v>66.440722664986438</c:v>
                </c:pt>
                <c:pt idx="7">
                  <c:v>62.129262586264701</c:v>
                </c:pt>
                <c:pt idx="8">
                  <c:v>60.835935291730678</c:v>
                </c:pt>
                <c:pt idx="9">
                  <c:v>55.031061001521465</c:v>
                </c:pt>
                <c:pt idx="10">
                  <c:v>55.134574086292005</c:v>
                </c:pt>
                <c:pt idx="11">
                  <c:v>51.235802304246434</c:v>
                </c:pt>
                <c:pt idx="12">
                  <c:v>63.488373835154341</c:v>
                </c:pt>
                <c:pt idx="13">
                  <c:v>58.41843895246609</c:v>
                </c:pt>
                <c:pt idx="14">
                  <c:v>64.922011586632749</c:v>
                </c:pt>
                <c:pt idx="15">
                  <c:v>54.114638300921229</c:v>
                </c:pt>
                <c:pt idx="16">
                  <c:v>53.126608849154415</c:v>
                </c:pt>
                <c:pt idx="17">
                  <c:v>64.922011586632749</c:v>
                </c:pt>
                <c:pt idx="18">
                  <c:v>60.835935291730678</c:v>
                </c:pt>
                <c:pt idx="19">
                  <c:v>63.488373835154341</c:v>
                </c:pt>
                <c:pt idx="20">
                  <c:v>56.189460550357225</c:v>
                </c:pt>
                <c:pt idx="21">
                  <c:v>66.129594978639489</c:v>
                </c:pt>
                <c:pt idx="22">
                  <c:v>70.889225718014615</c:v>
                </c:pt>
              </c:numCache>
            </c:numRef>
          </c:val>
          <c:smooth val="0"/>
          <c:extLst>
            <c:ext xmlns:c16="http://schemas.microsoft.com/office/drawing/2014/chart" uri="{C3380CC4-5D6E-409C-BE32-E72D297353CC}">
              <c16:uniqueId val="{00000002-C0A8-4BCB-94CA-C07EFA91F7FF}"/>
            </c:ext>
          </c:extLst>
        </c:ser>
        <c:ser>
          <c:idx val="3"/>
          <c:order val="3"/>
          <c:tx>
            <c:strRef>
              <c:f>Walker!$G$55</c:f>
              <c:strCache>
                <c:ptCount val="1"/>
                <c:pt idx="0">
                  <c:v>TSI Index</c:v>
                </c:pt>
              </c:strCache>
            </c:strRef>
          </c:tx>
          <c:spPr>
            <a:ln w="38100">
              <a:solidFill>
                <a:srgbClr val="00FFFF"/>
              </a:solidFill>
              <a:prstDash val="solid"/>
            </a:ln>
          </c:spPr>
          <c:marker>
            <c:symbol val="none"/>
          </c:marker>
          <c:cat>
            <c:numRef>
              <c:f>Walker!$AC$16:$AY$16</c:f>
              <c:numCache>
                <c:formatCode>[$-409]d\-mmm;@</c:formatCode>
                <c:ptCount val="2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numCache>
            </c:numRef>
          </c:cat>
          <c:val>
            <c:numRef>
              <c:f>Walker!$AC$29:$AY$29</c:f>
              <c:numCache>
                <c:formatCode>0.0</c:formatCode>
                <c:ptCount val="23"/>
                <c:pt idx="0">
                  <c:v>67.754873325660085</c:v>
                </c:pt>
                <c:pt idx="1">
                  <c:v>72.257719368124526</c:v>
                </c:pt>
                <c:pt idx="2">
                  <c:v>73.693971586664645</c:v>
                </c:pt>
                <c:pt idx="3">
                  <c:v>73.305349075233849</c:v>
                </c:pt>
                <c:pt idx="4">
                  <c:v>68.344563008793031</c:v>
                </c:pt>
                <c:pt idx="5">
                  <c:v>62.401251888046602</c:v>
                </c:pt>
                <c:pt idx="6">
                  <c:v>61.874132788923504</c:v>
                </c:pt>
                <c:pt idx="7">
                  <c:v>55.858838263064335</c:v>
                </c:pt>
                <c:pt idx="8">
                  <c:v>57.991162971087057</c:v>
                </c:pt>
                <c:pt idx="9">
                  <c:v>62.90310055252818</c:v>
                </c:pt>
                <c:pt idx="10">
                  <c:v>67.782742418058078</c:v>
                </c:pt>
                <c:pt idx="11">
                  <c:v>64.454701549398621</c:v>
                </c:pt>
                <c:pt idx="12">
                  <c:v>69.438868201608258</c:v>
                </c:pt>
                <c:pt idx="13">
                  <c:v>61.093049812838039</c:v>
                </c:pt>
                <c:pt idx="14">
                  <c:v>67.002364078619777</c:v>
                </c:pt>
                <c:pt idx="15">
                  <c:v>58.719902531991146</c:v>
                </c:pt>
                <c:pt idx="16">
                  <c:v>55.75106624364934</c:v>
                </c:pt>
                <c:pt idx="17">
                  <c:v>65.304786963789965</c:v>
                </c:pt>
                <c:pt idx="18">
                  <c:v>64.554549021164291</c:v>
                </c:pt>
                <c:pt idx="19">
                  <c:v>64.119990745893389</c:v>
                </c:pt>
                <c:pt idx="20">
                  <c:v>63.548776835549617</c:v>
                </c:pt>
                <c:pt idx="21">
                  <c:v>62.974691939965851</c:v>
                </c:pt>
                <c:pt idx="22">
                  <c:v>62.67495530413813</c:v>
                </c:pt>
              </c:numCache>
            </c:numRef>
          </c:val>
          <c:smooth val="0"/>
          <c:extLst>
            <c:ext xmlns:c16="http://schemas.microsoft.com/office/drawing/2014/chart" uri="{C3380CC4-5D6E-409C-BE32-E72D297353CC}">
              <c16:uniqueId val="{00000003-C0A8-4BCB-94CA-C07EFA91F7FF}"/>
            </c:ext>
          </c:extLst>
        </c:ser>
        <c:dLbls>
          <c:showLegendKey val="0"/>
          <c:showVal val="0"/>
          <c:showCatName val="0"/>
          <c:showSerName val="0"/>
          <c:showPercent val="0"/>
          <c:showBubbleSize val="0"/>
        </c:dLbls>
        <c:smooth val="0"/>
        <c:axId val="131275776"/>
        <c:axId val="131289856"/>
      </c:lineChart>
      <c:dateAx>
        <c:axId val="131275776"/>
        <c:scaling>
          <c:orientation val="minMax"/>
        </c:scaling>
        <c:delete val="0"/>
        <c:axPos val="b"/>
        <c:numFmt formatCode="[$-409]d\-mmm;@" sourceLinked="1"/>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Black"/>
                <a:ea typeface="Arial Black"/>
                <a:cs typeface="Arial Black"/>
              </a:defRPr>
            </a:pPr>
            <a:endParaRPr lang="en-US"/>
          </a:p>
        </c:txPr>
        <c:crossAx val="131289856"/>
        <c:crosses val="autoZero"/>
        <c:auto val="1"/>
        <c:lblOffset val="100"/>
        <c:baseTimeUnit val="days"/>
        <c:majorUnit val="1"/>
        <c:minorUnit val="1"/>
      </c:dateAx>
      <c:valAx>
        <c:axId val="131289856"/>
        <c:scaling>
          <c:orientation val="minMax"/>
          <c:max val="120"/>
          <c:min val="20"/>
        </c:scaling>
        <c:delete val="0"/>
        <c:axPos val="l"/>
        <c:min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Black"/>
                <a:ea typeface="Arial Black"/>
                <a:cs typeface="Arial Black"/>
              </a:defRPr>
            </a:pPr>
            <a:endParaRPr lang="en-US"/>
          </a:p>
        </c:txPr>
        <c:crossAx val="131275776"/>
        <c:crosses val="autoZero"/>
        <c:crossBetween val="between"/>
        <c:minorUnit val="10"/>
      </c:valAx>
      <c:spPr>
        <a:gradFill>
          <a:gsLst>
            <a:gs pos="65000">
              <a:srgbClr val="00B050">
                <a:alpha val="77000"/>
              </a:srgbClr>
            </a:gs>
            <a:gs pos="50000">
              <a:srgbClr val="4F81BD">
                <a:tint val="44500"/>
                <a:satMod val="160000"/>
              </a:srgbClr>
            </a:gs>
            <a:gs pos="100000">
              <a:srgbClr val="4F81BD">
                <a:tint val="23500"/>
                <a:satMod val="160000"/>
              </a:srgbClr>
            </a:gs>
          </a:gsLst>
          <a:lin ang="5400000" scaled="0"/>
        </a:gradFill>
        <a:ln w="3175">
          <a:solidFill>
            <a:srgbClr val="000000"/>
          </a:solidFill>
          <a:prstDash val="solid"/>
        </a:ln>
      </c:spPr>
    </c:plotArea>
    <c:legend>
      <c:legendPos val="r"/>
      <c:layout>
        <c:manualLayout>
          <c:xMode val="edge"/>
          <c:yMode val="edge"/>
          <c:x val="0.73543908985061057"/>
          <c:y val="6.580108337521641E-2"/>
          <c:w val="0.1265681652517828"/>
          <c:h val="0.30660635505668182"/>
        </c:manualLayout>
      </c:layout>
      <c:overlay val="0"/>
      <c:spPr>
        <a:solidFill>
          <a:schemeClr val="lt1"/>
        </a:solidFill>
        <a:ln w="25400" cap="flat" cmpd="sng" algn="ctr">
          <a:solidFill>
            <a:schemeClr val="accent4"/>
          </a:solidFill>
          <a:prstDash val="solid"/>
        </a:ln>
        <a:effectLst/>
      </c:spPr>
      <c:txPr>
        <a:bodyPr/>
        <a:lstStyle/>
        <a:p>
          <a:pPr>
            <a:defRPr sz="100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chemeClr val="lt1"/>
    </a:solidFill>
    <a:ln w="25400" cap="flat" cmpd="sng" algn="ctr">
      <a:solidFill>
        <a:schemeClr val="accent6"/>
      </a:solidFill>
      <a:prstDash val="soli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1465" r="0.75000000000001465" t="1" header="0.5" footer="0.5"/>
    <c:pageSetup orientation="landscape"/>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0" b="0" i="0" u="none" strike="noStrike" baseline="0">
                <a:solidFill>
                  <a:srgbClr val="000000"/>
                </a:solidFill>
                <a:latin typeface="Arial"/>
                <a:ea typeface="Arial"/>
                <a:cs typeface="Arial"/>
              </a:defRPr>
            </a:pPr>
            <a:r>
              <a:rPr lang="en-US"/>
              <a:t>Walker Seasonal Trophic State Index</a:t>
            </a:r>
          </a:p>
        </c:rich>
      </c:tx>
      <c:layout>
        <c:manualLayout>
          <c:xMode val="edge"/>
          <c:yMode val="edge"/>
          <c:x val="0.27130852340938238"/>
          <c:y val="3.5820895522388062E-2"/>
        </c:manualLayout>
      </c:layout>
      <c:overlay val="0"/>
      <c:spPr>
        <a:noFill/>
        <a:ln w="25400">
          <a:noFill/>
        </a:ln>
      </c:spPr>
    </c:title>
    <c:autoTitleDeleted val="0"/>
    <c:plotArea>
      <c:layout>
        <c:manualLayout>
          <c:layoutTarget val="inner"/>
          <c:xMode val="edge"/>
          <c:yMode val="edge"/>
          <c:x val="0.10122586062132662"/>
          <c:y val="0.12736318407960198"/>
          <c:w val="0.89877413937869965"/>
          <c:h val="0.62487562189060064"/>
        </c:manualLayout>
      </c:layout>
      <c:barChart>
        <c:barDir val="col"/>
        <c:grouping val="clustered"/>
        <c:varyColors val="0"/>
        <c:ser>
          <c:idx val="0"/>
          <c:order val="0"/>
          <c:tx>
            <c:strRef>
              <c:f>Walker!$A$52</c:f>
              <c:strCache>
                <c:ptCount val="1"/>
                <c:pt idx="0">
                  <c:v>Walker TI</c:v>
                </c:pt>
              </c:strCache>
            </c:strRef>
          </c:tx>
          <c:spPr>
            <a:solidFill>
              <a:srgbClr val="9999FF"/>
            </a:solidFill>
            <a:ln w="12700">
              <a:solidFill>
                <a:srgbClr val="000000"/>
              </a:solidFill>
              <a:prstDash val="solid"/>
            </a:ln>
          </c:spPr>
          <c:invertIfNegative val="0"/>
          <c:dLbls>
            <c:numFmt formatCode="0" sourceLinked="0"/>
            <c:spPr>
              <a:noFill/>
              <a:ln w="25400">
                <a:noFill/>
              </a:ln>
            </c:spPr>
            <c:txPr>
              <a:bodyPr/>
              <a:lstStyle/>
              <a:p>
                <a:pPr>
                  <a:defRPr sz="107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Walker!$AC$30:$AY$31</c:f>
              <c:multiLvlStrCache>
                <c:ptCount val="23"/>
                <c:lvl>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lvl>
                <c:lvl>
                  <c:pt idx="0">
                    <c:v>Eu-hyp</c:v>
                  </c:pt>
                  <c:pt idx="1">
                    <c:v>Hyp</c:v>
                  </c:pt>
                  <c:pt idx="2">
                    <c:v>Hyp</c:v>
                  </c:pt>
                  <c:pt idx="3">
                    <c:v>Hyp</c:v>
                  </c:pt>
                  <c:pt idx="4">
                    <c:v>Eu-hyp</c:v>
                  </c:pt>
                  <c:pt idx="5">
                    <c:v>Eu</c:v>
                  </c:pt>
                  <c:pt idx="6">
                    <c:v>Eu</c:v>
                  </c:pt>
                  <c:pt idx="7">
                    <c:v>Eu</c:v>
                  </c:pt>
                  <c:pt idx="8">
                    <c:v>Eu</c:v>
                  </c:pt>
                  <c:pt idx="9">
                    <c:v>Eu</c:v>
                  </c:pt>
                  <c:pt idx="10">
                    <c:v>Eu-hyp</c:v>
                  </c:pt>
                  <c:pt idx="11">
                    <c:v>Eu</c:v>
                  </c:pt>
                  <c:pt idx="12">
                    <c:v>Eu-hyp</c:v>
                  </c:pt>
                  <c:pt idx="13">
                    <c:v>Eu</c:v>
                  </c:pt>
                  <c:pt idx="14">
                    <c:v>Eu-hyp</c:v>
                  </c:pt>
                  <c:pt idx="15">
                    <c:v>Eu</c:v>
                  </c:pt>
                  <c:pt idx="16">
                    <c:v>Eu</c:v>
                  </c:pt>
                  <c:pt idx="17">
                    <c:v>Eu</c:v>
                  </c:pt>
                  <c:pt idx="18">
                    <c:v>EU</c:v>
                  </c:pt>
                  <c:pt idx="19">
                    <c:v>EU</c:v>
                  </c:pt>
                  <c:pt idx="20">
                    <c:v>EU</c:v>
                  </c:pt>
                  <c:pt idx="21">
                    <c:v>EU</c:v>
                  </c:pt>
                  <c:pt idx="22">
                    <c:v>EU</c:v>
                  </c:pt>
                </c:lvl>
              </c:multiLvlStrCache>
            </c:multiLvlStrRef>
          </c:cat>
          <c:val>
            <c:numRef>
              <c:f>Walker!$AC$29:$AY$29</c:f>
              <c:numCache>
                <c:formatCode>0.0</c:formatCode>
                <c:ptCount val="23"/>
                <c:pt idx="0">
                  <c:v>67.754873325660085</c:v>
                </c:pt>
                <c:pt idx="1">
                  <c:v>72.257719368124526</c:v>
                </c:pt>
                <c:pt idx="2">
                  <c:v>73.693971586664645</c:v>
                </c:pt>
                <c:pt idx="3">
                  <c:v>73.305349075233849</c:v>
                </c:pt>
                <c:pt idx="4">
                  <c:v>68.344563008793031</c:v>
                </c:pt>
                <c:pt idx="5">
                  <c:v>62.401251888046602</c:v>
                </c:pt>
                <c:pt idx="6">
                  <c:v>61.874132788923504</c:v>
                </c:pt>
                <c:pt idx="7">
                  <c:v>55.858838263064335</c:v>
                </c:pt>
                <c:pt idx="8">
                  <c:v>57.991162971087057</c:v>
                </c:pt>
                <c:pt idx="9">
                  <c:v>62.90310055252818</c:v>
                </c:pt>
                <c:pt idx="10">
                  <c:v>67.782742418058078</c:v>
                </c:pt>
                <c:pt idx="11">
                  <c:v>64.454701549398621</c:v>
                </c:pt>
                <c:pt idx="12">
                  <c:v>69.438868201608258</c:v>
                </c:pt>
                <c:pt idx="13">
                  <c:v>61.093049812838039</c:v>
                </c:pt>
                <c:pt idx="14">
                  <c:v>67.002364078619777</c:v>
                </c:pt>
                <c:pt idx="15">
                  <c:v>58.719902531991146</c:v>
                </c:pt>
                <c:pt idx="16">
                  <c:v>55.75106624364934</c:v>
                </c:pt>
                <c:pt idx="17">
                  <c:v>65.304786963789965</c:v>
                </c:pt>
                <c:pt idx="18">
                  <c:v>64.554549021164291</c:v>
                </c:pt>
                <c:pt idx="19">
                  <c:v>64.119990745893389</c:v>
                </c:pt>
                <c:pt idx="20">
                  <c:v>63.548776835549617</c:v>
                </c:pt>
                <c:pt idx="21">
                  <c:v>62.974691939965851</c:v>
                </c:pt>
                <c:pt idx="22">
                  <c:v>62.67495530413813</c:v>
                </c:pt>
              </c:numCache>
            </c:numRef>
          </c:val>
          <c:extLst>
            <c:ext xmlns:c16="http://schemas.microsoft.com/office/drawing/2014/chart" uri="{C3380CC4-5D6E-409C-BE32-E72D297353CC}">
              <c16:uniqueId val="{00000000-4D69-45AA-AEF4-46675537079D}"/>
            </c:ext>
          </c:extLst>
        </c:ser>
        <c:dLbls>
          <c:showLegendKey val="0"/>
          <c:showVal val="1"/>
          <c:showCatName val="0"/>
          <c:showSerName val="0"/>
          <c:showPercent val="0"/>
          <c:showBubbleSize val="0"/>
        </c:dLbls>
        <c:gapWidth val="150"/>
        <c:axId val="131295104"/>
        <c:axId val="131296640"/>
      </c:barChart>
      <c:catAx>
        <c:axId val="131295104"/>
        <c:scaling>
          <c:orientation val="minMax"/>
        </c:scaling>
        <c:delete val="0"/>
        <c:axPos val="b"/>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31296640"/>
        <c:crosses val="autoZero"/>
        <c:auto val="1"/>
        <c:lblAlgn val="ctr"/>
        <c:lblOffset val="100"/>
        <c:tickMarkSkip val="1"/>
        <c:noMultiLvlLbl val="0"/>
      </c:catAx>
      <c:valAx>
        <c:axId val="131296640"/>
        <c:scaling>
          <c:orientation val="minMax"/>
          <c:max val="80"/>
          <c:min val="55"/>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075" b="1" i="0" u="none" strike="noStrike" baseline="0">
                <a:solidFill>
                  <a:srgbClr val="000000"/>
                </a:solidFill>
                <a:latin typeface="Arial"/>
                <a:ea typeface="Arial"/>
                <a:cs typeface="Arial"/>
              </a:defRPr>
            </a:pPr>
            <a:endParaRPr lang="en-US"/>
          </a:p>
        </c:txPr>
        <c:crossAx val="131295104"/>
        <c:crosses val="autoZero"/>
        <c:crossBetween val="between"/>
        <c:majorUnit val="5"/>
      </c:valAx>
      <c:dTable>
        <c:showHorzBorder val="0"/>
        <c:showVertBorder val="1"/>
        <c:showOutline val="1"/>
        <c:showKeys val="0"/>
        <c:spPr>
          <a:ln w="25400">
            <a:solidFill>
              <a:srgbClr val="000000"/>
            </a:solidFill>
            <a:prstDash val="solid"/>
          </a:ln>
        </c:spPr>
        <c:txPr>
          <a:bodyPr/>
          <a:lstStyle/>
          <a:p>
            <a:pPr rtl="0">
              <a:defRPr sz="800" b="0" i="0" u="none" strike="noStrike" baseline="0">
                <a:solidFill>
                  <a:srgbClr val="000000"/>
                </a:solidFill>
                <a:latin typeface="Arial Black"/>
                <a:ea typeface="Arial Black"/>
                <a:cs typeface="Arial Black"/>
              </a:defRPr>
            </a:pPr>
            <a:endParaRPr lang="en-US"/>
          </a:p>
        </c:txPr>
      </c:dTable>
      <c:spPr>
        <a:gradFill>
          <a:gsLst>
            <a:gs pos="71000">
              <a:srgbClr val="00B050">
                <a:alpha val="75000"/>
              </a:srgbClr>
            </a:gs>
            <a:gs pos="50000">
              <a:srgbClr val="4F81BD">
                <a:tint val="44500"/>
                <a:satMod val="160000"/>
              </a:srgbClr>
            </a:gs>
            <a:gs pos="100000">
              <a:srgbClr val="4F81BD">
                <a:tint val="23500"/>
                <a:satMod val="160000"/>
              </a:srgbClr>
            </a:gs>
          </a:gsLst>
          <a:lin ang="5400000" scaled="0"/>
        </a:gradFill>
        <a:ln w="254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horizontalDpi="-2"/>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Bear Creek Reservoir 2013 In-Flow Estimates</a:t>
            </a:r>
          </a:p>
        </c:rich>
      </c:tx>
      <c:overlay val="0"/>
    </c:title>
    <c:autoTitleDeleted val="0"/>
    <c:plotArea>
      <c:layout/>
      <c:barChart>
        <c:barDir val="col"/>
        <c:grouping val="clustered"/>
        <c:varyColors val="0"/>
        <c:ser>
          <c:idx val="0"/>
          <c:order val="0"/>
          <c:tx>
            <c:strRef>
              <c:f>'Monthly Discharge'!$A$22</c:f>
              <c:strCache>
                <c:ptCount val="1"/>
                <c:pt idx="0">
                  <c:v>Total Inflow</c:v>
                </c:pt>
              </c:strCache>
            </c:strRef>
          </c:tx>
          <c:invertIfNegative val="0"/>
          <c:cat>
            <c:strRef>
              <c:f>'Monthly Discharge'!$B$19:$M$19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Discharge'!$B$22:$M$22</c:f>
              <c:numCache>
                <c:formatCode>#,##0.0</c:formatCode>
                <c:ptCount val="12"/>
                <c:pt idx="0">
                  <c:v>1118.1938700000001</c:v>
                </c:pt>
                <c:pt idx="1">
                  <c:v>112.71372000000001</c:v>
                </c:pt>
                <c:pt idx="2">
                  <c:v>156.14142000000001</c:v>
                </c:pt>
                <c:pt idx="3">
                  <c:v>675.2115</c:v>
                </c:pt>
                <c:pt idx="4">
                  <c:v>6360.6113100000002</c:v>
                </c:pt>
                <c:pt idx="5">
                  <c:v>794.19150000000002</c:v>
                </c:pt>
                <c:pt idx="6">
                  <c:v>543.11395500000003</c:v>
                </c:pt>
                <c:pt idx="7">
                  <c:v>964.20400500000005</c:v>
                </c:pt>
                <c:pt idx="8">
                  <c:v>30941.641350000002</c:v>
                </c:pt>
                <c:pt idx="9">
                  <c:v>4740.1830299999992</c:v>
                </c:pt>
                <c:pt idx="10">
                  <c:v>748.38419999999996</c:v>
                </c:pt>
                <c:pt idx="11">
                  <c:v>2817.9223199999997</c:v>
                </c:pt>
              </c:numCache>
            </c:numRef>
          </c:val>
          <c:extLst>
            <c:ext xmlns:c16="http://schemas.microsoft.com/office/drawing/2014/chart" uri="{C3380CC4-5D6E-409C-BE32-E72D297353CC}">
              <c16:uniqueId val="{00000000-D602-41D6-B794-15E7A6389A7B}"/>
            </c:ext>
          </c:extLst>
        </c:ser>
        <c:dLbls>
          <c:showLegendKey val="0"/>
          <c:showVal val="0"/>
          <c:showCatName val="0"/>
          <c:showSerName val="0"/>
          <c:showPercent val="0"/>
          <c:showBubbleSize val="0"/>
        </c:dLbls>
        <c:gapWidth val="150"/>
        <c:axId val="131451904"/>
        <c:axId val="135725824"/>
      </c:barChart>
      <c:catAx>
        <c:axId val="131451904"/>
        <c:scaling>
          <c:orientation val="minMax"/>
        </c:scaling>
        <c:delete val="0"/>
        <c:axPos val="b"/>
        <c:numFmt formatCode="General" sourceLinked="0"/>
        <c:majorTickMark val="none"/>
        <c:minorTickMark val="none"/>
        <c:tickLblPos val="nextTo"/>
        <c:crossAx val="135725824"/>
        <c:crosses val="autoZero"/>
        <c:auto val="1"/>
        <c:lblAlgn val="ctr"/>
        <c:lblOffset val="100"/>
        <c:noMultiLvlLbl val="0"/>
      </c:catAx>
      <c:valAx>
        <c:axId val="135725824"/>
        <c:scaling>
          <c:orientation val="minMax"/>
        </c:scaling>
        <c:delete val="0"/>
        <c:axPos val="l"/>
        <c:majorGridlines/>
        <c:minorGridlines/>
        <c:title>
          <c:tx>
            <c:rich>
              <a:bodyPr/>
              <a:lstStyle/>
              <a:p>
                <a:pPr>
                  <a:defRPr sz="1400"/>
                </a:pPr>
                <a:r>
                  <a:rPr lang="en-US" sz="1400"/>
                  <a:t>Acre-feet/month</a:t>
                </a:r>
              </a:p>
            </c:rich>
          </c:tx>
          <c:layout>
            <c:manualLayout>
              <c:xMode val="edge"/>
              <c:yMode val="edge"/>
              <c:x val="1.7116079815739343E-2"/>
              <c:y val="0.35615027097261676"/>
            </c:manualLayout>
          </c:layout>
          <c:overlay val="0"/>
        </c:title>
        <c:numFmt formatCode="#,##0.0" sourceLinked="1"/>
        <c:majorTickMark val="none"/>
        <c:minorTickMark val="none"/>
        <c:tickLblPos val="nextTo"/>
        <c:crossAx val="131451904"/>
        <c:crosses val="autoZero"/>
        <c:crossBetween val="between"/>
      </c:valAx>
      <c:spPr>
        <a:gradFill>
          <a:gsLst>
            <a:gs pos="0">
              <a:sysClr val="window" lastClr="FFFFFF">
                <a:lumMod val="85000"/>
              </a:sysClr>
            </a:gs>
            <a:gs pos="50000">
              <a:srgbClr val="4F81BD">
                <a:tint val="44500"/>
                <a:satMod val="160000"/>
              </a:srgbClr>
            </a:gs>
            <a:gs pos="100000">
              <a:srgbClr val="4F81BD">
                <a:tint val="23500"/>
                <a:satMod val="160000"/>
              </a:srgbClr>
            </a:gs>
          </a:gsLst>
          <a:lin ang="5400000" scaled="0"/>
        </a:gradFill>
      </c:spPr>
    </c:plotArea>
    <c:plotVisOnly val="1"/>
    <c:dispBlanksAs val="gap"/>
    <c:showDLblsOverMax val="0"/>
  </c:chart>
  <c:spPr>
    <a:gradFill>
      <a:gsLst>
        <a:gs pos="0">
          <a:schemeClr val="accent1">
            <a:lumMod val="60000"/>
            <a:lumOff val="40000"/>
          </a:schemeClr>
        </a:gs>
        <a:gs pos="50000">
          <a:srgbClr val="4F81BD">
            <a:tint val="44500"/>
            <a:satMod val="160000"/>
          </a:srgbClr>
        </a:gs>
        <a:gs pos="100000">
          <a:srgbClr val="4F81BD">
            <a:tint val="23500"/>
            <a:satMod val="160000"/>
          </a:srgbClr>
        </a:gs>
      </a:gsLst>
      <a:lin ang="5400000" scaled="0"/>
    </a:gradFill>
  </c:spPr>
  <c:printSettings>
    <c:headerFooter/>
    <c:pageMargins b="0.75000000000001465" l="0.70000000000000062" r="0.70000000000000062" t="0.75000000000001465"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sz="1200"/>
              <a:t>2013</a:t>
            </a:r>
            <a:r>
              <a:rPr lang="en-US" sz="1200" baseline="0"/>
              <a:t> </a:t>
            </a:r>
            <a:r>
              <a:rPr lang="en-US" sz="1200"/>
              <a:t>Reservoir Inflow [Ac-Ft Per Month] </a:t>
            </a:r>
          </a:p>
        </c:rich>
      </c:tx>
      <c:layout>
        <c:manualLayout>
          <c:xMode val="edge"/>
          <c:yMode val="edge"/>
          <c:x val="0.34678298800438617"/>
          <c:y val="3.2608695652176292E-2"/>
        </c:manualLayout>
      </c:layout>
      <c:overlay val="0"/>
      <c:spPr>
        <a:noFill/>
        <a:ln w="25400">
          <a:noFill/>
        </a:ln>
      </c:spPr>
    </c:title>
    <c:autoTitleDeleted val="0"/>
    <c:plotArea>
      <c:layout>
        <c:manualLayout>
          <c:layoutTarget val="inner"/>
          <c:xMode val="edge"/>
          <c:yMode val="edge"/>
          <c:x val="0.10385444401517969"/>
          <c:y val="0.10597826086956515"/>
          <c:w val="0.88115677757209077"/>
          <c:h val="0.75000000000001465"/>
        </c:manualLayout>
      </c:layout>
      <c:barChart>
        <c:barDir val="col"/>
        <c:grouping val="clustered"/>
        <c:varyColors val="0"/>
        <c:ser>
          <c:idx val="0"/>
          <c:order val="0"/>
          <c:tx>
            <c:strRef>
              <c:f>'Monthly Discharge'!$A$20</c:f>
              <c:strCache>
                <c:ptCount val="1"/>
                <c:pt idx="0">
                  <c:v>Turkey Creek Inflow</c:v>
                </c:pt>
              </c:strCache>
            </c:strRef>
          </c:tx>
          <c:spPr>
            <a:ln w="38100">
              <a:noFill/>
              <a:prstDash val="solid"/>
            </a:ln>
          </c:spPr>
          <c:invertIfNegative val="0"/>
          <c:cat>
            <c:strRef>
              <c:f>'[1]Monthly Discharge'!$B$23:$M$23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Discharge'!$B$20:$M$20</c:f>
              <c:numCache>
                <c:formatCode>#,##0.0</c:formatCode>
                <c:ptCount val="12"/>
                <c:pt idx="0">
                  <c:v>79.914900000000003</c:v>
                </c:pt>
                <c:pt idx="1">
                  <c:v>21.27759</c:v>
                </c:pt>
                <c:pt idx="2">
                  <c:v>93.438960000000009</c:v>
                </c:pt>
                <c:pt idx="3">
                  <c:v>103.51260000000001</c:v>
                </c:pt>
                <c:pt idx="4">
                  <c:v>990.33002999999997</c:v>
                </c:pt>
                <c:pt idx="5">
                  <c:v>36.883800000000001</c:v>
                </c:pt>
                <c:pt idx="6">
                  <c:v>217.92178500000003</c:v>
                </c:pt>
                <c:pt idx="7">
                  <c:v>14.13879</c:v>
                </c:pt>
                <c:pt idx="8">
                  <c:v>3130.0663500000005</c:v>
                </c:pt>
                <c:pt idx="9">
                  <c:v>129.70802999999998</c:v>
                </c:pt>
                <c:pt idx="10">
                  <c:v>13.682700000000002</c:v>
                </c:pt>
                <c:pt idx="11">
                  <c:v>51.637320000000003</c:v>
                </c:pt>
              </c:numCache>
            </c:numRef>
          </c:val>
          <c:extLst>
            <c:ext xmlns:c16="http://schemas.microsoft.com/office/drawing/2014/chart" uri="{C3380CC4-5D6E-409C-BE32-E72D297353CC}">
              <c16:uniqueId val="{00000000-8DB3-4E59-A2FA-DC5B9AB85ADF}"/>
            </c:ext>
          </c:extLst>
        </c:ser>
        <c:ser>
          <c:idx val="1"/>
          <c:order val="1"/>
          <c:tx>
            <c:strRef>
              <c:f>'Monthly Discharge'!$A$21</c:f>
              <c:strCache>
                <c:ptCount val="1"/>
                <c:pt idx="0">
                  <c:v>Bear Creek Inflow</c:v>
                </c:pt>
              </c:strCache>
            </c:strRef>
          </c:tx>
          <c:spPr>
            <a:solidFill>
              <a:schemeClr val="bg1">
                <a:lumMod val="65000"/>
              </a:schemeClr>
            </a:solidFill>
            <a:ln w="38100">
              <a:solidFill>
                <a:schemeClr val="bg1">
                  <a:lumMod val="65000"/>
                </a:schemeClr>
              </a:solidFill>
              <a:prstDash val="solid"/>
            </a:ln>
          </c:spPr>
          <c:invertIfNegative val="0"/>
          <c:cat>
            <c:strRef>
              <c:f>'[1]Monthly Discharge'!$B$23:$M$23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Discharge'!$B$21:$M$21</c:f>
              <c:numCache>
                <c:formatCode>#,##0.0</c:formatCode>
                <c:ptCount val="12"/>
                <c:pt idx="0">
                  <c:v>1038.2789700000001</c:v>
                </c:pt>
                <c:pt idx="1">
                  <c:v>91.436130000000006</c:v>
                </c:pt>
                <c:pt idx="2">
                  <c:v>62.702460000000002</c:v>
                </c:pt>
                <c:pt idx="3">
                  <c:v>571.69889999999998</c:v>
                </c:pt>
                <c:pt idx="4">
                  <c:v>5370.2812800000002</c:v>
                </c:pt>
                <c:pt idx="5">
                  <c:v>757.30770000000007</c:v>
                </c:pt>
                <c:pt idx="6">
                  <c:v>325.19217000000003</c:v>
                </c:pt>
                <c:pt idx="7">
                  <c:v>950.06521500000008</c:v>
                </c:pt>
                <c:pt idx="8">
                  <c:v>27811.575000000001</c:v>
                </c:pt>
                <c:pt idx="9">
                  <c:v>4610.4749999999995</c:v>
                </c:pt>
                <c:pt idx="10">
                  <c:v>734.70150000000001</c:v>
                </c:pt>
                <c:pt idx="11">
                  <c:v>2766.2849999999999</c:v>
                </c:pt>
              </c:numCache>
            </c:numRef>
          </c:val>
          <c:extLst>
            <c:ext xmlns:c16="http://schemas.microsoft.com/office/drawing/2014/chart" uri="{C3380CC4-5D6E-409C-BE32-E72D297353CC}">
              <c16:uniqueId val="{00000001-8DB3-4E59-A2FA-DC5B9AB85ADF}"/>
            </c:ext>
          </c:extLst>
        </c:ser>
        <c:dLbls>
          <c:showLegendKey val="0"/>
          <c:showVal val="0"/>
          <c:showCatName val="0"/>
          <c:showSerName val="0"/>
          <c:showPercent val="0"/>
          <c:showBubbleSize val="0"/>
        </c:dLbls>
        <c:gapWidth val="150"/>
        <c:axId val="135740800"/>
        <c:axId val="135799936"/>
      </c:barChart>
      <c:lineChart>
        <c:grouping val="standard"/>
        <c:varyColors val="0"/>
        <c:ser>
          <c:idx val="2"/>
          <c:order val="2"/>
          <c:tx>
            <c:strRef>
              <c:f>'Monthly Discharge'!$A$22</c:f>
              <c:strCache>
                <c:ptCount val="1"/>
                <c:pt idx="0">
                  <c:v>Total Inflow</c:v>
                </c:pt>
              </c:strCache>
            </c:strRef>
          </c:tx>
          <c:spPr>
            <a:ln w="38100">
              <a:solidFill>
                <a:srgbClr val="FF0000"/>
              </a:solidFill>
              <a:prstDash val="solid"/>
            </a:ln>
          </c:spPr>
          <c:marker>
            <c:symbol val="none"/>
          </c:marker>
          <c:cat>
            <c:strRef>
              <c:f>'[1]Monthly Discharge'!$B$23:$M$23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Discharge'!$B$22:$M$22</c:f>
              <c:numCache>
                <c:formatCode>#,##0.0</c:formatCode>
                <c:ptCount val="12"/>
                <c:pt idx="0">
                  <c:v>1118.1938700000001</c:v>
                </c:pt>
                <c:pt idx="1">
                  <c:v>112.71372000000001</c:v>
                </c:pt>
                <c:pt idx="2">
                  <c:v>156.14142000000001</c:v>
                </c:pt>
                <c:pt idx="3">
                  <c:v>675.2115</c:v>
                </c:pt>
                <c:pt idx="4">
                  <c:v>6360.6113100000002</c:v>
                </c:pt>
                <c:pt idx="5">
                  <c:v>794.19150000000002</c:v>
                </c:pt>
                <c:pt idx="6">
                  <c:v>543.11395500000003</c:v>
                </c:pt>
                <c:pt idx="7">
                  <c:v>964.20400500000005</c:v>
                </c:pt>
                <c:pt idx="8">
                  <c:v>30941.641350000002</c:v>
                </c:pt>
                <c:pt idx="9">
                  <c:v>4740.1830299999992</c:v>
                </c:pt>
                <c:pt idx="10">
                  <c:v>748.38419999999996</c:v>
                </c:pt>
                <c:pt idx="11">
                  <c:v>2817.9223199999997</c:v>
                </c:pt>
              </c:numCache>
            </c:numRef>
          </c:val>
          <c:smooth val="0"/>
          <c:extLst>
            <c:ext xmlns:c16="http://schemas.microsoft.com/office/drawing/2014/chart" uri="{C3380CC4-5D6E-409C-BE32-E72D297353CC}">
              <c16:uniqueId val="{00000002-8DB3-4E59-A2FA-DC5B9AB85ADF}"/>
            </c:ext>
          </c:extLst>
        </c:ser>
        <c:dLbls>
          <c:showLegendKey val="0"/>
          <c:showVal val="0"/>
          <c:showCatName val="0"/>
          <c:showSerName val="0"/>
          <c:showPercent val="0"/>
          <c:showBubbleSize val="0"/>
        </c:dLbls>
        <c:marker val="1"/>
        <c:smooth val="0"/>
        <c:axId val="135740800"/>
        <c:axId val="135799936"/>
      </c:lineChart>
      <c:catAx>
        <c:axId val="135740800"/>
        <c:scaling>
          <c:orientation val="minMax"/>
        </c:scaling>
        <c:delete val="0"/>
        <c:axPos val="b"/>
        <c:numFmt formatCode="[$-409]d\-mmm;@" sourceLinked="0"/>
        <c:majorTickMark val="out"/>
        <c:minorTickMark val="none"/>
        <c:tickLblPos val="nextTo"/>
        <c:spPr>
          <a:ln w="3175">
            <a:solidFill>
              <a:srgbClr val="000000"/>
            </a:solidFill>
            <a:prstDash val="solid"/>
          </a:ln>
        </c:spPr>
        <c:txPr>
          <a:bodyPr rot="0" vert="horz"/>
          <a:lstStyle/>
          <a:p>
            <a:pPr>
              <a:defRPr sz="950" b="1" i="0" u="none" strike="noStrike" baseline="0">
                <a:solidFill>
                  <a:srgbClr val="000000"/>
                </a:solidFill>
                <a:latin typeface="Arial"/>
                <a:ea typeface="Arial"/>
                <a:cs typeface="Arial"/>
              </a:defRPr>
            </a:pPr>
            <a:endParaRPr lang="en-US"/>
          </a:p>
        </c:txPr>
        <c:crossAx val="135799936"/>
        <c:crosses val="autoZero"/>
        <c:auto val="1"/>
        <c:lblAlgn val="ctr"/>
        <c:lblOffset val="100"/>
        <c:tickLblSkip val="1"/>
        <c:tickMarkSkip val="1"/>
        <c:noMultiLvlLbl val="0"/>
      </c:catAx>
      <c:valAx>
        <c:axId val="135799936"/>
        <c:scaling>
          <c:orientation val="minMax"/>
        </c:scaling>
        <c:delete val="0"/>
        <c:axPos val="l"/>
        <c:majorGridlines>
          <c:spPr>
            <a:ln w="3175">
              <a:solidFill>
                <a:srgbClr val="000000"/>
              </a:solidFill>
              <a:prstDash val="solid"/>
            </a:ln>
          </c:spPr>
        </c:majorGridlines>
        <c:minorGridlines/>
        <c:title>
          <c:tx>
            <c:rich>
              <a:bodyPr/>
              <a:lstStyle/>
              <a:p>
                <a:pPr>
                  <a:defRPr sz="950" b="1" i="0" u="none" strike="noStrike" baseline="0">
                    <a:solidFill>
                      <a:srgbClr val="000000"/>
                    </a:solidFill>
                    <a:latin typeface="Arial"/>
                    <a:ea typeface="Arial"/>
                    <a:cs typeface="Arial"/>
                  </a:defRPr>
                </a:pPr>
                <a:r>
                  <a:rPr lang="en-US"/>
                  <a:t>Total Monthly Inflow Acre-Feet</a:t>
                </a:r>
              </a:p>
            </c:rich>
          </c:tx>
          <c:layout>
            <c:manualLayout>
              <c:xMode val="edge"/>
              <c:yMode val="edge"/>
              <c:x val="1.0043103415451501E-2"/>
              <c:y val="0.211956569199644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25" b="1" i="0" u="none" strike="noStrike" baseline="0">
                <a:solidFill>
                  <a:srgbClr val="000000"/>
                </a:solidFill>
                <a:latin typeface="Arial"/>
                <a:ea typeface="Arial"/>
                <a:cs typeface="Arial"/>
              </a:defRPr>
            </a:pPr>
            <a:endParaRPr lang="en-US"/>
          </a:p>
        </c:txPr>
        <c:crossAx val="135740800"/>
        <c:crosses val="autoZero"/>
        <c:crossBetween val="between"/>
      </c:valAx>
      <c:spPr>
        <a:gradFill flip="none" rotWithShape="1">
          <a:gsLst>
            <a:gs pos="0">
              <a:srgbClr val="00B0F0">
                <a:alpha val="58000"/>
              </a:srgbClr>
            </a:gs>
            <a:gs pos="50000">
              <a:srgbClr val="4F81BD">
                <a:tint val="44500"/>
                <a:satMod val="160000"/>
              </a:srgbClr>
            </a:gs>
            <a:gs pos="100000">
              <a:srgbClr val="4F81BD">
                <a:tint val="23500"/>
                <a:satMod val="160000"/>
              </a:srgbClr>
            </a:gs>
          </a:gsLst>
          <a:lin ang="2700000" scaled="1"/>
          <a:tileRect/>
        </a:gradFill>
        <a:ln w="12700">
          <a:solidFill>
            <a:srgbClr val="808080"/>
          </a:solidFill>
          <a:prstDash val="solid"/>
        </a:ln>
      </c:spPr>
    </c:plotArea>
    <c:legend>
      <c:legendPos val="r"/>
      <c:layout>
        <c:manualLayout>
          <c:xMode val="edge"/>
          <c:yMode val="edge"/>
          <c:x val="0.14821866526696309"/>
          <c:y val="0.16157908250599301"/>
          <c:w val="0.20846337348770164"/>
          <c:h val="0.19450361680760331"/>
        </c:manualLayout>
      </c:layout>
      <c:overlay val="0"/>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gradFill>
      <a:gsLst>
        <a:gs pos="0">
          <a:schemeClr val="tx2">
            <a:lumMod val="40000"/>
            <a:lumOff val="60000"/>
          </a:schemeClr>
        </a:gs>
        <a:gs pos="50000">
          <a:srgbClr val="4F81BD">
            <a:tint val="44500"/>
            <a:satMod val="160000"/>
          </a:srgbClr>
        </a:gs>
        <a:gs pos="100000">
          <a:srgbClr val="4F81BD">
            <a:tint val="23500"/>
            <a:satMod val="160000"/>
          </a:srgbClr>
        </a:gs>
      </a:gsLst>
      <a:lin ang="5400000" scaled="0"/>
    </a:gradFill>
  </c:spPr>
  <c:txPr>
    <a:bodyPr/>
    <a:lstStyle/>
    <a:p>
      <a:pPr>
        <a:defRPr sz="142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horizontalDpi="-2" verticalDpi="0"/>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en-US"/>
              <a:t>Estimated Bear Creek Reservoir Inflow (Acre-Ft/Year)</a:t>
            </a:r>
          </a:p>
        </c:rich>
      </c:tx>
      <c:overlay val="0"/>
    </c:title>
    <c:autoTitleDeleted val="0"/>
    <c:plotArea>
      <c:layout>
        <c:manualLayout>
          <c:layoutTarget val="inner"/>
          <c:xMode val="edge"/>
          <c:yMode val="edge"/>
          <c:x val="0.14763503914878209"/>
          <c:y val="0.11790411519660959"/>
          <c:w val="0.8226665042525757"/>
          <c:h val="0.71737165949154746"/>
        </c:manualLayout>
      </c:layout>
      <c:barChart>
        <c:barDir val="col"/>
        <c:grouping val="clustered"/>
        <c:varyColors val="0"/>
        <c:ser>
          <c:idx val="1"/>
          <c:order val="0"/>
          <c:tx>
            <c:strRef>
              <c:f>'Monthly Discharge'!$B$55</c:f>
              <c:strCache>
                <c:ptCount val="1"/>
                <c:pt idx="0">
                  <c:v>Total Reservoir Inflow (Acre-Ft/Year)</c:v>
                </c:pt>
              </c:strCache>
            </c:strRef>
          </c:tx>
          <c:spPr>
            <a:solidFill>
              <a:schemeClr val="accent1"/>
            </a:solidFill>
            <a:ln w="12700">
              <a:solidFill>
                <a:srgbClr val="000000"/>
              </a:solidFill>
              <a:prstDash val="solid"/>
            </a:ln>
          </c:spPr>
          <c:invertIfNegative val="0"/>
          <c:trendline>
            <c:trendlineType val="linear"/>
            <c:dispRSqr val="0"/>
            <c:dispEq val="0"/>
          </c:trendline>
          <c:cat>
            <c:numRef>
              <c:f>'Monthly Discharge'!$A$56:$A$82</c:f>
              <c:numCache>
                <c:formatCode>General</c:formatCode>
                <c:ptCount val="27"/>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numCache>
            </c:numRef>
          </c:cat>
          <c:val>
            <c:numRef>
              <c:f>'Monthly Discharge'!$B$56:$B$82</c:f>
              <c:numCache>
                <c:formatCode>#,##0</c:formatCode>
                <c:ptCount val="27"/>
                <c:pt idx="0">
                  <c:v>61594.954499999993</c:v>
                </c:pt>
                <c:pt idx="1">
                  <c:v>26201.379000000001</c:v>
                </c:pt>
                <c:pt idx="2">
                  <c:v>7527.4679999999998</c:v>
                </c:pt>
                <c:pt idx="3">
                  <c:v>20266.259999999998</c:v>
                </c:pt>
                <c:pt idx="4">
                  <c:v>25694.7225</c:v>
                </c:pt>
                <c:pt idx="5">
                  <c:v>18384.392999999996</c:v>
                </c:pt>
                <c:pt idx="6">
                  <c:v>11291.201999999999</c:v>
                </c:pt>
                <c:pt idx="7">
                  <c:v>13173.069</c:v>
                </c:pt>
                <c:pt idx="8">
                  <c:v>69556.699499999988</c:v>
                </c:pt>
                <c:pt idx="9">
                  <c:v>22654.783499999998</c:v>
                </c:pt>
                <c:pt idx="10">
                  <c:v>38071.616999999998</c:v>
                </c:pt>
                <c:pt idx="11">
                  <c:v>69122.422500000001</c:v>
                </c:pt>
                <c:pt idx="12">
                  <c:v>52692.275999999998</c:v>
                </c:pt>
                <c:pt idx="13">
                  <c:v>13173.069</c:v>
                </c:pt>
                <c:pt idx="14">
                  <c:v>15134.171499999999</c:v>
                </c:pt>
                <c:pt idx="15">
                  <c:v>4248.6766499999994</c:v>
                </c:pt>
                <c:pt idx="16">
                  <c:v>21641.470499999999</c:v>
                </c:pt>
                <c:pt idx="17">
                  <c:v>20924.913449999996</c:v>
                </c:pt>
                <c:pt idx="18">
                  <c:v>36624.026999999995</c:v>
                </c:pt>
                <c:pt idx="19">
                  <c:v>8497.4680000000008</c:v>
                </c:pt>
                <c:pt idx="20">
                  <c:v>56500</c:v>
                </c:pt>
                <c:pt idx="21">
                  <c:v>19400</c:v>
                </c:pt>
                <c:pt idx="22">
                  <c:v>25943</c:v>
                </c:pt>
                <c:pt idx="23">
                  <c:v>29007</c:v>
                </c:pt>
                <c:pt idx="24">
                  <c:v>9432</c:v>
                </c:pt>
                <c:pt idx="25">
                  <c:v>5868</c:v>
                </c:pt>
                <c:pt idx="26">
                  <c:v>49972.512180000005</c:v>
                </c:pt>
              </c:numCache>
            </c:numRef>
          </c:val>
          <c:extLst>
            <c:ext xmlns:c16="http://schemas.microsoft.com/office/drawing/2014/chart" uri="{C3380CC4-5D6E-409C-BE32-E72D297353CC}">
              <c16:uniqueId val="{00000001-BE55-4CEA-8F7B-7FA777490D4B}"/>
            </c:ext>
          </c:extLst>
        </c:ser>
        <c:dLbls>
          <c:showLegendKey val="0"/>
          <c:showVal val="0"/>
          <c:showCatName val="0"/>
          <c:showSerName val="0"/>
          <c:showPercent val="0"/>
          <c:showBubbleSize val="0"/>
        </c:dLbls>
        <c:gapWidth val="150"/>
        <c:axId val="135812992"/>
        <c:axId val="135814528"/>
      </c:barChart>
      <c:catAx>
        <c:axId val="135812992"/>
        <c:scaling>
          <c:orientation val="minMax"/>
        </c:scaling>
        <c:delete val="0"/>
        <c:axPos val="b"/>
        <c:numFmt formatCode="General" sourceLinked="1"/>
        <c:majorTickMark val="out"/>
        <c:minorTickMark val="none"/>
        <c:tickLblPos val="low"/>
        <c:spPr>
          <a:ln w="3175">
            <a:solidFill>
              <a:srgbClr val="000000"/>
            </a:solidFill>
            <a:prstDash val="solid"/>
          </a:ln>
        </c:spPr>
        <c:txPr>
          <a:bodyPr rot="-3600000" vert="horz"/>
          <a:lstStyle/>
          <a:p>
            <a:pPr>
              <a:defRPr sz="800" b="1" i="0" u="none" strike="noStrike" baseline="0">
                <a:solidFill>
                  <a:srgbClr val="000000"/>
                </a:solidFill>
                <a:latin typeface="Arial"/>
                <a:ea typeface="Arial"/>
                <a:cs typeface="Arial"/>
              </a:defRPr>
            </a:pPr>
            <a:endParaRPr lang="en-US"/>
          </a:p>
        </c:txPr>
        <c:crossAx val="135814528"/>
        <c:crosses val="autoZero"/>
        <c:auto val="1"/>
        <c:lblAlgn val="ctr"/>
        <c:lblOffset val="100"/>
        <c:tickLblSkip val="1"/>
        <c:tickMarkSkip val="1"/>
        <c:noMultiLvlLbl val="0"/>
      </c:catAx>
      <c:valAx>
        <c:axId val="135814528"/>
        <c:scaling>
          <c:orientation val="minMax"/>
        </c:scaling>
        <c:delete val="0"/>
        <c:axPos val="l"/>
        <c:majorGridlines>
          <c:spPr>
            <a:ln w="3175">
              <a:solidFill>
                <a:srgbClr val="000000"/>
              </a:solidFill>
              <a:prstDash val="solid"/>
            </a:ln>
          </c:spPr>
        </c:majorGridlines>
        <c:minorGridlines/>
        <c:title>
          <c:tx>
            <c:rich>
              <a:bodyPr/>
              <a:lstStyle/>
              <a:p>
                <a:pPr>
                  <a:defRPr sz="1400" b="1" i="0" u="none" strike="noStrike" baseline="0">
                    <a:solidFill>
                      <a:srgbClr val="000000"/>
                    </a:solidFill>
                    <a:latin typeface="Arial"/>
                    <a:ea typeface="Arial"/>
                    <a:cs typeface="Arial"/>
                  </a:defRPr>
                </a:pPr>
                <a:r>
                  <a:rPr lang="en-US" sz="1400"/>
                  <a:t>Acre-Feet Per Year</a:t>
                </a:r>
              </a:p>
            </c:rich>
          </c:tx>
          <c:layout>
            <c:manualLayout>
              <c:xMode val="edge"/>
              <c:yMode val="edge"/>
              <c:x val="3.4091156616426456E-2"/>
              <c:y val="0.2323263860684718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35812992"/>
        <c:crosses val="autoZero"/>
        <c:crossBetween val="between"/>
        <c:majorUnit val="20000"/>
      </c:valAx>
      <c:spPr>
        <a:gradFill>
          <a:gsLst>
            <a:gs pos="0">
              <a:schemeClr val="bg1">
                <a:lumMod val="75000"/>
              </a:schemeClr>
            </a:gs>
            <a:gs pos="50000">
              <a:srgbClr val="4F81BD">
                <a:tint val="44500"/>
                <a:satMod val="160000"/>
              </a:srgbClr>
            </a:gs>
            <a:gs pos="100000">
              <a:srgbClr val="4F81BD">
                <a:tint val="23500"/>
                <a:satMod val="160000"/>
              </a:srgbClr>
            </a:gs>
          </a:gsLst>
          <a:lin ang="5400000" scaled="0"/>
        </a:gradFill>
        <a:ln w="12700" cap="rnd">
          <a:solidFill>
            <a:srgbClr val="808080"/>
          </a:solidFill>
          <a:prstDash val="solid"/>
        </a:ln>
      </c:spPr>
    </c:plotArea>
    <c:plotVisOnly val="1"/>
    <c:dispBlanksAs val="gap"/>
    <c:showDLblsOverMax val="0"/>
  </c:chart>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3175">
      <a:solidFill>
        <a:srgbClr val="000000"/>
      </a:solidFill>
      <a:prstDash val="solid"/>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sz="1000"/>
              <a:t>Bear Creek Reservoir Total Phosphorus [ug/l] Trend</a:t>
            </a:r>
          </a:p>
        </c:rich>
      </c:tx>
      <c:layout>
        <c:manualLayout>
          <c:xMode val="edge"/>
          <c:yMode val="edge"/>
          <c:x val="0.23974763406941788"/>
          <c:y val="3.6423841059602655E-2"/>
        </c:manualLayout>
      </c:layout>
      <c:overlay val="0"/>
      <c:spPr>
        <a:noFill/>
        <a:ln w="25400">
          <a:noFill/>
        </a:ln>
      </c:spPr>
    </c:title>
    <c:autoTitleDeleted val="0"/>
    <c:plotArea>
      <c:layout>
        <c:manualLayout>
          <c:layoutTarget val="inner"/>
          <c:xMode val="edge"/>
          <c:yMode val="edge"/>
          <c:x val="8.8480801335559273E-2"/>
          <c:y val="0.15011037527593821"/>
          <c:w val="0.90150250417360756"/>
          <c:h val="0.71412803532012759"/>
        </c:manualLayout>
      </c:layout>
      <c:barChart>
        <c:barDir val="col"/>
        <c:grouping val="clustered"/>
        <c:varyColors val="0"/>
        <c:ser>
          <c:idx val="0"/>
          <c:order val="0"/>
          <c:tx>
            <c:strRef>
              <c:f>'Annual Reservoir Trends'!$B$14</c:f>
              <c:strCache>
                <c:ptCount val="1"/>
                <c:pt idx="0">
                  <c:v>Top</c:v>
                </c:pt>
              </c:strCache>
            </c:strRef>
          </c:tx>
          <c:spPr>
            <a:solidFill>
              <a:srgbClr val="9999FF"/>
            </a:solidFill>
            <a:ln w="12700">
              <a:solidFill>
                <a:srgbClr val="000000"/>
              </a:solidFill>
              <a:prstDash val="solid"/>
            </a:ln>
          </c:spPr>
          <c:invertIfNegative val="0"/>
          <c:cat>
            <c:numRef>
              <c:f>'Annual Reservoir Trends'!$C$3:$Y$3</c:f>
              <c:numCache>
                <c:formatCode>[$-409]d\-mmm;@</c:formatCode>
                <c:ptCount val="2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numCache>
            </c:numRef>
          </c:cat>
          <c:val>
            <c:numRef>
              <c:f>'Annual Reservoir Trends'!$C$14:$Y$14</c:f>
              <c:numCache>
                <c:formatCode>0.0</c:formatCode>
                <c:ptCount val="23"/>
                <c:pt idx="0">
                  <c:v>144</c:v>
                </c:pt>
                <c:pt idx="1">
                  <c:v>146</c:v>
                </c:pt>
                <c:pt idx="2">
                  <c:v>175</c:v>
                </c:pt>
                <c:pt idx="3">
                  <c:v>83</c:v>
                </c:pt>
                <c:pt idx="4">
                  <c:v>34</c:v>
                </c:pt>
                <c:pt idx="5">
                  <c:v>29</c:v>
                </c:pt>
                <c:pt idx="6">
                  <c:v>38</c:v>
                </c:pt>
                <c:pt idx="7">
                  <c:v>33</c:v>
                </c:pt>
                <c:pt idx="8">
                  <c:v>34</c:v>
                </c:pt>
                <c:pt idx="9">
                  <c:v>59</c:v>
                </c:pt>
                <c:pt idx="10">
                  <c:v>42</c:v>
                </c:pt>
                <c:pt idx="11">
                  <c:v>46</c:v>
                </c:pt>
                <c:pt idx="12">
                  <c:v>79</c:v>
                </c:pt>
                <c:pt idx="13">
                  <c:v>24</c:v>
                </c:pt>
                <c:pt idx="14" formatCode="0">
                  <c:v>33.021419788316948</c:v>
                </c:pt>
                <c:pt idx="15" formatCode="0">
                  <c:v>66.601427985887796</c:v>
                </c:pt>
                <c:pt idx="16">
                  <c:v>29.742840573556929</c:v>
                </c:pt>
                <c:pt idx="17">
                  <c:v>39.799999999999997</c:v>
                </c:pt>
                <c:pt idx="18">
                  <c:v>34.200000000000003</c:v>
                </c:pt>
                <c:pt idx="19">
                  <c:v>28.3</c:v>
                </c:pt>
                <c:pt idx="20">
                  <c:v>33.700000000000003</c:v>
                </c:pt>
                <c:pt idx="21">
                  <c:v>53.4</c:v>
                </c:pt>
                <c:pt idx="22">
                  <c:v>71.400000000000006</c:v>
                </c:pt>
              </c:numCache>
            </c:numRef>
          </c:val>
          <c:extLst>
            <c:ext xmlns:c16="http://schemas.microsoft.com/office/drawing/2014/chart" uri="{C3380CC4-5D6E-409C-BE32-E72D297353CC}">
              <c16:uniqueId val="{00000000-ACD0-4B63-97D5-927F260BF386}"/>
            </c:ext>
          </c:extLst>
        </c:ser>
        <c:ser>
          <c:idx val="3"/>
          <c:order val="1"/>
          <c:tx>
            <c:strRef>
              <c:f>'Annual Reservoir Trends'!$B$16</c:f>
              <c:strCache>
                <c:ptCount val="1"/>
                <c:pt idx="0">
                  <c:v>Bottom</c:v>
                </c:pt>
              </c:strCache>
            </c:strRef>
          </c:tx>
          <c:spPr>
            <a:solidFill>
              <a:srgbClr val="CCFFFF"/>
            </a:solidFill>
            <a:ln w="12700">
              <a:solidFill>
                <a:srgbClr val="000000"/>
              </a:solidFill>
              <a:prstDash val="solid"/>
            </a:ln>
          </c:spPr>
          <c:invertIfNegative val="0"/>
          <c:trendline>
            <c:spPr>
              <a:ln w="25400">
                <a:solidFill>
                  <a:srgbClr val="000000"/>
                </a:solidFill>
                <a:prstDash val="solid"/>
              </a:ln>
            </c:spPr>
            <c:trendlineType val="poly"/>
            <c:order val="6"/>
            <c:dispRSqr val="0"/>
            <c:dispEq val="0"/>
          </c:trendline>
          <c:cat>
            <c:numRef>
              <c:f>'Annual Reservoir Trends'!$C$3:$Y$3</c:f>
              <c:numCache>
                <c:formatCode>[$-409]d\-mmm;@</c:formatCode>
                <c:ptCount val="2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numCache>
            </c:numRef>
          </c:cat>
          <c:val>
            <c:numRef>
              <c:f>'Annual Reservoir Trends'!$C$16:$Y$16</c:f>
              <c:numCache>
                <c:formatCode>0.0</c:formatCode>
                <c:ptCount val="23"/>
                <c:pt idx="0">
                  <c:v>270</c:v>
                </c:pt>
                <c:pt idx="1">
                  <c:v>201</c:v>
                </c:pt>
                <c:pt idx="2">
                  <c:v>240</c:v>
                </c:pt>
                <c:pt idx="3">
                  <c:v>99</c:v>
                </c:pt>
                <c:pt idx="4">
                  <c:v>52</c:v>
                </c:pt>
                <c:pt idx="5">
                  <c:v>66</c:v>
                </c:pt>
                <c:pt idx="6">
                  <c:v>86</c:v>
                </c:pt>
                <c:pt idx="7">
                  <c:v>69</c:v>
                </c:pt>
                <c:pt idx="8">
                  <c:v>54</c:v>
                </c:pt>
                <c:pt idx="9">
                  <c:v>56</c:v>
                </c:pt>
                <c:pt idx="10">
                  <c:v>64</c:v>
                </c:pt>
                <c:pt idx="11">
                  <c:v>56</c:v>
                </c:pt>
                <c:pt idx="12">
                  <c:v>56</c:v>
                </c:pt>
                <c:pt idx="13">
                  <c:v>44</c:v>
                </c:pt>
                <c:pt idx="14" formatCode="0">
                  <c:v>47.091899981300472</c:v>
                </c:pt>
                <c:pt idx="15" formatCode="0">
                  <c:v>97.33945999875337</c:v>
                </c:pt>
                <c:pt idx="16">
                  <c:v>30.821478699787626</c:v>
                </c:pt>
                <c:pt idx="17">
                  <c:v>62.2</c:v>
                </c:pt>
                <c:pt idx="18">
                  <c:v>35.299999999999997</c:v>
                </c:pt>
                <c:pt idx="19">
                  <c:v>38.9</c:v>
                </c:pt>
                <c:pt idx="20">
                  <c:v>47.9</c:v>
                </c:pt>
                <c:pt idx="21">
                  <c:v>69.8</c:v>
                </c:pt>
                <c:pt idx="22">
                  <c:v>59.8</c:v>
                </c:pt>
              </c:numCache>
            </c:numRef>
          </c:val>
          <c:extLst>
            <c:ext xmlns:c16="http://schemas.microsoft.com/office/drawing/2014/chart" uri="{C3380CC4-5D6E-409C-BE32-E72D297353CC}">
              <c16:uniqueId val="{00000002-ACD0-4B63-97D5-927F260BF386}"/>
            </c:ext>
          </c:extLst>
        </c:ser>
        <c:dLbls>
          <c:showLegendKey val="0"/>
          <c:showVal val="0"/>
          <c:showCatName val="0"/>
          <c:showSerName val="0"/>
          <c:showPercent val="0"/>
          <c:showBubbleSize val="0"/>
        </c:dLbls>
        <c:gapWidth val="150"/>
        <c:axId val="98075392"/>
        <c:axId val="98076928"/>
      </c:barChart>
      <c:dateAx>
        <c:axId val="98075392"/>
        <c:scaling>
          <c:orientation val="minMax"/>
        </c:scaling>
        <c:delete val="0"/>
        <c:axPos val="b"/>
        <c:numFmt formatCode="[$-409]d\-mmm;@"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98076928"/>
        <c:crosses val="autoZero"/>
        <c:auto val="1"/>
        <c:lblOffset val="100"/>
        <c:baseTimeUnit val="days"/>
        <c:majorUnit val="1"/>
        <c:minorUnit val="1"/>
      </c:dateAx>
      <c:valAx>
        <c:axId val="98076928"/>
        <c:scaling>
          <c:orientation val="minMax"/>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98075392"/>
        <c:crosses val="autoZero"/>
        <c:crossBetween val="between"/>
      </c:valAx>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12700">
          <a:solidFill>
            <a:srgbClr val="000000"/>
          </a:solidFill>
          <a:prstDash val="solid"/>
        </a:ln>
      </c:spPr>
    </c:plotArea>
    <c:legend>
      <c:legendPos val="r"/>
      <c:legendEntry>
        <c:idx val="0"/>
        <c:txPr>
          <a:bodyPr/>
          <a:lstStyle/>
          <a:p>
            <a:pPr>
              <a:defRPr sz="800" b="0" i="0" u="none" strike="noStrike" baseline="0">
                <a:solidFill>
                  <a:srgbClr val="000000"/>
                </a:solidFill>
                <a:latin typeface="Arial"/>
                <a:ea typeface="Arial"/>
                <a:cs typeface="Arial"/>
              </a:defRPr>
            </a:pPr>
            <a:endParaRPr lang="en-US"/>
          </a:p>
        </c:txPr>
      </c:legendEntry>
      <c:layout>
        <c:manualLayout>
          <c:xMode val="edge"/>
          <c:yMode val="edge"/>
          <c:x val="0.76627718853755267"/>
          <c:y val="0.19536423841059641"/>
          <c:w val="0.22203664605015838"/>
          <c:h val="0.18874172185431826"/>
        </c:manualLayout>
      </c:layout>
      <c:overlay val="0"/>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horizontalDpi="-2"/>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Bear Creek Reservoir 2013 In-Flow Estimates</a:t>
            </a:r>
          </a:p>
        </c:rich>
      </c:tx>
      <c:layout>
        <c:manualLayout>
          <c:xMode val="edge"/>
          <c:yMode val="edge"/>
          <c:x val="0.29159713111771834"/>
          <c:y val="5.1578945230876687E-2"/>
        </c:manualLayout>
      </c:layout>
      <c:overlay val="0"/>
    </c:title>
    <c:autoTitleDeleted val="0"/>
    <c:plotArea>
      <c:layout/>
      <c:barChart>
        <c:barDir val="col"/>
        <c:grouping val="clustered"/>
        <c:varyColors val="0"/>
        <c:ser>
          <c:idx val="0"/>
          <c:order val="0"/>
          <c:tx>
            <c:strRef>
              <c:f>'Monthly Discharge'!$A$20</c:f>
              <c:strCache>
                <c:ptCount val="1"/>
                <c:pt idx="0">
                  <c:v>Turkey Creek Inflow</c:v>
                </c:pt>
              </c:strCache>
            </c:strRef>
          </c:tx>
          <c:spPr>
            <a:solidFill>
              <a:schemeClr val="tx2"/>
            </a:solidFill>
          </c:spPr>
          <c:invertIfNegative val="0"/>
          <c:cat>
            <c:strRef>
              <c:f>'Monthly Discharge'!$B$19:$M$19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Discharge'!$B$20:$M$20</c:f>
              <c:numCache>
                <c:formatCode>#,##0.0</c:formatCode>
                <c:ptCount val="12"/>
                <c:pt idx="0">
                  <c:v>79.914900000000003</c:v>
                </c:pt>
                <c:pt idx="1">
                  <c:v>21.27759</c:v>
                </c:pt>
                <c:pt idx="2">
                  <c:v>93.438960000000009</c:v>
                </c:pt>
                <c:pt idx="3">
                  <c:v>103.51260000000001</c:v>
                </c:pt>
                <c:pt idx="4">
                  <c:v>990.33002999999997</c:v>
                </c:pt>
                <c:pt idx="5">
                  <c:v>36.883800000000001</c:v>
                </c:pt>
                <c:pt idx="6">
                  <c:v>217.92178500000003</c:v>
                </c:pt>
                <c:pt idx="7">
                  <c:v>14.13879</c:v>
                </c:pt>
                <c:pt idx="8">
                  <c:v>3130.0663500000005</c:v>
                </c:pt>
                <c:pt idx="9">
                  <c:v>129.70802999999998</c:v>
                </c:pt>
                <c:pt idx="10">
                  <c:v>13.682700000000002</c:v>
                </c:pt>
                <c:pt idx="11">
                  <c:v>51.637320000000003</c:v>
                </c:pt>
              </c:numCache>
            </c:numRef>
          </c:val>
          <c:extLst>
            <c:ext xmlns:c16="http://schemas.microsoft.com/office/drawing/2014/chart" uri="{C3380CC4-5D6E-409C-BE32-E72D297353CC}">
              <c16:uniqueId val="{00000000-1A9F-4B41-95A9-4B1C88D7731C}"/>
            </c:ext>
          </c:extLst>
        </c:ser>
        <c:ser>
          <c:idx val="1"/>
          <c:order val="1"/>
          <c:tx>
            <c:strRef>
              <c:f>'Monthly Discharge'!$A$21</c:f>
              <c:strCache>
                <c:ptCount val="1"/>
                <c:pt idx="0">
                  <c:v>Bear Creek Inflow</c:v>
                </c:pt>
              </c:strCache>
            </c:strRef>
          </c:tx>
          <c:spPr>
            <a:solidFill>
              <a:srgbClr val="00B0F0"/>
            </a:solidFill>
          </c:spPr>
          <c:invertIfNegative val="0"/>
          <c:cat>
            <c:strRef>
              <c:f>'Monthly Discharge'!$B$19:$M$19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Discharge'!$B$21:$M$21</c:f>
              <c:numCache>
                <c:formatCode>#,##0.0</c:formatCode>
                <c:ptCount val="12"/>
                <c:pt idx="0">
                  <c:v>1038.2789700000001</c:v>
                </c:pt>
                <c:pt idx="1">
                  <c:v>91.436130000000006</c:v>
                </c:pt>
                <c:pt idx="2">
                  <c:v>62.702460000000002</c:v>
                </c:pt>
                <c:pt idx="3">
                  <c:v>571.69889999999998</c:v>
                </c:pt>
                <c:pt idx="4">
                  <c:v>5370.2812800000002</c:v>
                </c:pt>
                <c:pt idx="5">
                  <c:v>757.30770000000007</c:v>
                </c:pt>
                <c:pt idx="6">
                  <c:v>325.19217000000003</c:v>
                </c:pt>
                <c:pt idx="7">
                  <c:v>950.06521500000008</c:v>
                </c:pt>
                <c:pt idx="8">
                  <c:v>27811.575000000001</c:v>
                </c:pt>
                <c:pt idx="9">
                  <c:v>4610.4749999999995</c:v>
                </c:pt>
                <c:pt idx="10">
                  <c:v>734.70150000000001</c:v>
                </c:pt>
                <c:pt idx="11">
                  <c:v>2766.2849999999999</c:v>
                </c:pt>
              </c:numCache>
            </c:numRef>
          </c:val>
          <c:extLst>
            <c:ext xmlns:c16="http://schemas.microsoft.com/office/drawing/2014/chart" uri="{C3380CC4-5D6E-409C-BE32-E72D297353CC}">
              <c16:uniqueId val="{00000001-1A9F-4B41-95A9-4B1C88D7731C}"/>
            </c:ext>
          </c:extLst>
        </c:ser>
        <c:dLbls>
          <c:showLegendKey val="0"/>
          <c:showVal val="0"/>
          <c:showCatName val="0"/>
          <c:showSerName val="0"/>
          <c:showPercent val="0"/>
          <c:showBubbleSize val="0"/>
        </c:dLbls>
        <c:gapWidth val="150"/>
        <c:axId val="135868416"/>
        <c:axId val="135869952"/>
      </c:barChart>
      <c:catAx>
        <c:axId val="135868416"/>
        <c:scaling>
          <c:orientation val="minMax"/>
        </c:scaling>
        <c:delete val="0"/>
        <c:axPos val="b"/>
        <c:numFmt formatCode="General" sourceLinked="0"/>
        <c:majorTickMark val="none"/>
        <c:minorTickMark val="none"/>
        <c:tickLblPos val="nextTo"/>
        <c:crossAx val="135869952"/>
        <c:crosses val="autoZero"/>
        <c:auto val="1"/>
        <c:lblAlgn val="ctr"/>
        <c:lblOffset val="100"/>
        <c:noMultiLvlLbl val="0"/>
      </c:catAx>
      <c:valAx>
        <c:axId val="135869952"/>
        <c:scaling>
          <c:orientation val="minMax"/>
          <c:max val="30000"/>
        </c:scaling>
        <c:delete val="0"/>
        <c:axPos val="l"/>
        <c:majorGridlines/>
        <c:title>
          <c:tx>
            <c:rich>
              <a:bodyPr/>
              <a:lstStyle/>
              <a:p>
                <a:pPr>
                  <a:defRPr sz="1400"/>
                </a:pPr>
                <a:r>
                  <a:rPr lang="en-US" sz="1400"/>
                  <a:t>Acre-feet/month</a:t>
                </a:r>
              </a:p>
            </c:rich>
          </c:tx>
          <c:layout>
            <c:manualLayout>
              <c:xMode val="edge"/>
              <c:yMode val="edge"/>
              <c:x val="6.6553493287305393E-2"/>
              <c:y val="0.27132903972943367"/>
            </c:manualLayout>
          </c:layout>
          <c:overlay val="0"/>
        </c:title>
        <c:numFmt formatCode="#,##0.0" sourceLinked="1"/>
        <c:majorTickMark val="none"/>
        <c:minorTickMark val="none"/>
        <c:tickLblPos val="nextTo"/>
        <c:txPr>
          <a:bodyPr/>
          <a:lstStyle/>
          <a:p>
            <a:pPr>
              <a:defRPr sz="1050"/>
            </a:pPr>
            <a:endParaRPr lang="en-US"/>
          </a:p>
        </c:txPr>
        <c:crossAx val="135868416"/>
        <c:crosses val="autoZero"/>
        <c:crossBetween val="between"/>
      </c:valAx>
      <c:dTable>
        <c:showHorzBorder val="1"/>
        <c:showVertBorder val="1"/>
        <c:showOutline val="1"/>
        <c:showKeys val="1"/>
        <c:txPr>
          <a:bodyPr/>
          <a:lstStyle/>
          <a:p>
            <a:pPr rtl="0">
              <a:defRPr sz="1050"/>
            </a:pPr>
            <a:endParaRPr lang="en-US"/>
          </a:p>
        </c:txPr>
      </c:dTable>
      <c:spPr>
        <a:noFill/>
        <a:ln w="25400">
          <a:noFill/>
        </a:ln>
      </c:spPr>
    </c:plotArea>
    <c:plotVisOnly val="1"/>
    <c:dispBlanksAs val="gap"/>
    <c:showDLblsOverMax val="0"/>
  </c:chart>
  <c:spPr>
    <a:gradFill>
      <a:gsLst>
        <a:gs pos="0">
          <a:schemeClr val="accent1">
            <a:lumMod val="60000"/>
            <a:lumOff val="40000"/>
          </a:schemeClr>
        </a:gs>
        <a:gs pos="50000">
          <a:srgbClr val="4F81BD">
            <a:tint val="44500"/>
            <a:satMod val="160000"/>
          </a:srgbClr>
        </a:gs>
        <a:gs pos="100000">
          <a:srgbClr val="4F81BD">
            <a:tint val="23500"/>
            <a:satMod val="160000"/>
          </a:srgbClr>
        </a:gs>
      </a:gsLst>
      <a:lin ang="5400000" scaled="0"/>
    </a:gradFill>
  </c:spPr>
  <c:printSettings>
    <c:headerFooter/>
    <c:pageMargins b="0.75000000000001465" l="0.70000000000000062" r="0.70000000000000062" t="0.75000000000001465"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trendline>
            <c:trendlineType val="linear"/>
            <c:forward val="1000"/>
            <c:dispRSqr val="1"/>
            <c:dispEq val="1"/>
            <c:trendlineLbl>
              <c:layout>
                <c:manualLayout>
                  <c:x val="-0.11603507870010829"/>
                  <c:y val="0.15085590086450726"/>
                </c:manualLayout>
              </c:layout>
              <c:numFmt formatCode="General" sourceLinked="0"/>
              <c:txPr>
                <a:bodyPr/>
                <a:lstStyle/>
                <a:p>
                  <a:pPr>
                    <a:defRPr sz="1600"/>
                  </a:pPr>
                  <a:endParaRPr lang="en-US"/>
                </a:p>
              </c:txPr>
            </c:trendlineLbl>
          </c:trendline>
          <c:trendline>
            <c:trendlineType val="exp"/>
            <c:dispRSqr val="0"/>
            <c:dispEq val="0"/>
          </c:trendline>
          <c:xVal>
            <c:numRef>
              <c:f>'Monthly Discharge'!$L$111:$L$137</c:f>
              <c:numCache>
                <c:formatCode>0.0</c:formatCode>
                <c:ptCount val="27"/>
                <c:pt idx="0">
                  <c:v>44.4</c:v>
                </c:pt>
                <c:pt idx="1">
                  <c:v>46</c:v>
                </c:pt>
                <c:pt idx="2">
                  <c:v>46.1</c:v>
                </c:pt>
                <c:pt idx="3">
                  <c:v>44.2</c:v>
                </c:pt>
                <c:pt idx="4">
                  <c:v>42.6</c:v>
                </c:pt>
                <c:pt idx="5">
                  <c:v>39.4</c:v>
                </c:pt>
                <c:pt idx="6">
                  <c:v>36.1</c:v>
                </c:pt>
                <c:pt idx="7">
                  <c:v>36.299999999999997</c:v>
                </c:pt>
                <c:pt idx="8">
                  <c:v>48</c:v>
                </c:pt>
                <c:pt idx="9">
                  <c:v>132</c:v>
                </c:pt>
                <c:pt idx="10">
                  <c:v>391</c:v>
                </c:pt>
                <c:pt idx="11">
                  <c:v>405</c:v>
                </c:pt>
                <c:pt idx="12">
                  <c:v>845.3</c:v>
                </c:pt>
                <c:pt idx="13">
                  <c:v>747</c:v>
                </c:pt>
                <c:pt idx="14">
                  <c:v>551</c:v>
                </c:pt>
                <c:pt idx="15">
                  <c:v>427</c:v>
                </c:pt>
                <c:pt idx="16">
                  <c:v>345</c:v>
                </c:pt>
                <c:pt idx="17">
                  <c:v>315</c:v>
                </c:pt>
                <c:pt idx="18">
                  <c:v>248</c:v>
                </c:pt>
                <c:pt idx="19">
                  <c:v>216</c:v>
                </c:pt>
                <c:pt idx="20">
                  <c:v>191</c:v>
                </c:pt>
                <c:pt idx="21">
                  <c:v>188</c:v>
                </c:pt>
                <c:pt idx="22">
                  <c:v>183</c:v>
                </c:pt>
                <c:pt idx="23">
                  <c:v>160</c:v>
                </c:pt>
                <c:pt idx="24">
                  <c:v>146</c:v>
                </c:pt>
                <c:pt idx="25">
                  <c:v>1000</c:v>
                </c:pt>
                <c:pt idx="26">
                  <c:v>1800</c:v>
                </c:pt>
              </c:numCache>
            </c:numRef>
          </c:xVal>
          <c:yVal>
            <c:numRef>
              <c:f>'Monthly Discharge'!$M$111:$M$137</c:f>
              <c:numCache>
                <c:formatCode>0.0</c:formatCode>
                <c:ptCount val="27"/>
                <c:pt idx="0">
                  <c:v>6.33</c:v>
                </c:pt>
                <c:pt idx="1">
                  <c:v>6.34</c:v>
                </c:pt>
                <c:pt idx="2">
                  <c:v>6.34</c:v>
                </c:pt>
                <c:pt idx="3">
                  <c:v>6.33</c:v>
                </c:pt>
                <c:pt idx="4">
                  <c:v>6.31</c:v>
                </c:pt>
                <c:pt idx="5">
                  <c:v>6.28</c:v>
                </c:pt>
                <c:pt idx="6">
                  <c:v>6.24</c:v>
                </c:pt>
                <c:pt idx="7">
                  <c:v>6.24</c:v>
                </c:pt>
                <c:pt idx="8">
                  <c:v>6.31</c:v>
                </c:pt>
                <c:pt idx="9">
                  <c:v>6.8</c:v>
                </c:pt>
                <c:pt idx="10">
                  <c:v>7.34</c:v>
                </c:pt>
                <c:pt idx="11">
                  <c:v>7.68</c:v>
                </c:pt>
                <c:pt idx="12">
                  <c:v>7.91</c:v>
                </c:pt>
                <c:pt idx="13">
                  <c:v>7.75</c:v>
                </c:pt>
                <c:pt idx="14">
                  <c:v>7.58</c:v>
                </c:pt>
                <c:pt idx="15">
                  <c:v>7.44</c:v>
                </c:pt>
                <c:pt idx="16">
                  <c:v>7.32</c:v>
                </c:pt>
                <c:pt idx="17">
                  <c:v>7.27</c:v>
                </c:pt>
                <c:pt idx="18">
                  <c:v>7.15</c:v>
                </c:pt>
                <c:pt idx="19">
                  <c:v>7.08</c:v>
                </c:pt>
                <c:pt idx="20">
                  <c:v>7.02</c:v>
                </c:pt>
                <c:pt idx="21">
                  <c:v>6.98</c:v>
                </c:pt>
                <c:pt idx="22">
                  <c:v>6.95</c:v>
                </c:pt>
                <c:pt idx="23">
                  <c:v>6.88</c:v>
                </c:pt>
                <c:pt idx="24">
                  <c:v>6.84</c:v>
                </c:pt>
                <c:pt idx="25">
                  <c:v>8</c:v>
                </c:pt>
                <c:pt idx="26">
                  <c:v>10</c:v>
                </c:pt>
              </c:numCache>
            </c:numRef>
          </c:yVal>
          <c:smooth val="0"/>
          <c:extLst>
            <c:ext xmlns:c16="http://schemas.microsoft.com/office/drawing/2014/chart" uri="{C3380CC4-5D6E-409C-BE32-E72D297353CC}">
              <c16:uniqueId val="{00000002-8EC4-4519-A0DC-71498F2F6530}"/>
            </c:ext>
          </c:extLst>
        </c:ser>
        <c:dLbls>
          <c:showLegendKey val="0"/>
          <c:showVal val="0"/>
          <c:showCatName val="0"/>
          <c:showSerName val="0"/>
          <c:showPercent val="0"/>
          <c:showBubbleSize val="0"/>
        </c:dLbls>
        <c:axId val="135938432"/>
        <c:axId val="135939968"/>
      </c:scatterChart>
      <c:valAx>
        <c:axId val="135938432"/>
        <c:scaling>
          <c:orientation val="minMax"/>
        </c:scaling>
        <c:delete val="0"/>
        <c:axPos val="b"/>
        <c:minorGridlines/>
        <c:numFmt formatCode="0.0" sourceLinked="1"/>
        <c:majorTickMark val="out"/>
        <c:minorTickMark val="none"/>
        <c:tickLblPos val="nextTo"/>
        <c:crossAx val="135939968"/>
        <c:crosses val="autoZero"/>
        <c:crossBetween val="midCat"/>
      </c:valAx>
      <c:valAx>
        <c:axId val="135939968"/>
        <c:scaling>
          <c:orientation val="minMax"/>
          <c:max val="10"/>
          <c:min val="6"/>
        </c:scaling>
        <c:delete val="0"/>
        <c:axPos val="l"/>
        <c:majorGridlines/>
        <c:minorGridlines/>
        <c:numFmt formatCode="0.0" sourceLinked="1"/>
        <c:majorTickMark val="out"/>
        <c:minorTickMark val="none"/>
        <c:tickLblPos val="nextTo"/>
        <c:crossAx val="135938432"/>
        <c:crosses val="autoZero"/>
        <c:crossBetween val="midCat"/>
      </c:valAx>
    </c:plotArea>
    <c:plotVisOnly val="1"/>
    <c:dispBlanksAs val="gap"/>
    <c:showDLblsOverMax val="0"/>
  </c:chart>
  <c:printSettings>
    <c:headerFooter/>
    <c:pageMargins b="0.75000000000000699" l="0.70000000000000062" r="0.70000000000000062" t="0.75000000000000699"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en-US" sz="1400" b="1"/>
              <a:t>BCRTemperature Average 1/2-2 Meters</a:t>
            </a:r>
          </a:p>
        </c:rich>
      </c:tx>
      <c:overlay val="0"/>
      <c:spPr>
        <a:noFill/>
        <a:ln w="25400">
          <a:noFill/>
        </a:ln>
      </c:spPr>
    </c:title>
    <c:autoTitleDeleted val="0"/>
    <c:plotArea>
      <c:layout/>
      <c:lineChart>
        <c:grouping val="standard"/>
        <c:varyColors val="0"/>
        <c:ser>
          <c:idx val="0"/>
          <c:order val="0"/>
          <c:tx>
            <c:strRef>
              <c:f>Temperature!$A$6</c:f>
              <c:strCache>
                <c:ptCount val="1"/>
                <c:pt idx="0">
                  <c:v>Site 40 Central Pool</c:v>
                </c:pt>
              </c:strCache>
            </c:strRef>
          </c:tx>
          <c:cat>
            <c:numRef>
              <c:f>Temperature!$B$2:$Q$2</c:f>
              <c:numCache>
                <c:formatCode>[$-409]d\-mmm;@</c:formatCode>
                <c:ptCount val="16"/>
                <c:pt idx="0">
                  <c:v>41296</c:v>
                </c:pt>
                <c:pt idx="1">
                  <c:v>41324</c:v>
                </c:pt>
                <c:pt idx="2">
                  <c:v>41358</c:v>
                </c:pt>
                <c:pt idx="3">
                  <c:v>41386</c:v>
                </c:pt>
                <c:pt idx="4">
                  <c:v>41414</c:v>
                </c:pt>
                <c:pt idx="5">
                  <c:v>41442</c:v>
                </c:pt>
                <c:pt idx="6">
                  <c:v>41463</c:v>
                </c:pt>
                <c:pt idx="7">
                  <c:v>41477</c:v>
                </c:pt>
                <c:pt idx="8">
                  <c:v>41491</c:v>
                </c:pt>
                <c:pt idx="9">
                  <c:v>41512</c:v>
                </c:pt>
                <c:pt idx="10">
                  <c:v>41526</c:v>
                </c:pt>
                <c:pt idx="11">
                  <c:v>41540</c:v>
                </c:pt>
                <c:pt idx="12">
                  <c:v>41558</c:v>
                </c:pt>
                <c:pt idx="13">
                  <c:v>41568</c:v>
                </c:pt>
                <c:pt idx="14">
                  <c:v>41596</c:v>
                </c:pt>
                <c:pt idx="15">
                  <c:v>41624</c:v>
                </c:pt>
              </c:numCache>
            </c:numRef>
          </c:cat>
          <c:val>
            <c:numRef>
              <c:f>Temperature!$B$22:$Q$22</c:f>
              <c:numCache>
                <c:formatCode>0.00</c:formatCode>
                <c:ptCount val="16"/>
                <c:pt idx="0">
                  <c:v>3.9</c:v>
                </c:pt>
                <c:pt idx="1">
                  <c:v>5.4749999999999996</c:v>
                </c:pt>
                <c:pt idx="2">
                  <c:v>5.375</c:v>
                </c:pt>
                <c:pt idx="3">
                  <c:v>8.9499999999999993</c:v>
                </c:pt>
                <c:pt idx="4">
                  <c:v>13.700000000000001</c:v>
                </c:pt>
                <c:pt idx="5">
                  <c:v>18.125</c:v>
                </c:pt>
                <c:pt idx="6">
                  <c:v>21.875</c:v>
                </c:pt>
                <c:pt idx="7">
                  <c:v>23.400000000000002</c:v>
                </c:pt>
                <c:pt idx="8">
                  <c:v>22.225000000000001</c:v>
                </c:pt>
                <c:pt idx="9">
                  <c:v>21.387500000000003</c:v>
                </c:pt>
                <c:pt idx="10">
                  <c:v>21.35</c:v>
                </c:pt>
                <c:pt idx="11">
                  <c:v>14.875</c:v>
                </c:pt>
                <c:pt idx="12">
                  <c:v>11.424999999999999</c:v>
                </c:pt>
                <c:pt idx="13">
                  <c:v>8.4499999999999993</c:v>
                </c:pt>
                <c:pt idx="14">
                  <c:v>5.6999999999999993</c:v>
                </c:pt>
                <c:pt idx="15">
                  <c:v>2.8250000000000002</c:v>
                </c:pt>
              </c:numCache>
            </c:numRef>
          </c:val>
          <c:smooth val="0"/>
          <c:extLst>
            <c:ext xmlns:c16="http://schemas.microsoft.com/office/drawing/2014/chart" uri="{C3380CC4-5D6E-409C-BE32-E72D297353CC}">
              <c16:uniqueId val="{00000000-AA76-47D1-BC4C-4E1E4552F5FB}"/>
            </c:ext>
          </c:extLst>
        </c:ser>
        <c:ser>
          <c:idx val="1"/>
          <c:order val="1"/>
          <c:tx>
            <c:strRef>
              <c:f>Temperature!$A$24</c:f>
              <c:strCache>
                <c:ptCount val="1"/>
                <c:pt idx="0">
                  <c:v>Site 41- BC Outlet</c:v>
                </c:pt>
              </c:strCache>
            </c:strRef>
          </c:tx>
          <c:val>
            <c:numRef>
              <c:f>Temperature!$B$22:$Q$22</c:f>
              <c:numCache>
                <c:formatCode>0.00</c:formatCode>
                <c:ptCount val="16"/>
                <c:pt idx="0">
                  <c:v>3.9</c:v>
                </c:pt>
                <c:pt idx="1">
                  <c:v>5.4749999999999996</c:v>
                </c:pt>
                <c:pt idx="2">
                  <c:v>5.375</c:v>
                </c:pt>
                <c:pt idx="3">
                  <c:v>8.9499999999999993</c:v>
                </c:pt>
                <c:pt idx="4">
                  <c:v>13.700000000000001</c:v>
                </c:pt>
                <c:pt idx="5">
                  <c:v>18.125</c:v>
                </c:pt>
                <c:pt idx="6">
                  <c:v>21.875</c:v>
                </c:pt>
                <c:pt idx="7">
                  <c:v>23.400000000000002</c:v>
                </c:pt>
                <c:pt idx="8">
                  <c:v>22.225000000000001</c:v>
                </c:pt>
                <c:pt idx="9">
                  <c:v>21.387500000000003</c:v>
                </c:pt>
                <c:pt idx="10">
                  <c:v>21.35</c:v>
                </c:pt>
                <c:pt idx="11">
                  <c:v>14.875</c:v>
                </c:pt>
                <c:pt idx="12">
                  <c:v>11.424999999999999</c:v>
                </c:pt>
                <c:pt idx="13">
                  <c:v>8.4499999999999993</c:v>
                </c:pt>
                <c:pt idx="14">
                  <c:v>5.6999999999999993</c:v>
                </c:pt>
                <c:pt idx="15">
                  <c:v>2.8250000000000002</c:v>
                </c:pt>
              </c:numCache>
            </c:numRef>
          </c:val>
          <c:smooth val="0"/>
          <c:extLst>
            <c:ext xmlns:c16="http://schemas.microsoft.com/office/drawing/2014/chart" uri="{C3380CC4-5D6E-409C-BE32-E72D297353CC}">
              <c16:uniqueId val="{00000001-AA76-47D1-BC4C-4E1E4552F5FB}"/>
            </c:ext>
          </c:extLst>
        </c:ser>
        <c:ser>
          <c:idx val="2"/>
          <c:order val="2"/>
          <c:tx>
            <c:strRef>
              <c:f>Temperature!$A$39</c:f>
              <c:strCache>
                <c:ptCount val="1"/>
                <c:pt idx="0">
                  <c:v>Site 42 - South Dam</c:v>
                </c:pt>
              </c:strCache>
            </c:strRef>
          </c:tx>
          <c:val>
            <c:numRef>
              <c:f>Temperature!$B$49:$Q$49</c:f>
              <c:numCache>
                <c:formatCode>0.00</c:formatCode>
                <c:ptCount val="16"/>
                <c:pt idx="0">
                  <c:v>4.05</c:v>
                </c:pt>
                <c:pt idx="1">
                  <c:v>5.7</c:v>
                </c:pt>
                <c:pt idx="2">
                  <c:v>5.35</c:v>
                </c:pt>
                <c:pt idx="4">
                  <c:v>13.549999999999999</c:v>
                </c:pt>
                <c:pt idx="5">
                  <c:v>18.175000000000001</c:v>
                </c:pt>
                <c:pt idx="6">
                  <c:v>21.925000000000001</c:v>
                </c:pt>
                <c:pt idx="7">
                  <c:v>23.4</c:v>
                </c:pt>
                <c:pt idx="8">
                  <c:v>22.174999999999997</c:v>
                </c:pt>
                <c:pt idx="9">
                  <c:v>21.25</c:v>
                </c:pt>
                <c:pt idx="10">
                  <c:v>21.324999999999999</c:v>
                </c:pt>
                <c:pt idx="11">
                  <c:v>14.95</c:v>
                </c:pt>
                <c:pt idx="13">
                  <c:v>8.5499999999999989</c:v>
                </c:pt>
                <c:pt idx="14">
                  <c:v>5.75</c:v>
                </c:pt>
              </c:numCache>
            </c:numRef>
          </c:val>
          <c:smooth val="0"/>
          <c:extLst>
            <c:ext xmlns:c16="http://schemas.microsoft.com/office/drawing/2014/chart" uri="{C3380CC4-5D6E-409C-BE32-E72D297353CC}">
              <c16:uniqueId val="{00000002-AA76-47D1-BC4C-4E1E4552F5FB}"/>
            </c:ext>
          </c:extLst>
        </c:ser>
        <c:ser>
          <c:idx val="3"/>
          <c:order val="3"/>
          <c:tx>
            <c:strRef>
              <c:f>Temperature!$A$51</c:f>
              <c:strCache>
                <c:ptCount val="1"/>
                <c:pt idx="0">
                  <c:v>Site 43 - TC Inlet</c:v>
                </c:pt>
              </c:strCache>
            </c:strRef>
          </c:tx>
          <c:val>
            <c:numRef>
              <c:f>Temperature!$B$60:$Q$60</c:f>
              <c:numCache>
                <c:formatCode>0.00</c:formatCode>
                <c:ptCount val="16"/>
                <c:pt idx="0">
                  <c:v>4.0250000000000004</c:v>
                </c:pt>
                <c:pt idx="1">
                  <c:v>5.3</c:v>
                </c:pt>
                <c:pt idx="2">
                  <c:v>5.4</c:v>
                </c:pt>
                <c:pt idx="4">
                  <c:v>13.125</c:v>
                </c:pt>
                <c:pt idx="5">
                  <c:v>18.725000000000001</c:v>
                </c:pt>
                <c:pt idx="6">
                  <c:v>22.275000000000002</c:v>
                </c:pt>
                <c:pt idx="7">
                  <c:v>24</c:v>
                </c:pt>
                <c:pt idx="8">
                  <c:v>22.75</c:v>
                </c:pt>
                <c:pt idx="9">
                  <c:v>22.2</c:v>
                </c:pt>
                <c:pt idx="10">
                  <c:v>21.674999999999997</c:v>
                </c:pt>
                <c:pt idx="11">
                  <c:v>15.350000000000001</c:v>
                </c:pt>
                <c:pt idx="13">
                  <c:v>9.0500000000000007</c:v>
                </c:pt>
                <c:pt idx="14">
                  <c:v>5.6749999999999989</c:v>
                </c:pt>
                <c:pt idx="15">
                  <c:v>2.8000000000000003</c:v>
                </c:pt>
              </c:numCache>
            </c:numRef>
          </c:val>
          <c:smooth val="0"/>
          <c:extLst>
            <c:ext xmlns:c16="http://schemas.microsoft.com/office/drawing/2014/chart" uri="{C3380CC4-5D6E-409C-BE32-E72D297353CC}">
              <c16:uniqueId val="{00000003-AA76-47D1-BC4C-4E1E4552F5FB}"/>
            </c:ext>
          </c:extLst>
        </c:ser>
        <c:ser>
          <c:idx val="4"/>
          <c:order val="4"/>
          <c:tx>
            <c:strRef>
              <c:f>Temperature!$A$62</c:f>
              <c:strCache>
                <c:ptCount val="1"/>
                <c:pt idx="0">
                  <c:v>Site 44 - BC Inlet</c:v>
                </c:pt>
              </c:strCache>
            </c:strRef>
          </c:tx>
          <c:val>
            <c:numRef>
              <c:f>Temperature!$B$73:$Q$73</c:f>
              <c:numCache>
                <c:formatCode>0.00</c:formatCode>
                <c:ptCount val="16"/>
                <c:pt idx="0">
                  <c:v>4.0749999999999993</c:v>
                </c:pt>
                <c:pt idx="1">
                  <c:v>5.2750000000000004</c:v>
                </c:pt>
                <c:pt idx="2">
                  <c:v>5.625</c:v>
                </c:pt>
                <c:pt idx="4">
                  <c:v>13.700000000000001</c:v>
                </c:pt>
                <c:pt idx="5">
                  <c:v>18.8</c:v>
                </c:pt>
                <c:pt idx="6">
                  <c:v>22.074999999999999</c:v>
                </c:pt>
                <c:pt idx="7">
                  <c:v>24</c:v>
                </c:pt>
                <c:pt idx="8">
                  <c:v>22.474999999999998</c:v>
                </c:pt>
                <c:pt idx="9">
                  <c:v>22.274999999999999</c:v>
                </c:pt>
                <c:pt idx="10">
                  <c:v>21.575000000000003</c:v>
                </c:pt>
                <c:pt idx="11">
                  <c:v>15.425000000000001</c:v>
                </c:pt>
                <c:pt idx="13">
                  <c:v>8.875</c:v>
                </c:pt>
                <c:pt idx="14">
                  <c:v>5.6750000000000007</c:v>
                </c:pt>
                <c:pt idx="15">
                  <c:v>2.6749999999999998</c:v>
                </c:pt>
              </c:numCache>
            </c:numRef>
          </c:val>
          <c:smooth val="0"/>
          <c:extLst>
            <c:ext xmlns:c16="http://schemas.microsoft.com/office/drawing/2014/chart" uri="{C3380CC4-5D6E-409C-BE32-E72D297353CC}">
              <c16:uniqueId val="{00000004-AA76-47D1-BC4C-4E1E4552F5FB}"/>
            </c:ext>
          </c:extLst>
        </c:ser>
        <c:dLbls>
          <c:showLegendKey val="0"/>
          <c:showVal val="0"/>
          <c:showCatName val="0"/>
          <c:showSerName val="0"/>
          <c:showPercent val="0"/>
          <c:showBubbleSize val="0"/>
        </c:dLbls>
        <c:marker val="1"/>
        <c:smooth val="0"/>
        <c:axId val="135999872"/>
        <c:axId val="136001408"/>
      </c:lineChart>
      <c:dateAx>
        <c:axId val="135999872"/>
        <c:scaling>
          <c:orientation val="minMax"/>
        </c:scaling>
        <c:delete val="0"/>
        <c:axPos val="b"/>
        <c:numFmt formatCode="[$-409]mmmmm;@" sourceLinked="0"/>
        <c:majorTickMark val="none"/>
        <c:minorTickMark val="none"/>
        <c:tickLblPos val="nextTo"/>
        <c:spPr>
          <a:ln w="3175">
            <a:solidFill>
              <a:srgbClr val="000000"/>
            </a:solidFill>
            <a:prstDash val="solid"/>
          </a:ln>
        </c:spPr>
        <c:txPr>
          <a:bodyPr rot="0" vert="horz"/>
          <a:lstStyle/>
          <a:p>
            <a:pPr>
              <a:defRPr/>
            </a:pPr>
            <a:endParaRPr lang="en-US"/>
          </a:p>
        </c:txPr>
        <c:crossAx val="136001408"/>
        <c:crosses val="autoZero"/>
        <c:auto val="1"/>
        <c:lblOffset val="100"/>
        <c:baseTimeUnit val="days"/>
        <c:majorUnit val="1"/>
        <c:majorTimeUnit val="months"/>
        <c:minorUnit val="15"/>
        <c:minorTimeUnit val="days"/>
      </c:dateAx>
      <c:valAx>
        <c:axId val="136001408"/>
        <c:scaling>
          <c:orientation val="minMax"/>
          <c:max val="25"/>
        </c:scaling>
        <c:delete val="0"/>
        <c:axPos val="l"/>
        <c:majorGridlines>
          <c:spPr>
            <a:ln w="3175">
              <a:solidFill>
                <a:srgbClr val="000000"/>
              </a:solidFill>
              <a:prstDash val="solid"/>
            </a:ln>
          </c:spPr>
        </c:majorGridlines>
        <c:minorGridlines/>
        <c:numFmt formatCode="0.00" sourceLinked="1"/>
        <c:majorTickMark val="none"/>
        <c:minorTickMark val="none"/>
        <c:tickLblPos val="nextTo"/>
        <c:spPr>
          <a:ln w="25400">
            <a:noFill/>
          </a:ln>
        </c:spPr>
        <c:txPr>
          <a:bodyPr rot="0" vert="horz"/>
          <a:lstStyle/>
          <a:p>
            <a:pPr>
              <a:defRPr/>
            </a:pPr>
            <a:endParaRPr lang="en-US"/>
          </a:p>
        </c:txPr>
        <c:crossAx val="135999872"/>
        <c:crosses val="autoZero"/>
        <c:crossBetween val="between"/>
      </c:valAx>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12700">
          <a:solidFill>
            <a:srgbClr val="808080"/>
          </a:solidFill>
          <a:prstDash val="solid"/>
        </a:ln>
      </c:spPr>
    </c:plotArea>
    <c:legend>
      <c:legendPos val="b"/>
      <c:overlay val="0"/>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3175">
          <a:solidFill>
            <a:srgbClr val="000000"/>
          </a:solidFill>
          <a:prstDash val="solid"/>
        </a:ln>
      </c:sp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en-US" sz="1400" b="1"/>
              <a:t>Temperature Trends </a:t>
            </a:r>
          </a:p>
        </c:rich>
      </c:tx>
      <c:overlay val="0"/>
    </c:title>
    <c:autoTitleDeleted val="0"/>
    <c:plotArea>
      <c:layout/>
      <c:lineChart>
        <c:grouping val="standard"/>
        <c:varyColors val="0"/>
        <c:ser>
          <c:idx val="0"/>
          <c:order val="0"/>
          <c:tx>
            <c:strRef>
              <c:f>Temperature!$A$3</c:f>
              <c:strCache>
                <c:ptCount val="1"/>
                <c:pt idx="0">
                  <c:v>16a-Turkey Creek Inflow</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cat>
            <c:numRef>
              <c:f>Temperature!$B$2:$Q$2</c:f>
              <c:numCache>
                <c:formatCode>[$-409]d\-mmm;@</c:formatCode>
                <c:ptCount val="16"/>
                <c:pt idx="0">
                  <c:v>41296</c:v>
                </c:pt>
                <c:pt idx="1">
                  <c:v>41324</c:v>
                </c:pt>
                <c:pt idx="2">
                  <c:v>41358</c:v>
                </c:pt>
                <c:pt idx="3">
                  <c:v>41386</c:v>
                </c:pt>
                <c:pt idx="4">
                  <c:v>41414</c:v>
                </c:pt>
                <c:pt idx="5">
                  <c:v>41442</c:v>
                </c:pt>
                <c:pt idx="6">
                  <c:v>41463</c:v>
                </c:pt>
                <c:pt idx="7">
                  <c:v>41477</c:v>
                </c:pt>
                <c:pt idx="8">
                  <c:v>41491</c:v>
                </c:pt>
                <c:pt idx="9">
                  <c:v>41512</c:v>
                </c:pt>
                <c:pt idx="10">
                  <c:v>41526</c:v>
                </c:pt>
                <c:pt idx="11">
                  <c:v>41540</c:v>
                </c:pt>
                <c:pt idx="12">
                  <c:v>41558</c:v>
                </c:pt>
                <c:pt idx="13">
                  <c:v>41568</c:v>
                </c:pt>
                <c:pt idx="14">
                  <c:v>41596</c:v>
                </c:pt>
                <c:pt idx="15">
                  <c:v>41624</c:v>
                </c:pt>
              </c:numCache>
            </c:numRef>
          </c:cat>
          <c:val>
            <c:numRef>
              <c:f>Temperature!$B$3:$Q$3</c:f>
              <c:numCache>
                <c:formatCode>0.0</c:formatCode>
                <c:ptCount val="16"/>
                <c:pt idx="0">
                  <c:v>2.2999999999999998</c:v>
                </c:pt>
                <c:pt idx="1">
                  <c:v>0.6</c:v>
                </c:pt>
                <c:pt idx="2">
                  <c:v>0</c:v>
                </c:pt>
                <c:pt idx="3">
                  <c:v>5.8</c:v>
                </c:pt>
                <c:pt idx="4">
                  <c:v>10.5</c:v>
                </c:pt>
                <c:pt idx="5">
                  <c:v>14.3</c:v>
                </c:pt>
                <c:pt idx="6">
                  <c:v>15.8</c:v>
                </c:pt>
                <c:pt idx="7">
                  <c:v>22.5</c:v>
                </c:pt>
                <c:pt idx="8">
                  <c:v>16.399999999999999</c:v>
                </c:pt>
                <c:pt idx="9">
                  <c:v>21.8</c:v>
                </c:pt>
                <c:pt idx="10">
                  <c:v>15.6</c:v>
                </c:pt>
                <c:pt idx="11">
                  <c:v>11.4</c:v>
                </c:pt>
                <c:pt idx="12">
                  <c:v>10.3</c:v>
                </c:pt>
                <c:pt idx="13">
                  <c:v>5.9</c:v>
                </c:pt>
                <c:pt idx="14">
                  <c:v>2.8</c:v>
                </c:pt>
                <c:pt idx="15">
                  <c:v>3</c:v>
                </c:pt>
              </c:numCache>
            </c:numRef>
          </c:val>
          <c:smooth val="0"/>
          <c:extLst>
            <c:ext xmlns:c16="http://schemas.microsoft.com/office/drawing/2014/chart" uri="{C3380CC4-5D6E-409C-BE32-E72D297353CC}">
              <c16:uniqueId val="{00000000-D89A-41D5-A930-FD6F7AABE043}"/>
            </c:ext>
          </c:extLst>
        </c:ser>
        <c:ser>
          <c:idx val="1"/>
          <c:order val="1"/>
          <c:tx>
            <c:strRef>
              <c:f>Temperature!$A$4</c:f>
              <c:strCache>
                <c:ptCount val="1"/>
                <c:pt idx="0">
                  <c:v>15a-Bear Creek Inflow</c:v>
                </c:pt>
              </c:strCache>
            </c:strRef>
          </c:tx>
          <c:spPr>
            <a:ln w="25400">
              <a:solidFill>
                <a:srgbClr val="FF00FF"/>
              </a:solidFill>
              <a:prstDash val="solid"/>
            </a:ln>
          </c:spPr>
          <c:marker>
            <c:symbol val="square"/>
            <c:size val="7"/>
            <c:spPr>
              <a:solidFill>
                <a:srgbClr val="FF00FF"/>
              </a:solidFill>
              <a:ln>
                <a:solidFill>
                  <a:srgbClr val="FF00FF"/>
                </a:solidFill>
                <a:prstDash val="solid"/>
              </a:ln>
            </c:spPr>
          </c:marker>
          <c:cat>
            <c:numRef>
              <c:f>Temperature!$B$2:$Q$2</c:f>
              <c:numCache>
                <c:formatCode>[$-409]d\-mmm;@</c:formatCode>
                <c:ptCount val="16"/>
                <c:pt idx="0">
                  <c:v>41296</c:v>
                </c:pt>
                <c:pt idx="1">
                  <c:v>41324</c:v>
                </c:pt>
                <c:pt idx="2">
                  <c:v>41358</c:v>
                </c:pt>
                <c:pt idx="3">
                  <c:v>41386</c:v>
                </c:pt>
                <c:pt idx="4">
                  <c:v>41414</c:v>
                </c:pt>
                <c:pt idx="5">
                  <c:v>41442</c:v>
                </c:pt>
                <c:pt idx="6">
                  <c:v>41463</c:v>
                </c:pt>
                <c:pt idx="7">
                  <c:v>41477</c:v>
                </c:pt>
                <c:pt idx="8">
                  <c:v>41491</c:v>
                </c:pt>
                <c:pt idx="9">
                  <c:v>41512</c:v>
                </c:pt>
                <c:pt idx="10">
                  <c:v>41526</c:v>
                </c:pt>
                <c:pt idx="11">
                  <c:v>41540</c:v>
                </c:pt>
                <c:pt idx="12">
                  <c:v>41558</c:v>
                </c:pt>
                <c:pt idx="13">
                  <c:v>41568</c:v>
                </c:pt>
                <c:pt idx="14">
                  <c:v>41596</c:v>
                </c:pt>
                <c:pt idx="15">
                  <c:v>41624</c:v>
                </c:pt>
              </c:numCache>
            </c:numRef>
          </c:cat>
          <c:val>
            <c:numRef>
              <c:f>Temperature!$B$4:$Q$4</c:f>
              <c:numCache>
                <c:formatCode>0.0</c:formatCode>
                <c:ptCount val="16"/>
                <c:pt idx="0">
                  <c:v>0.9</c:v>
                </c:pt>
                <c:pt idx="1">
                  <c:v>0.3</c:v>
                </c:pt>
                <c:pt idx="2">
                  <c:v>0.2</c:v>
                </c:pt>
                <c:pt idx="3">
                  <c:v>5.4</c:v>
                </c:pt>
                <c:pt idx="4">
                  <c:v>10.6</c:v>
                </c:pt>
                <c:pt idx="5">
                  <c:v>14.7</c:v>
                </c:pt>
                <c:pt idx="6">
                  <c:v>17.5</c:v>
                </c:pt>
                <c:pt idx="7">
                  <c:v>21.6</c:v>
                </c:pt>
                <c:pt idx="8">
                  <c:v>17.100000000000001</c:v>
                </c:pt>
                <c:pt idx="9">
                  <c:v>18.739999999999998</c:v>
                </c:pt>
                <c:pt idx="10">
                  <c:v>15.4</c:v>
                </c:pt>
                <c:pt idx="11">
                  <c:v>10.4</c:v>
                </c:pt>
                <c:pt idx="12">
                  <c:v>11.6</c:v>
                </c:pt>
                <c:pt idx="13">
                  <c:v>4.3</c:v>
                </c:pt>
                <c:pt idx="14">
                  <c:v>2.8</c:v>
                </c:pt>
                <c:pt idx="15">
                  <c:v>0.1</c:v>
                </c:pt>
              </c:numCache>
            </c:numRef>
          </c:val>
          <c:smooth val="0"/>
          <c:extLst>
            <c:ext xmlns:c16="http://schemas.microsoft.com/office/drawing/2014/chart" uri="{C3380CC4-5D6E-409C-BE32-E72D297353CC}">
              <c16:uniqueId val="{00000001-D89A-41D5-A930-FD6F7AABE043}"/>
            </c:ext>
          </c:extLst>
        </c:ser>
        <c:ser>
          <c:idx val="2"/>
          <c:order val="2"/>
          <c:tx>
            <c:strRef>
              <c:f>Temperature!$A$5</c:f>
              <c:strCache>
                <c:ptCount val="1"/>
                <c:pt idx="0">
                  <c:v>45-Bear Creek Discharge</c:v>
                </c:pt>
              </c:strCache>
            </c:strRef>
          </c:tx>
          <c:spPr>
            <a:ln w="25400">
              <a:solidFill>
                <a:srgbClr val="FF0000"/>
              </a:solidFill>
              <a:prstDash val="solid"/>
            </a:ln>
          </c:spPr>
          <c:marker>
            <c:symbol val="triangle"/>
            <c:size val="7"/>
            <c:spPr>
              <a:solidFill>
                <a:srgbClr val="FF0000"/>
              </a:solidFill>
              <a:ln>
                <a:solidFill>
                  <a:srgbClr val="FF0000"/>
                </a:solidFill>
                <a:prstDash val="solid"/>
              </a:ln>
            </c:spPr>
          </c:marker>
          <c:cat>
            <c:numRef>
              <c:f>Temperature!$B$2:$Q$2</c:f>
              <c:numCache>
                <c:formatCode>[$-409]d\-mmm;@</c:formatCode>
                <c:ptCount val="16"/>
                <c:pt idx="0">
                  <c:v>41296</c:v>
                </c:pt>
                <c:pt idx="1">
                  <c:v>41324</c:v>
                </c:pt>
                <c:pt idx="2">
                  <c:v>41358</c:v>
                </c:pt>
                <c:pt idx="3">
                  <c:v>41386</c:v>
                </c:pt>
                <c:pt idx="4">
                  <c:v>41414</c:v>
                </c:pt>
                <c:pt idx="5">
                  <c:v>41442</c:v>
                </c:pt>
                <c:pt idx="6">
                  <c:v>41463</c:v>
                </c:pt>
                <c:pt idx="7">
                  <c:v>41477</c:v>
                </c:pt>
                <c:pt idx="8">
                  <c:v>41491</c:v>
                </c:pt>
                <c:pt idx="9">
                  <c:v>41512</c:v>
                </c:pt>
                <c:pt idx="10">
                  <c:v>41526</c:v>
                </c:pt>
                <c:pt idx="11">
                  <c:v>41540</c:v>
                </c:pt>
                <c:pt idx="12">
                  <c:v>41558</c:v>
                </c:pt>
                <c:pt idx="13">
                  <c:v>41568</c:v>
                </c:pt>
                <c:pt idx="14">
                  <c:v>41596</c:v>
                </c:pt>
                <c:pt idx="15">
                  <c:v>41624</c:v>
                </c:pt>
              </c:numCache>
            </c:numRef>
          </c:cat>
          <c:val>
            <c:numRef>
              <c:f>Temperature!$B$5:$Q$5</c:f>
              <c:numCache>
                <c:formatCode>0.0</c:formatCode>
                <c:ptCount val="16"/>
                <c:pt idx="0">
                  <c:v>5.0999999999999996</c:v>
                </c:pt>
                <c:pt idx="1">
                  <c:v>4.2</c:v>
                </c:pt>
                <c:pt idx="2">
                  <c:v>3.4</c:v>
                </c:pt>
                <c:pt idx="3">
                  <c:v>8.6</c:v>
                </c:pt>
                <c:pt idx="4">
                  <c:v>13.9</c:v>
                </c:pt>
                <c:pt idx="5">
                  <c:v>17.7</c:v>
                </c:pt>
                <c:pt idx="6">
                  <c:v>22</c:v>
                </c:pt>
                <c:pt idx="7">
                  <c:v>22.9</c:v>
                </c:pt>
                <c:pt idx="8">
                  <c:v>22.6</c:v>
                </c:pt>
                <c:pt idx="9">
                  <c:v>21.12</c:v>
                </c:pt>
                <c:pt idx="10">
                  <c:v>21.4</c:v>
                </c:pt>
                <c:pt idx="11">
                  <c:v>12.6</c:v>
                </c:pt>
                <c:pt idx="12">
                  <c:v>11.4</c:v>
                </c:pt>
                <c:pt idx="13">
                  <c:v>8.1</c:v>
                </c:pt>
                <c:pt idx="14">
                  <c:v>8.4</c:v>
                </c:pt>
                <c:pt idx="15">
                  <c:v>3.9</c:v>
                </c:pt>
              </c:numCache>
            </c:numRef>
          </c:val>
          <c:smooth val="0"/>
          <c:extLst>
            <c:ext xmlns:c16="http://schemas.microsoft.com/office/drawing/2014/chart" uri="{C3380CC4-5D6E-409C-BE32-E72D297353CC}">
              <c16:uniqueId val="{00000002-D89A-41D5-A930-FD6F7AABE043}"/>
            </c:ext>
          </c:extLst>
        </c:ser>
        <c:ser>
          <c:idx val="3"/>
          <c:order val="3"/>
          <c:tx>
            <c:strRef>
              <c:f>Temperature!$A$23</c:f>
              <c:strCache>
                <c:ptCount val="1"/>
                <c:pt idx="0">
                  <c:v>BCR Site 40 Profile Average</c:v>
                </c:pt>
              </c:strCache>
            </c:strRef>
          </c:tx>
          <c:val>
            <c:numRef>
              <c:f>Temperature!$B$23:$Q$23</c:f>
              <c:numCache>
                <c:formatCode>0.00</c:formatCode>
                <c:ptCount val="16"/>
                <c:pt idx="0">
                  <c:v>4.2285714285714286</c:v>
                </c:pt>
                <c:pt idx="1">
                  <c:v>5.4785714285714286</c:v>
                </c:pt>
                <c:pt idx="2">
                  <c:v>5.2785714285714294</c:v>
                </c:pt>
                <c:pt idx="3">
                  <c:v>7.6800000000000006</c:v>
                </c:pt>
                <c:pt idx="4">
                  <c:v>11.126666666666667</c:v>
                </c:pt>
                <c:pt idx="5">
                  <c:v>17.813333333333336</c:v>
                </c:pt>
                <c:pt idx="6">
                  <c:v>21.553333333333331</c:v>
                </c:pt>
                <c:pt idx="7">
                  <c:v>22.940000000000005</c:v>
                </c:pt>
                <c:pt idx="8">
                  <c:v>21.933333333333334</c:v>
                </c:pt>
                <c:pt idx="9">
                  <c:v>20.858666666666672</c:v>
                </c:pt>
                <c:pt idx="10">
                  <c:v>21.166666666666664</c:v>
                </c:pt>
                <c:pt idx="11">
                  <c:v>14.126666666666665</c:v>
                </c:pt>
                <c:pt idx="12">
                  <c:v>11.400000000000004</c:v>
                </c:pt>
                <c:pt idx="13">
                  <c:v>8.0133333333333319</c:v>
                </c:pt>
                <c:pt idx="14">
                  <c:v>5.5799999999999992</c:v>
                </c:pt>
                <c:pt idx="15">
                  <c:v>3.163636363636364</c:v>
                </c:pt>
              </c:numCache>
            </c:numRef>
          </c:val>
          <c:smooth val="0"/>
          <c:extLst>
            <c:ext xmlns:c16="http://schemas.microsoft.com/office/drawing/2014/chart" uri="{C3380CC4-5D6E-409C-BE32-E72D297353CC}">
              <c16:uniqueId val="{00000003-D89A-41D5-A930-FD6F7AABE043}"/>
            </c:ext>
          </c:extLst>
        </c:ser>
        <c:dLbls>
          <c:showLegendKey val="0"/>
          <c:showVal val="0"/>
          <c:showCatName val="0"/>
          <c:showSerName val="0"/>
          <c:showPercent val="0"/>
          <c:showBubbleSize val="0"/>
        </c:dLbls>
        <c:marker val="1"/>
        <c:smooth val="0"/>
        <c:axId val="136040448"/>
        <c:axId val="136041984"/>
      </c:lineChart>
      <c:dateAx>
        <c:axId val="136040448"/>
        <c:scaling>
          <c:orientation val="minMax"/>
        </c:scaling>
        <c:delete val="0"/>
        <c:axPos val="b"/>
        <c:numFmt formatCode="[$-409]d\-mmm;@" sourceLinked="0"/>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36041984"/>
        <c:crosses val="autoZero"/>
        <c:auto val="1"/>
        <c:lblOffset val="100"/>
        <c:baseTimeUnit val="days"/>
        <c:majorUnit val="30"/>
        <c:majorTimeUnit val="days"/>
      </c:dateAx>
      <c:valAx>
        <c:axId val="136041984"/>
        <c:scaling>
          <c:orientation val="minMax"/>
        </c:scaling>
        <c:delete val="0"/>
        <c:axPos val="l"/>
        <c:majorGridlines>
          <c:spPr>
            <a:ln w="3175">
              <a:solidFill>
                <a:srgbClr val="000000"/>
              </a:solidFill>
              <a:prstDash val="solid"/>
            </a:ln>
          </c:spPr>
        </c:majorGridlines>
        <c:minorGridlines/>
        <c:numFmt formatCode="0.0" sourceLinked="1"/>
        <c:majorTickMark val="none"/>
        <c:minorTickMark val="none"/>
        <c:tickLblPos val="nextTo"/>
        <c:spPr>
          <a:ln w="25400">
            <a:noFill/>
          </a:ln>
        </c:spPr>
        <c:txPr>
          <a:bodyPr rot="0" vert="horz"/>
          <a:lstStyle/>
          <a:p>
            <a:pPr>
              <a:defRPr sz="800" b="0" i="0" u="none" strike="noStrike" baseline="0">
                <a:solidFill>
                  <a:srgbClr val="000000"/>
                </a:solidFill>
                <a:latin typeface="Arial"/>
                <a:ea typeface="Arial"/>
                <a:cs typeface="Arial"/>
              </a:defRPr>
            </a:pPr>
            <a:endParaRPr lang="en-US"/>
          </a:p>
        </c:txPr>
        <c:crossAx val="136040448"/>
        <c:crosses val="autoZero"/>
        <c:crossBetween val="between"/>
      </c:valAx>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12700">
          <a:solidFill>
            <a:srgbClr val="808080"/>
          </a:solidFill>
          <a:prstDash val="solid"/>
        </a:ln>
      </c:spPr>
    </c:plotArea>
    <c:legend>
      <c:legendPos val="b"/>
      <c:overlay val="0"/>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3175">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en-US" sz="1400" b="1"/>
              <a:t>2013 BCR Specific Conductance Average 1/2-2 meters </a:t>
            </a:r>
          </a:p>
        </c:rich>
      </c:tx>
      <c:overlay val="0"/>
      <c:spPr>
        <a:noFill/>
        <a:ln w="25400">
          <a:noFill/>
        </a:ln>
      </c:spPr>
    </c:title>
    <c:autoTitleDeleted val="0"/>
    <c:plotArea>
      <c:layout/>
      <c:lineChart>
        <c:grouping val="standard"/>
        <c:varyColors val="0"/>
        <c:ser>
          <c:idx val="0"/>
          <c:order val="0"/>
          <c:tx>
            <c:strRef>
              <c:f>Conductance!$A$6</c:f>
              <c:strCache>
                <c:ptCount val="1"/>
                <c:pt idx="0">
                  <c:v>Site 40 Central Pool</c:v>
                </c:pt>
              </c:strCache>
            </c:strRef>
          </c:tx>
          <c:cat>
            <c:numRef>
              <c:f>Conductance!$B$2:$Q$2</c:f>
              <c:numCache>
                <c:formatCode>[$-409]d\-mmm;@</c:formatCode>
                <c:ptCount val="16"/>
                <c:pt idx="0">
                  <c:v>41296</c:v>
                </c:pt>
                <c:pt idx="1">
                  <c:v>41324</c:v>
                </c:pt>
                <c:pt idx="2">
                  <c:v>41358</c:v>
                </c:pt>
                <c:pt idx="3">
                  <c:v>41386</c:v>
                </c:pt>
                <c:pt idx="4">
                  <c:v>41414</c:v>
                </c:pt>
                <c:pt idx="5">
                  <c:v>41442</c:v>
                </c:pt>
                <c:pt idx="6">
                  <c:v>41463</c:v>
                </c:pt>
                <c:pt idx="7">
                  <c:v>41477</c:v>
                </c:pt>
                <c:pt idx="8">
                  <c:v>41491</c:v>
                </c:pt>
                <c:pt idx="9">
                  <c:v>41512</c:v>
                </c:pt>
                <c:pt idx="10">
                  <c:v>41526</c:v>
                </c:pt>
                <c:pt idx="11">
                  <c:v>41540</c:v>
                </c:pt>
                <c:pt idx="12">
                  <c:v>41558</c:v>
                </c:pt>
                <c:pt idx="13">
                  <c:v>41568</c:v>
                </c:pt>
                <c:pt idx="14">
                  <c:v>41596</c:v>
                </c:pt>
                <c:pt idx="15">
                  <c:v>41624</c:v>
                </c:pt>
              </c:numCache>
            </c:numRef>
          </c:cat>
          <c:val>
            <c:numRef>
              <c:f>Conductance!$B$22:$Q$22</c:f>
              <c:numCache>
                <c:formatCode>0.000</c:formatCode>
                <c:ptCount val="16"/>
                <c:pt idx="0">
                  <c:v>0.56574999999999998</c:v>
                </c:pt>
                <c:pt idx="1">
                  <c:v>0.5555000000000001</c:v>
                </c:pt>
                <c:pt idx="2">
                  <c:v>0.65175000000000005</c:v>
                </c:pt>
                <c:pt idx="3">
                  <c:v>0.7034999999999999</c:v>
                </c:pt>
                <c:pt idx="4">
                  <c:v>0.32600000000000001</c:v>
                </c:pt>
                <c:pt idx="5">
                  <c:v>0.39649999999999996</c:v>
                </c:pt>
                <c:pt idx="6">
                  <c:v>0.39700000000000002</c:v>
                </c:pt>
                <c:pt idx="7">
                  <c:v>0.38600000000000001</c:v>
                </c:pt>
                <c:pt idx="8">
                  <c:v>0.38474999999999998</c:v>
                </c:pt>
                <c:pt idx="9">
                  <c:v>0.3478</c:v>
                </c:pt>
                <c:pt idx="10">
                  <c:v>0.30449999999999999</c:v>
                </c:pt>
                <c:pt idx="11">
                  <c:v>0.188</c:v>
                </c:pt>
                <c:pt idx="12">
                  <c:v>0.22600000000000001</c:v>
                </c:pt>
                <c:pt idx="13">
                  <c:v>0.28499999999999998</c:v>
                </c:pt>
                <c:pt idx="14">
                  <c:v>0.35</c:v>
                </c:pt>
                <c:pt idx="15">
                  <c:v>0.38600000000000001</c:v>
                </c:pt>
              </c:numCache>
            </c:numRef>
          </c:val>
          <c:smooth val="0"/>
          <c:extLst>
            <c:ext xmlns:c16="http://schemas.microsoft.com/office/drawing/2014/chart" uri="{C3380CC4-5D6E-409C-BE32-E72D297353CC}">
              <c16:uniqueId val="{00000000-D38D-4EEF-B8E2-1B145A55CBE1}"/>
            </c:ext>
          </c:extLst>
        </c:ser>
        <c:ser>
          <c:idx val="1"/>
          <c:order val="1"/>
          <c:tx>
            <c:strRef>
              <c:f>Conductance!$A$24</c:f>
              <c:strCache>
                <c:ptCount val="1"/>
                <c:pt idx="0">
                  <c:v>Site 41- BC Outlet</c:v>
                </c:pt>
              </c:strCache>
            </c:strRef>
          </c:tx>
          <c:val>
            <c:numRef>
              <c:f>Conductance!$B$37:$Q$37</c:f>
              <c:numCache>
                <c:formatCode>0.000</c:formatCode>
                <c:ptCount val="16"/>
                <c:pt idx="0">
                  <c:v>0.5665</c:v>
                </c:pt>
                <c:pt idx="1">
                  <c:v>0.55249999999999999</c:v>
                </c:pt>
                <c:pt idx="2">
                  <c:v>0.65075000000000005</c:v>
                </c:pt>
                <c:pt idx="4">
                  <c:v>0.31875000000000003</c:v>
                </c:pt>
                <c:pt idx="5">
                  <c:v>0.39700000000000002</c:v>
                </c:pt>
                <c:pt idx="6">
                  <c:v>0.39700000000000002</c:v>
                </c:pt>
                <c:pt idx="7">
                  <c:v>0.38600000000000001</c:v>
                </c:pt>
                <c:pt idx="8">
                  <c:v>0.38424999999999998</c:v>
                </c:pt>
                <c:pt idx="9">
                  <c:v>0.32524999999999998</c:v>
                </c:pt>
                <c:pt idx="10">
                  <c:v>0.30399999999999999</c:v>
                </c:pt>
                <c:pt idx="11">
                  <c:v>0.188</c:v>
                </c:pt>
                <c:pt idx="13">
                  <c:v>0.28449999999999998</c:v>
                </c:pt>
                <c:pt idx="14">
                  <c:v>0.35</c:v>
                </c:pt>
              </c:numCache>
            </c:numRef>
          </c:val>
          <c:smooth val="0"/>
          <c:extLst>
            <c:ext xmlns:c16="http://schemas.microsoft.com/office/drawing/2014/chart" uri="{C3380CC4-5D6E-409C-BE32-E72D297353CC}">
              <c16:uniqueId val="{00000001-D38D-4EEF-B8E2-1B145A55CBE1}"/>
            </c:ext>
          </c:extLst>
        </c:ser>
        <c:ser>
          <c:idx val="2"/>
          <c:order val="2"/>
          <c:tx>
            <c:strRef>
              <c:f>Conductance!$A$39</c:f>
              <c:strCache>
                <c:ptCount val="1"/>
                <c:pt idx="0">
                  <c:v>Site 42 - South Dam</c:v>
                </c:pt>
              </c:strCache>
            </c:strRef>
          </c:tx>
          <c:val>
            <c:numRef>
              <c:f>Conductance!$B$50:$Q$50</c:f>
              <c:numCache>
                <c:formatCode>0.000</c:formatCode>
                <c:ptCount val="16"/>
                <c:pt idx="0">
                  <c:v>0.56499999999999995</c:v>
                </c:pt>
                <c:pt idx="1">
                  <c:v>0.5625</c:v>
                </c:pt>
                <c:pt idx="2">
                  <c:v>0.65075000000000005</c:v>
                </c:pt>
                <c:pt idx="4">
                  <c:v>0.32350000000000001</c:v>
                </c:pt>
                <c:pt idx="5">
                  <c:v>0.39725000000000005</c:v>
                </c:pt>
                <c:pt idx="6">
                  <c:v>0.39700000000000002</c:v>
                </c:pt>
                <c:pt idx="7">
                  <c:v>0.38624999999999998</c:v>
                </c:pt>
                <c:pt idx="8">
                  <c:v>0.38525000000000004</c:v>
                </c:pt>
                <c:pt idx="9">
                  <c:v>0.34849999999999992</c:v>
                </c:pt>
                <c:pt idx="10">
                  <c:v>0.30625000000000002</c:v>
                </c:pt>
                <c:pt idx="11">
                  <c:v>0.188</c:v>
                </c:pt>
                <c:pt idx="13">
                  <c:v>0.28499999999999998</c:v>
                </c:pt>
                <c:pt idx="14">
                  <c:v>0.34925</c:v>
                </c:pt>
              </c:numCache>
            </c:numRef>
          </c:val>
          <c:smooth val="0"/>
          <c:extLst>
            <c:ext xmlns:c16="http://schemas.microsoft.com/office/drawing/2014/chart" uri="{C3380CC4-5D6E-409C-BE32-E72D297353CC}">
              <c16:uniqueId val="{00000002-D38D-4EEF-B8E2-1B145A55CBE1}"/>
            </c:ext>
          </c:extLst>
        </c:ser>
        <c:ser>
          <c:idx val="3"/>
          <c:order val="3"/>
          <c:tx>
            <c:strRef>
              <c:f>Conductance!$A$52</c:f>
              <c:strCache>
                <c:ptCount val="1"/>
                <c:pt idx="0">
                  <c:v>Site 43 - TC Inlet</c:v>
                </c:pt>
              </c:strCache>
            </c:strRef>
          </c:tx>
          <c:val>
            <c:numRef>
              <c:f>Conductance!$B$61:$Q$61</c:f>
              <c:numCache>
                <c:formatCode>0.000</c:formatCode>
                <c:ptCount val="16"/>
                <c:pt idx="0">
                  <c:v>0.56374999999999997</c:v>
                </c:pt>
                <c:pt idx="1">
                  <c:v>0.55449999999999999</c:v>
                </c:pt>
                <c:pt idx="2">
                  <c:v>0.65100000000000002</c:v>
                </c:pt>
                <c:pt idx="4">
                  <c:v>0.33250000000000002</c:v>
                </c:pt>
                <c:pt idx="5">
                  <c:v>0.40100000000000002</c:v>
                </c:pt>
                <c:pt idx="6">
                  <c:v>0.39700000000000002</c:v>
                </c:pt>
                <c:pt idx="7">
                  <c:v>0.38900000000000001</c:v>
                </c:pt>
                <c:pt idx="8">
                  <c:v>0.38550000000000001</c:v>
                </c:pt>
                <c:pt idx="9">
                  <c:v>0.35225000000000001</c:v>
                </c:pt>
                <c:pt idx="10">
                  <c:v>0.30649999999999999</c:v>
                </c:pt>
                <c:pt idx="11">
                  <c:v>0.19</c:v>
                </c:pt>
                <c:pt idx="13">
                  <c:v>0.28925000000000001</c:v>
                </c:pt>
                <c:pt idx="14">
                  <c:v>0.34925</c:v>
                </c:pt>
                <c:pt idx="15">
                  <c:v>0.38400000000000001</c:v>
                </c:pt>
              </c:numCache>
            </c:numRef>
          </c:val>
          <c:smooth val="0"/>
          <c:extLst>
            <c:ext xmlns:c16="http://schemas.microsoft.com/office/drawing/2014/chart" uri="{C3380CC4-5D6E-409C-BE32-E72D297353CC}">
              <c16:uniqueId val="{00000003-D38D-4EEF-B8E2-1B145A55CBE1}"/>
            </c:ext>
          </c:extLst>
        </c:ser>
        <c:ser>
          <c:idx val="4"/>
          <c:order val="4"/>
          <c:tx>
            <c:strRef>
              <c:f>Conductance!$A$63</c:f>
              <c:strCache>
                <c:ptCount val="1"/>
                <c:pt idx="0">
                  <c:v>Site 44 - BC Inlet</c:v>
                </c:pt>
              </c:strCache>
            </c:strRef>
          </c:tx>
          <c:val>
            <c:numRef>
              <c:f>Conductance!$B$74:$Q$74</c:f>
              <c:numCache>
                <c:formatCode>0.000</c:formatCode>
                <c:ptCount val="16"/>
                <c:pt idx="0">
                  <c:v>0.57550000000000001</c:v>
                </c:pt>
                <c:pt idx="1">
                  <c:v>0.55800000000000005</c:v>
                </c:pt>
                <c:pt idx="2">
                  <c:v>0.65425</c:v>
                </c:pt>
                <c:pt idx="4">
                  <c:v>0.32725000000000004</c:v>
                </c:pt>
                <c:pt idx="5">
                  <c:v>0.39500000000000002</c:v>
                </c:pt>
                <c:pt idx="6">
                  <c:v>0.39600000000000002</c:v>
                </c:pt>
                <c:pt idx="7">
                  <c:v>0.38400000000000001</c:v>
                </c:pt>
                <c:pt idx="8">
                  <c:v>0.38450000000000001</c:v>
                </c:pt>
                <c:pt idx="9">
                  <c:v>0.34949999999999998</c:v>
                </c:pt>
                <c:pt idx="10">
                  <c:v>0.30449999999999999</c:v>
                </c:pt>
                <c:pt idx="11">
                  <c:v>0.19</c:v>
                </c:pt>
                <c:pt idx="13">
                  <c:v>0.29049999999999998</c:v>
                </c:pt>
                <c:pt idx="14">
                  <c:v>0.35175000000000001</c:v>
                </c:pt>
                <c:pt idx="15">
                  <c:v>0.37724999999999997</c:v>
                </c:pt>
              </c:numCache>
            </c:numRef>
          </c:val>
          <c:smooth val="0"/>
          <c:extLst>
            <c:ext xmlns:c16="http://schemas.microsoft.com/office/drawing/2014/chart" uri="{C3380CC4-5D6E-409C-BE32-E72D297353CC}">
              <c16:uniqueId val="{00000004-D38D-4EEF-B8E2-1B145A55CBE1}"/>
            </c:ext>
          </c:extLst>
        </c:ser>
        <c:dLbls>
          <c:showLegendKey val="0"/>
          <c:showVal val="0"/>
          <c:showCatName val="0"/>
          <c:showSerName val="0"/>
          <c:showPercent val="0"/>
          <c:showBubbleSize val="0"/>
        </c:dLbls>
        <c:marker val="1"/>
        <c:smooth val="0"/>
        <c:axId val="136213248"/>
        <c:axId val="136214784"/>
      </c:lineChart>
      <c:dateAx>
        <c:axId val="136213248"/>
        <c:scaling>
          <c:orientation val="minMax"/>
        </c:scaling>
        <c:delete val="0"/>
        <c:axPos val="b"/>
        <c:numFmt formatCode="[$-409]d\-mmm;@" sourceLinked="0"/>
        <c:majorTickMark val="none"/>
        <c:minorTickMark val="none"/>
        <c:tickLblPos val="nextTo"/>
        <c:spPr>
          <a:ln w="3175">
            <a:solidFill>
              <a:srgbClr val="000000"/>
            </a:solidFill>
            <a:prstDash val="solid"/>
          </a:ln>
        </c:spPr>
        <c:txPr>
          <a:bodyPr rot="0" vert="horz"/>
          <a:lstStyle/>
          <a:p>
            <a:pPr>
              <a:defRPr/>
            </a:pPr>
            <a:endParaRPr lang="en-US"/>
          </a:p>
        </c:txPr>
        <c:crossAx val="136214784"/>
        <c:crosses val="autoZero"/>
        <c:auto val="1"/>
        <c:lblOffset val="100"/>
        <c:baseTimeUnit val="days"/>
        <c:majorUnit val="30"/>
        <c:majorTimeUnit val="days"/>
        <c:minorUnit val="15"/>
        <c:minorTimeUnit val="days"/>
      </c:dateAx>
      <c:valAx>
        <c:axId val="136214784"/>
        <c:scaling>
          <c:orientation val="minMax"/>
        </c:scaling>
        <c:delete val="0"/>
        <c:axPos val="l"/>
        <c:majorGridlines>
          <c:spPr>
            <a:ln w="3175">
              <a:solidFill>
                <a:srgbClr val="000000"/>
              </a:solidFill>
              <a:prstDash val="solid"/>
            </a:ln>
          </c:spPr>
        </c:majorGridlines>
        <c:minorGridlines/>
        <c:numFmt formatCode="0.000" sourceLinked="1"/>
        <c:majorTickMark val="none"/>
        <c:minorTickMark val="none"/>
        <c:tickLblPos val="nextTo"/>
        <c:spPr>
          <a:ln w="25400">
            <a:noFill/>
          </a:ln>
        </c:spPr>
        <c:txPr>
          <a:bodyPr rot="0" vert="horz"/>
          <a:lstStyle/>
          <a:p>
            <a:pPr>
              <a:defRPr/>
            </a:pPr>
            <a:endParaRPr lang="en-US"/>
          </a:p>
        </c:txPr>
        <c:crossAx val="136213248"/>
        <c:crosses val="autoZero"/>
        <c:crossBetween val="between"/>
      </c:valAx>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12700">
          <a:solidFill>
            <a:srgbClr val="808080"/>
          </a:solidFill>
          <a:prstDash val="solid"/>
        </a:ln>
      </c:spPr>
    </c:plotArea>
    <c:legend>
      <c:legendPos val="b"/>
      <c:overlay val="0"/>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a:prstDash val="solid"/>
        </a:ln>
      </c:spPr>
      <c:txPr>
        <a:bodyPr/>
        <a:lstStyle/>
        <a:p>
          <a:pPr>
            <a:defRPr sz="1050"/>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sz="1200"/>
              <a:t>2013 Watershed Specific Conductance Trends</a:t>
            </a:r>
          </a:p>
        </c:rich>
      </c:tx>
      <c:overlay val="0"/>
      <c:spPr>
        <a:noFill/>
        <a:ln w="25400">
          <a:noFill/>
        </a:ln>
      </c:spPr>
    </c:title>
    <c:autoTitleDeleted val="0"/>
    <c:plotArea>
      <c:layout/>
      <c:lineChart>
        <c:grouping val="standard"/>
        <c:varyColors val="0"/>
        <c:ser>
          <c:idx val="0"/>
          <c:order val="0"/>
          <c:tx>
            <c:strRef>
              <c:f>Conductance!$A$5</c:f>
              <c:strCache>
                <c:ptCount val="1"/>
                <c:pt idx="0">
                  <c:v>45-Bear Creek Discharge</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cat>
            <c:numRef>
              <c:f>Conductance!$B$2:$Q$2</c:f>
              <c:numCache>
                <c:formatCode>[$-409]d\-mmm;@</c:formatCode>
                <c:ptCount val="16"/>
                <c:pt idx="0">
                  <c:v>41296</c:v>
                </c:pt>
                <c:pt idx="1">
                  <c:v>41324</c:v>
                </c:pt>
                <c:pt idx="2">
                  <c:v>41358</c:v>
                </c:pt>
                <c:pt idx="3">
                  <c:v>41386</c:v>
                </c:pt>
                <c:pt idx="4">
                  <c:v>41414</c:v>
                </c:pt>
                <c:pt idx="5">
                  <c:v>41442</c:v>
                </c:pt>
                <c:pt idx="6">
                  <c:v>41463</c:v>
                </c:pt>
                <c:pt idx="7">
                  <c:v>41477</c:v>
                </c:pt>
                <c:pt idx="8">
                  <c:v>41491</c:v>
                </c:pt>
                <c:pt idx="9">
                  <c:v>41512</c:v>
                </c:pt>
                <c:pt idx="10">
                  <c:v>41526</c:v>
                </c:pt>
                <c:pt idx="11">
                  <c:v>41540</c:v>
                </c:pt>
                <c:pt idx="12">
                  <c:v>41558</c:v>
                </c:pt>
                <c:pt idx="13">
                  <c:v>41568</c:v>
                </c:pt>
                <c:pt idx="14">
                  <c:v>41596</c:v>
                </c:pt>
                <c:pt idx="15">
                  <c:v>41624</c:v>
                </c:pt>
              </c:numCache>
            </c:numRef>
          </c:cat>
          <c:val>
            <c:numRef>
              <c:f>Conductance!$B$5:$Q$5</c:f>
              <c:numCache>
                <c:formatCode>0.000</c:formatCode>
                <c:ptCount val="16"/>
                <c:pt idx="0">
                  <c:v>0.64200000000000002</c:v>
                </c:pt>
                <c:pt idx="1">
                  <c:v>0.56699999999999995</c:v>
                </c:pt>
                <c:pt idx="2">
                  <c:v>0.65600000000000003</c:v>
                </c:pt>
                <c:pt idx="3">
                  <c:v>0.71</c:v>
                </c:pt>
                <c:pt idx="4">
                  <c:v>0.33</c:v>
                </c:pt>
                <c:pt idx="5">
                  <c:v>0.40200000000000002</c:v>
                </c:pt>
                <c:pt idx="6">
                  <c:v>0.29599999999999999</c:v>
                </c:pt>
                <c:pt idx="7">
                  <c:v>0.38800000000000001</c:v>
                </c:pt>
                <c:pt idx="8">
                  <c:v>0.38600000000000001</c:v>
                </c:pt>
                <c:pt idx="9">
                  <c:v>0.35199999999999998</c:v>
                </c:pt>
                <c:pt idx="10">
                  <c:v>0.34699999999999998</c:v>
                </c:pt>
                <c:pt idx="11">
                  <c:v>0.159</c:v>
                </c:pt>
                <c:pt idx="13">
                  <c:v>0.28599999999999998</c:v>
                </c:pt>
                <c:pt idx="14">
                  <c:v>0.35499999999999998</c:v>
                </c:pt>
                <c:pt idx="15">
                  <c:v>0.39900000000000002</c:v>
                </c:pt>
              </c:numCache>
            </c:numRef>
          </c:val>
          <c:smooth val="0"/>
          <c:extLst>
            <c:ext xmlns:c16="http://schemas.microsoft.com/office/drawing/2014/chart" uri="{C3380CC4-5D6E-409C-BE32-E72D297353CC}">
              <c16:uniqueId val="{00000000-E5C4-41AE-8B03-A31A26E1B02E}"/>
            </c:ext>
          </c:extLst>
        </c:ser>
        <c:ser>
          <c:idx val="1"/>
          <c:order val="1"/>
          <c:tx>
            <c:strRef>
              <c:f>Conductance!$A$3</c:f>
              <c:strCache>
                <c:ptCount val="1"/>
                <c:pt idx="0">
                  <c:v>16a-Turkey Creek Inflow</c:v>
                </c:pt>
              </c:strCache>
            </c:strRef>
          </c:tx>
          <c:cat>
            <c:numRef>
              <c:f>Conductance!$B$2:$Q$2</c:f>
              <c:numCache>
                <c:formatCode>[$-409]d\-mmm;@</c:formatCode>
                <c:ptCount val="16"/>
                <c:pt idx="0">
                  <c:v>41296</c:v>
                </c:pt>
                <c:pt idx="1">
                  <c:v>41324</c:v>
                </c:pt>
                <c:pt idx="2">
                  <c:v>41358</c:v>
                </c:pt>
                <c:pt idx="3">
                  <c:v>41386</c:v>
                </c:pt>
                <c:pt idx="4">
                  <c:v>41414</c:v>
                </c:pt>
                <c:pt idx="5">
                  <c:v>41442</c:v>
                </c:pt>
                <c:pt idx="6">
                  <c:v>41463</c:v>
                </c:pt>
                <c:pt idx="7">
                  <c:v>41477</c:v>
                </c:pt>
                <c:pt idx="8">
                  <c:v>41491</c:v>
                </c:pt>
                <c:pt idx="9">
                  <c:v>41512</c:v>
                </c:pt>
                <c:pt idx="10">
                  <c:v>41526</c:v>
                </c:pt>
                <c:pt idx="11">
                  <c:v>41540</c:v>
                </c:pt>
                <c:pt idx="12">
                  <c:v>41558</c:v>
                </c:pt>
                <c:pt idx="13">
                  <c:v>41568</c:v>
                </c:pt>
                <c:pt idx="14">
                  <c:v>41596</c:v>
                </c:pt>
                <c:pt idx="15">
                  <c:v>41624</c:v>
                </c:pt>
              </c:numCache>
            </c:numRef>
          </c:cat>
          <c:val>
            <c:numRef>
              <c:f>Conductance!$B$3:$Q$3</c:f>
              <c:numCache>
                <c:formatCode>0.000</c:formatCode>
                <c:ptCount val="16"/>
                <c:pt idx="0">
                  <c:v>2.14</c:v>
                </c:pt>
                <c:pt idx="1">
                  <c:v>2.2200000000000002</c:v>
                </c:pt>
                <c:pt idx="2">
                  <c:v>1.63</c:v>
                </c:pt>
                <c:pt idx="3">
                  <c:v>1.37</c:v>
                </c:pt>
                <c:pt idx="4">
                  <c:v>1.06</c:v>
                </c:pt>
                <c:pt idx="5">
                  <c:v>1.42</c:v>
                </c:pt>
                <c:pt idx="6">
                  <c:v>2.06</c:v>
                </c:pt>
                <c:pt idx="7">
                  <c:v>0.56999999999999995</c:v>
                </c:pt>
                <c:pt idx="8">
                  <c:v>1.99</c:v>
                </c:pt>
                <c:pt idx="9">
                  <c:v>2.2069999999999999</c:v>
                </c:pt>
                <c:pt idx="10">
                  <c:v>2.62</c:v>
                </c:pt>
                <c:pt idx="11">
                  <c:v>0.58299999999999996</c:v>
                </c:pt>
                <c:pt idx="13">
                  <c:v>0.89</c:v>
                </c:pt>
                <c:pt idx="14">
                  <c:v>1.18</c:v>
                </c:pt>
                <c:pt idx="15">
                  <c:v>1.29</c:v>
                </c:pt>
              </c:numCache>
            </c:numRef>
          </c:val>
          <c:smooth val="0"/>
          <c:extLst>
            <c:ext xmlns:c16="http://schemas.microsoft.com/office/drawing/2014/chart" uri="{C3380CC4-5D6E-409C-BE32-E72D297353CC}">
              <c16:uniqueId val="{00000001-E5C4-41AE-8B03-A31A26E1B02E}"/>
            </c:ext>
          </c:extLst>
        </c:ser>
        <c:ser>
          <c:idx val="2"/>
          <c:order val="2"/>
          <c:tx>
            <c:strRef>
              <c:f>Conductance!$A$4</c:f>
              <c:strCache>
                <c:ptCount val="1"/>
                <c:pt idx="0">
                  <c:v>15a-Bear Creek Inflow</c:v>
                </c:pt>
              </c:strCache>
            </c:strRef>
          </c:tx>
          <c:val>
            <c:numRef>
              <c:f>Conductance!$B$4:$Q$4</c:f>
              <c:numCache>
                <c:formatCode>0.000</c:formatCode>
                <c:ptCount val="16"/>
                <c:pt idx="0">
                  <c:v>0.435</c:v>
                </c:pt>
                <c:pt idx="1">
                  <c:v>0.48699999999999999</c:v>
                </c:pt>
                <c:pt idx="2">
                  <c:v>0.63900000000000001</c:v>
                </c:pt>
                <c:pt idx="3">
                  <c:v>0.46300000000000002</c:v>
                </c:pt>
                <c:pt idx="4">
                  <c:v>0.157</c:v>
                </c:pt>
                <c:pt idx="5">
                  <c:v>0.18099999999999999</c:v>
                </c:pt>
                <c:pt idx="6">
                  <c:v>0.191</c:v>
                </c:pt>
                <c:pt idx="7">
                  <c:v>0.223</c:v>
                </c:pt>
                <c:pt idx="8">
                  <c:v>0.182</c:v>
                </c:pt>
                <c:pt idx="9">
                  <c:v>0.14799999999999999</c:v>
                </c:pt>
                <c:pt idx="10">
                  <c:v>0.13300000000000001</c:v>
                </c:pt>
                <c:pt idx="11">
                  <c:v>0.155</c:v>
                </c:pt>
                <c:pt idx="13">
                  <c:v>0.21</c:v>
                </c:pt>
                <c:pt idx="14">
                  <c:v>0.316</c:v>
                </c:pt>
                <c:pt idx="15">
                  <c:v>0.28000000000000003</c:v>
                </c:pt>
              </c:numCache>
            </c:numRef>
          </c:val>
          <c:smooth val="0"/>
          <c:extLst>
            <c:ext xmlns:c16="http://schemas.microsoft.com/office/drawing/2014/chart" uri="{C3380CC4-5D6E-409C-BE32-E72D297353CC}">
              <c16:uniqueId val="{00000002-E5C4-41AE-8B03-A31A26E1B02E}"/>
            </c:ext>
          </c:extLst>
        </c:ser>
        <c:ser>
          <c:idx val="3"/>
          <c:order val="3"/>
          <c:tx>
            <c:strRef>
              <c:f>Conductance!$A$23</c:f>
              <c:strCache>
                <c:ptCount val="1"/>
                <c:pt idx="0">
                  <c:v>BCR Site 40 Profile Average</c:v>
                </c:pt>
              </c:strCache>
            </c:strRef>
          </c:tx>
          <c:val>
            <c:numRef>
              <c:f>Conductance!$B$23:$Q$23</c:f>
              <c:numCache>
                <c:formatCode>0.000</c:formatCode>
                <c:ptCount val="16"/>
                <c:pt idx="0">
                  <c:v>0.60949999999999993</c:v>
                </c:pt>
                <c:pt idx="1">
                  <c:v>0.623</c:v>
                </c:pt>
                <c:pt idx="2">
                  <c:v>0.6625714285714287</c:v>
                </c:pt>
                <c:pt idx="3">
                  <c:v>0.71173333333333333</c:v>
                </c:pt>
                <c:pt idx="4">
                  <c:v>0.47800000000000004</c:v>
                </c:pt>
                <c:pt idx="5">
                  <c:v>0.39593333333333336</c:v>
                </c:pt>
                <c:pt idx="6">
                  <c:v>0.39133333333333342</c:v>
                </c:pt>
                <c:pt idx="7">
                  <c:v>0.3866</c:v>
                </c:pt>
                <c:pt idx="8">
                  <c:v>0.38333333333333336</c:v>
                </c:pt>
                <c:pt idx="9">
                  <c:v>0.34366666666666662</c:v>
                </c:pt>
                <c:pt idx="10">
                  <c:v>0.30292857142857138</c:v>
                </c:pt>
                <c:pt idx="11">
                  <c:v>0.18393333333333337</c:v>
                </c:pt>
                <c:pt idx="12">
                  <c:v>0.22580000000000003</c:v>
                </c:pt>
                <c:pt idx="13">
                  <c:v>0.28399999999999997</c:v>
                </c:pt>
                <c:pt idx="14">
                  <c:v>0.35853333333333343</c:v>
                </c:pt>
                <c:pt idx="15">
                  <c:v>0.41872727272727273</c:v>
                </c:pt>
              </c:numCache>
            </c:numRef>
          </c:val>
          <c:smooth val="0"/>
          <c:extLst>
            <c:ext xmlns:c16="http://schemas.microsoft.com/office/drawing/2014/chart" uri="{C3380CC4-5D6E-409C-BE32-E72D297353CC}">
              <c16:uniqueId val="{00000003-E5C4-41AE-8B03-A31A26E1B02E}"/>
            </c:ext>
          </c:extLst>
        </c:ser>
        <c:dLbls>
          <c:showLegendKey val="0"/>
          <c:showVal val="0"/>
          <c:showCatName val="0"/>
          <c:showSerName val="0"/>
          <c:showPercent val="0"/>
          <c:showBubbleSize val="0"/>
        </c:dLbls>
        <c:marker val="1"/>
        <c:smooth val="0"/>
        <c:axId val="136339840"/>
        <c:axId val="136341376"/>
      </c:lineChart>
      <c:dateAx>
        <c:axId val="136339840"/>
        <c:scaling>
          <c:orientation val="minMax"/>
        </c:scaling>
        <c:delete val="0"/>
        <c:axPos val="b"/>
        <c:numFmt formatCode="[$-409]d\-mmm;@" sourceLinked="0"/>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36341376"/>
        <c:crosses val="autoZero"/>
        <c:auto val="1"/>
        <c:lblOffset val="100"/>
        <c:baseTimeUnit val="days"/>
        <c:majorUnit val="31"/>
        <c:majorTimeUnit val="days"/>
        <c:minorUnit val="1"/>
        <c:minorTimeUnit val="days"/>
      </c:dateAx>
      <c:valAx>
        <c:axId val="136341376"/>
        <c:scaling>
          <c:orientation val="minMax"/>
        </c:scaling>
        <c:delete val="0"/>
        <c:axPos val="l"/>
        <c:majorGridlines>
          <c:spPr>
            <a:ln w="3175">
              <a:solidFill>
                <a:srgbClr val="000000"/>
              </a:solidFill>
              <a:prstDash val="solid"/>
            </a:ln>
          </c:spPr>
        </c:majorGridlines>
        <c:minorGridlines/>
        <c:numFmt formatCode="0.000" sourceLinked="1"/>
        <c:majorTickMark val="none"/>
        <c:minorTickMark val="none"/>
        <c:tickLblPos val="nextTo"/>
        <c:spPr>
          <a:ln w="25400">
            <a:noFill/>
          </a:ln>
        </c:spPr>
        <c:txPr>
          <a:bodyPr rot="0" vert="horz"/>
          <a:lstStyle/>
          <a:p>
            <a:pPr>
              <a:defRPr sz="800" b="1" i="0" u="none" strike="noStrike" baseline="0">
                <a:solidFill>
                  <a:srgbClr val="000000"/>
                </a:solidFill>
                <a:latin typeface="Arial"/>
                <a:ea typeface="Arial"/>
                <a:cs typeface="Arial"/>
              </a:defRPr>
            </a:pPr>
            <a:endParaRPr lang="en-US"/>
          </a:p>
        </c:txPr>
        <c:crossAx val="136339840"/>
        <c:crosses val="autoZero"/>
        <c:crossBetween val="between"/>
      </c:valAx>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12700">
          <a:solidFill>
            <a:srgbClr val="808080"/>
          </a:solidFill>
          <a:prstDash val="solid"/>
        </a:ln>
      </c:spPr>
    </c:plotArea>
    <c:legend>
      <c:legendPos val="b"/>
      <c:overlay val="0"/>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0">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horizontalDpi="-2" verticalDpi="0"/>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1" i="0" u="none" strike="noStrike" baseline="0">
                <a:solidFill>
                  <a:srgbClr val="000000"/>
                </a:solidFill>
                <a:latin typeface="Arial"/>
                <a:ea typeface="Arial"/>
                <a:cs typeface="Arial"/>
              </a:defRPr>
            </a:pPr>
            <a:r>
              <a:rPr lang="en-US"/>
              <a:t>Bear Creek Watershed pH Trends</a:t>
            </a:r>
          </a:p>
        </c:rich>
      </c:tx>
      <c:overlay val="0"/>
      <c:spPr>
        <a:noFill/>
        <a:ln w="25400">
          <a:noFill/>
        </a:ln>
      </c:spPr>
    </c:title>
    <c:autoTitleDeleted val="0"/>
    <c:plotArea>
      <c:layout/>
      <c:lineChart>
        <c:grouping val="standard"/>
        <c:varyColors val="0"/>
        <c:ser>
          <c:idx val="2"/>
          <c:order val="0"/>
          <c:tx>
            <c:strRef>
              <c:f>pH!$A$5</c:f>
              <c:strCache>
                <c:ptCount val="1"/>
                <c:pt idx="0">
                  <c:v>45-Bear Creek Discharge</c:v>
                </c:pt>
              </c:strCache>
            </c:strRef>
          </c:tx>
          <c:spPr>
            <a:ln w="31750">
              <a:solidFill>
                <a:srgbClr val="FF0000"/>
              </a:solidFill>
              <a:prstDash val="solid"/>
            </a:ln>
          </c:spPr>
          <c:marker>
            <c:symbol val="triangle"/>
            <c:size val="7"/>
            <c:spPr>
              <a:solidFill>
                <a:srgbClr val="FFFF00"/>
              </a:solidFill>
              <a:ln>
                <a:solidFill>
                  <a:srgbClr val="FFFF00"/>
                </a:solidFill>
                <a:prstDash val="solid"/>
              </a:ln>
            </c:spPr>
          </c:marker>
          <c:cat>
            <c:numRef>
              <c:f>pH!$B$2:$Q$2</c:f>
              <c:numCache>
                <c:formatCode>[$-409]d\-mmm;@</c:formatCode>
                <c:ptCount val="16"/>
                <c:pt idx="0">
                  <c:v>41296</c:v>
                </c:pt>
                <c:pt idx="1">
                  <c:v>41324</c:v>
                </c:pt>
                <c:pt idx="2">
                  <c:v>41358</c:v>
                </c:pt>
                <c:pt idx="3">
                  <c:v>41386</c:v>
                </c:pt>
                <c:pt idx="4">
                  <c:v>41414</c:v>
                </c:pt>
                <c:pt idx="5">
                  <c:v>41442</c:v>
                </c:pt>
                <c:pt idx="6">
                  <c:v>41463</c:v>
                </c:pt>
                <c:pt idx="7">
                  <c:v>41477</c:v>
                </c:pt>
                <c:pt idx="8">
                  <c:v>41491</c:v>
                </c:pt>
                <c:pt idx="9">
                  <c:v>41512</c:v>
                </c:pt>
                <c:pt idx="10">
                  <c:v>41526</c:v>
                </c:pt>
                <c:pt idx="11">
                  <c:v>41540</c:v>
                </c:pt>
                <c:pt idx="12">
                  <c:v>41558</c:v>
                </c:pt>
                <c:pt idx="13">
                  <c:v>41568</c:v>
                </c:pt>
                <c:pt idx="14">
                  <c:v>41596</c:v>
                </c:pt>
                <c:pt idx="15">
                  <c:v>41624</c:v>
                </c:pt>
              </c:numCache>
            </c:numRef>
          </c:cat>
          <c:val>
            <c:numRef>
              <c:f>pH!$B$5:$Q$5</c:f>
              <c:numCache>
                <c:formatCode>0.00</c:formatCode>
                <c:ptCount val="16"/>
                <c:pt idx="0">
                  <c:v>8.1999999999999993</c:v>
                </c:pt>
                <c:pt idx="1">
                  <c:v>8.4</c:v>
                </c:pt>
                <c:pt idx="2">
                  <c:v>7.8</c:v>
                </c:pt>
                <c:pt idx="3">
                  <c:v>8.5500000000000007</c:v>
                </c:pt>
                <c:pt idx="4">
                  <c:v>7.99</c:v>
                </c:pt>
                <c:pt idx="5">
                  <c:v>8.35</c:v>
                </c:pt>
                <c:pt idx="6">
                  <c:v>8.2100000000000009</c:v>
                </c:pt>
                <c:pt idx="7">
                  <c:v>8.7799999999999994</c:v>
                </c:pt>
                <c:pt idx="8">
                  <c:v>8.76</c:v>
                </c:pt>
                <c:pt idx="9">
                  <c:v>8.3800000000000008</c:v>
                </c:pt>
                <c:pt idx="10">
                  <c:v>8.86</c:v>
                </c:pt>
                <c:pt idx="11">
                  <c:v>7.85</c:v>
                </c:pt>
                <c:pt idx="13">
                  <c:v>8.01</c:v>
                </c:pt>
                <c:pt idx="14">
                  <c:v>8.73</c:v>
                </c:pt>
                <c:pt idx="15">
                  <c:v>8.15</c:v>
                </c:pt>
              </c:numCache>
            </c:numRef>
          </c:val>
          <c:smooth val="0"/>
          <c:extLst>
            <c:ext xmlns:c16="http://schemas.microsoft.com/office/drawing/2014/chart" uri="{C3380CC4-5D6E-409C-BE32-E72D297353CC}">
              <c16:uniqueId val="{00000000-EC52-4609-BDD3-DC09DC4C9E33}"/>
            </c:ext>
          </c:extLst>
        </c:ser>
        <c:ser>
          <c:idx val="3"/>
          <c:order val="1"/>
          <c:tx>
            <c:strRef>
              <c:f>pH!$A$23</c:f>
              <c:strCache>
                <c:ptCount val="1"/>
                <c:pt idx="0">
                  <c:v>BCR Site 40 Profile Average</c:v>
                </c:pt>
              </c:strCache>
            </c:strRef>
          </c:tx>
          <c:spPr>
            <a:ln w="38100">
              <a:solidFill>
                <a:srgbClr val="00FFFF"/>
              </a:solidFill>
              <a:prstDash val="solid"/>
            </a:ln>
          </c:spPr>
          <c:marker>
            <c:symbol val="x"/>
            <c:size val="9"/>
            <c:spPr>
              <a:noFill/>
              <a:ln>
                <a:solidFill>
                  <a:srgbClr val="00FFFF"/>
                </a:solidFill>
                <a:prstDash val="solid"/>
              </a:ln>
            </c:spPr>
          </c:marker>
          <c:cat>
            <c:numRef>
              <c:f>pH!$B$2:$Q$2</c:f>
              <c:numCache>
                <c:formatCode>[$-409]d\-mmm;@</c:formatCode>
                <c:ptCount val="16"/>
                <c:pt idx="0">
                  <c:v>41296</c:v>
                </c:pt>
                <c:pt idx="1">
                  <c:v>41324</c:v>
                </c:pt>
                <c:pt idx="2">
                  <c:v>41358</c:v>
                </c:pt>
                <c:pt idx="3">
                  <c:v>41386</c:v>
                </c:pt>
                <c:pt idx="4">
                  <c:v>41414</c:v>
                </c:pt>
                <c:pt idx="5">
                  <c:v>41442</c:v>
                </c:pt>
                <c:pt idx="6">
                  <c:v>41463</c:v>
                </c:pt>
                <c:pt idx="7">
                  <c:v>41477</c:v>
                </c:pt>
                <c:pt idx="8">
                  <c:v>41491</c:v>
                </c:pt>
                <c:pt idx="9">
                  <c:v>41512</c:v>
                </c:pt>
                <c:pt idx="10">
                  <c:v>41526</c:v>
                </c:pt>
                <c:pt idx="11">
                  <c:v>41540</c:v>
                </c:pt>
                <c:pt idx="12">
                  <c:v>41558</c:v>
                </c:pt>
                <c:pt idx="13">
                  <c:v>41568</c:v>
                </c:pt>
                <c:pt idx="14">
                  <c:v>41596</c:v>
                </c:pt>
                <c:pt idx="15">
                  <c:v>41624</c:v>
                </c:pt>
              </c:numCache>
            </c:numRef>
          </c:cat>
          <c:val>
            <c:numRef>
              <c:f>pH!$B$23:$Q$23</c:f>
              <c:numCache>
                <c:formatCode>0.00</c:formatCode>
                <c:ptCount val="16"/>
                <c:pt idx="0">
                  <c:v>8.5678571428571431</c:v>
                </c:pt>
                <c:pt idx="1">
                  <c:v>8.7171428571428553</c:v>
                </c:pt>
                <c:pt idx="2">
                  <c:v>7.9935714285714292</c:v>
                </c:pt>
                <c:pt idx="3">
                  <c:v>8.6739999999999995</c:v>
                </c:pt>
                <c:pt idx="4">
                  <c:v>7.6719999999999988</c:v>
                </c:pt>
                <c:pt idx="5">
                  <c:v>8.1039999999999992</c:v>
                </c:pt>
                <c:pt idx="6">
                  <c:v>8.190666666666667</c:v>
                </c:pt>
                <c:pt idx="7">
                  <c:v>8.7373333333333338</c:v>
                </c:pt>
                <c:pt idx="8">
                  <c:v>8.9379999999999988</c:v>
                </c:pt>
                <c:pt idx="9">
                  <c:v>8.2826666666666675</c:v>
                </c:pt>
                <c:pt idx="10">
                  <c:v>8.7649999999999988</c:v>
                </c:pt>
                <c:pt idx="11">
                  <c:v>7.546666666666666</c:v>
                </c:pt>
                <c:pt idx="12">
                  <c:v>7.6333333333333346</c:v>
                </c:pt>
                <c:pt idx="13">
                  <c:v>7.4200000000000008</c:v>
                </c:pt>
                <c:pt idx="14">
                  <c:v>7.53</c:v>
                </c:pt>
                <c:pt idx="15">
                  <c:v>7.7736363636363626</c:v>
                </c:pt>
              </c:numCache>
            </c:numRef>
          </c:val>
          <c:smooth val="0"/>
          <c:extLst>
            <c:ext xmlns:c16="http://schemas.microsoft.com/office/drawing/2014/chart" uri="{C3380CC4-5D6E-409C-BE32-E72D297353CC}">
              <c16:uniqueId val="{00000001-EC52-4609-BDD3-DC09DC4C9E33}"/>
            </c:ext>
          </c:extLst>
        </c:ser>
        <c:ser>
          <c:idx val="4"/>
          <c:order val="2"/>
          <c:tx>
            <c:strRef>
              <c:f>pH!$A$4</c:f>
              <c:strCache>
                <c:ptCount val="1"/>
                <c:pt idx="0">
                  <c:v>15a-Bear Creek Inflow</c:v>
                </c:pt>
              </c:strCache>
            </c:strRef>
          </c:tx>
          <c:spPr>
            <a:ln w="25400">
              <a:solidFill>
                <a:srgbClr val="800080"/>
              </a:solidFill>
              <a:prstDash val="solid"/>
            </a:ln>
          </c:spPr>
          <c:marker>
            <c:symbol val="star"/>
            <c:size val="7"/>
            <c:spPr>
              <a:noFill/>
              <a:ln>
                <a:solidFill>
                  <a:srgbClr val="800080"/>
                </a:solidFill>
                <a:prstDash val="solid"/>
              </a:ln>
            </c:spPr>
          </c:marker>
          <c:cat>
            <c:numRef>
              <c:f>pH!$B$2:$Q$2</c:f>
              <c:numCache>
                <c:formatCode>[$-409]d\-mmm;@</c:formatCode>
                <c:ptCount val="16"/>
                <c:pt idx="0">
                  <c:v>41296</c:v>
                </c:pt>
                <c:pt idx="1">
                  <c:v>41324</c:v>
                </c:pt>
                <c:pt idx="2">
                  <c:v>41358</c:v>
                </c:pt>
                <c:pt idx="3">
                  <c:v>41386</c:v>
                </c:pt>
                <c:pt idx="4">
                  <c:v>41414</c:v>
                </c:pt>
                <c:pt idx="5">
                  <c:v>41442</c:v>
                </c:pt>
                <c:pt idx="6">
                  <c:v>41463</c:v>
                </c:pt>
                <c:pt idx="7">
                  <c:v>41477</c:v>
                </c:pt>
                <c:pt idx="8">
                  <c:v>41491</c:v>
                </c:pt>
                <c:pt idx="9">
                  <c:v>41512</c:v>
                </c:pt>
                <c:pt idx="10">
                  <c:v>41526</c:v>
                </c:pt>
                <c:pt idx="11">
                  <c:v>41540</c:v>
                </c:pt>
                <c:pt idx="12">
                  <c:v>41558</c:v>
                </c:pt>
                <c:pt idx="13">
                  <c:v>41568</c:v>
                </c:pt>
                <c:pt idx="14">
                  <c:v>41596</c:v>
                </c:pt>
                <c:pt idx="15">
                  <c:v>41624</c:v>
                </c:pt>
              </c:numCache>
            </c:numRef>
          </c:cat>
          <c:val>
            <c:numRef>
              <c:f>pH!$B$4:$Q$4</c:f>
              <c:numCache>
                <c:formatCode>0.00</c:formatCode>
                <c:ptCount val="16"/>
                <c:pt idx="0">
                  <c:v>8.44</c:v>
                </c:pt>
                <c:pt idx="1">
                  <c:v>8.33</c:v>
                </c:pt>
                <c:pt idx="2">
                  <c:v>7.88</c:v>
                </c:pt>
                <c:pt idx="3">
                  <c:v>8.3000000000000007</c:v>
                </c:pt>
                <c:pt idx="4">
                  <c:v>8.02</c:v>
                </c:pt>
                <c:pt idx="5">
                  <c:v>8.27</c:v>
                </c:pt>
                <c:pt idx="6">
                  <c:v>8.4700000000000006</c:v>
                </c:pt>
                <c:pt idx="7">
                  <c:v>8.3699999999999992</c:v>
                </c:pt>
                <c:pt idx="8">
                  <c:v>8.56</c:v>
                </c:pt>
                <c:pt idx="9">
                  <c:v>8.84</c:v>
                </c:pt>
                <c:pt idx="10">
                  <c:v>8.24</c:v>
                </c:pt>
                <c:pt idx="11">
                  <c:v>8.17</c:v>
                </c:pt>
                <c:pt idx="13">
                  <c:v>7.86</c:v>
                </c:pt>
                <c:pt idx="14">
                  <c:v>7.97</c:v>
                </c:pt>
                <c:pt idx="15">
                  <c:v>8.15</c:v>
                </c:pt>
              </c:numCache>
            </c:numRef>
          </c:val>
          <c:smooth val="0"/>
          <c:extLst>
            <c:ext xmlns:c16="http://schemas.microsoft.com/office/drawing/2014/chart" uri="{C3380CC4-5D6E-409C-BE32-E72D297353CC}">
              <c16:uniqueId val="{00000002-EC52-4609-BDD3-DC09DC4C9E33}"/>
            </c:ext>
          </c:extLst>
        </c:ser>
        <c:ser>
          <c:idx val="0"/>
          <c:order val="3"/>
          <c:tx>
            <c:strRef>
              <c:f>pH!$A$3</c:f>
              <c:strCache>
                <c:ptCount val="1"/>
                <c:pt idx="0">
                  <c:v>16a-Turkey Creek Inflow</c:v>
                </c:pt>
              </c:strCache>
            </c:strRef>
          </c:tx>
          <c:val>
            <c:numRef>
              <c:f>pH!$B$3:$Q$3</c:f>
              <c:numCache>
                <c:formatCode>0.00</c:formatCode>
                <c:ptCount val="16"/>
                <c:pt idx="0">
                  <c:v>7.87</c:v>
                </c:pt>
                <c:pt idx="1">
                  <c:v>8.36</c:v>
                </c:pt>
                <c:pt idx="2">
                  <c:v>7.46</c:v>
                </c:pt>
                <c:pt idx="3">
                  <c:v>8.4700000000000006</c:v>
                </c:pt>
                <c:pt idx="4">
                  <c:v>7.96</c:v>
                </c:pt>
                <c:pt idx="5">
                  <c:v>8.4600000000000009</c:v>
                </c:pt>
                <c:pt idx="6">
                  <c:v>8.39</c:v>
                </c:pt>
                <c:pt idx="7">
                  <c:v>8.77</c:v>
                </c:pt>
                <c:pt idx="8">
                  <c:v>8.07</c:v>
                </c:pt>
                <c:pt idx="9">
                  <c:v>8.3000000000000007</c:v>
                </c:pt>
                <c:pt idx="10">
                  <c:v>8.4</c:v>
                </c:pt>
                <c:pt idx="11">
                  <c:v>8.41</c:v>
                </c:pt>
                <c:pt idx="13">
                  <c:v>8.2799999999999994</c:v>
                </c:pt>
                <c:pt idx="14">
                  <c:v>7.72</c:v>
                </c:pt>
                <c:pt idx="15">
                  <c:v>8.18</c:v>
                </c:pt>
              </c:numCache>
            </c:numRef>
          </c:val>
          <c:smooth val="0"/>
          <c:extLst>
            <c:ext xmlns:c16="http://schemas.microsoft.com/office/drawing/2014/chart" uri="{C3380CC4-5D6E-409C-BE32-E72D297353CC}">
              <c16:uniqueId val="{00000003-EC52-4609-BDD3-DC09DC4C9E33}"/>
            </c:ext>
          </c:extLst>
        </c:ser>
        <c:dLbls>
          <c:showLegendKey val="0"/>
          <c:showVal val="0"/>
          <c:showCatName val="0"/>
          <c:showSerName val="0"/>
          <c:showPercent val="0"/>
          <c:showBubbleSize val="0"/>
        </c:dLbls>
        <c:marker val="1"/>
        <c:smooth val="0"/>
        <c:axId val="136470912"/>
        <c:axId val="136472448"/>
      </c:lineChart>
      <c:dateAx>
        <c:axId val="136470912"/>
        <c:scaling>
          <c:orientation val="minMax"/>
        </c:scaling>
        <c:delete val="0"/>
        <c:axPos val="b"/>
        <c:numFmt formatCode="[$-409]d\-mmm;@" sourceLinked="0"/>
        <c:majorTickMark val="none"/>
        <c:minorTickMark val="none"/>
        <c:tickLblPos val="nextTo"/>
        <c:spPr>
          <a:ln w="3175">
            <a:solidFill>
              <a:srgbClr val="000000"/>
            </a:solidFill>
            <a:prstDash val="solid"/>
          </a:ln>
        </c:spPr>
        <c:txPr>
          <a:bodyPr rot="0" vert="horz"/>
          <a:lstStyle/>
          <a:p>
            <a:pPr>
              <a:defRPr sz="975" b="1" i="0" u="none" strike="noStrike" baseline="0">
                <a:solidFill>
                  <a:srgbClr val="000000"/>
                </a:solidFill>
                <a:latin typeface="Arial"/>
                <a:ea typeface="Arial"/>
                <a:cs typeface="Arial"/>
              </a:defRPr>
            </a:pPr>
            <a:endParaRPr lang="en-US"/>
          </a:p>
        </c:txPr>
        <c:crossAx val="136472448"/>
        <c:crosses val="autoZero"/>
        <c:auto val="1"/>
        <c:lblOffset val="100"/>
        <c:baseTimeUnit val="days"/>
        <c:majorUnit val="30"/>
        <c:majorTimeUnit val="days"/>
        <c:minorUnit val="15"/>
        <c:minorTimeUnit val="days"/>
      </c:dateAx>
      <c:valAx>
        <c:axId val="136472448"/>
        <c:scaling>
          <c:orientation val="minMax"/>
          <c:max val="9.5"/>
          <c:min val="6.5"/>
        </c:scaling>
        <c:delete val="0"/>
        <c:axPos val="l"/>
        <c:majorGridlines>
          <c:spPr>
            <a:ln w="3175">
              <a:solidFill>
                <a:srgbClr val="000000"/>
              </a:solidFill>
              <a:prstDash val="solid"/>
            </a:ln>
          </c:spPr>
        </c:majorGridlines>
        <c:minorGridlines/>
        <c:numFmt formatCode="0.00" sourceLinked="1"/>
        <c:majorTickMark val="none"/>
        <c:minorTickMark val="none"/>
        <c:tickLblPos val="nextTo"/>
        <c:spPr>
          <a:ln w="25400">
            <a:noFill/>
          </a:ln>
        </c:spPr>
        <c:txPr>
          <a:bodyPr rot="0" vert="horz"/>
          <a:lstStyle/>
          <a:p>
            <a:pPr>
              <a:defRPr sz="850" b="1" i="0" u="none" strike="noStrike" baseline="0">
                <a:solidFill>
                  <a:srgbClr val="000000"/>
                </a:solidFill>
                <a:latin typeface="Arial"/>
                <a:ea typeface="Arial"/>
                <a:cs typeface="Arial"/>
              </a:defRPr>
            </a:pPr>
            <a:endParaRPr lang="en-US"/>
          </a:p>
        </c:txPr>
        <c:crossAx val="136470912"/>
        <c:crosses val="autoZero"/>
        <c:crossBetween val="between"/>
      </c:valAx>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12700">
          <a:solidFill>
            <a:srgbClr val="808080"/>
          </a:solidFill>
          <a:prstDash val="solid"/>
        </a:ln>
      </c:spPr>
    </c:plotArea>
    <c:legend>
      <c:legendPos val="b"/>
      <c:overlay val="0"/>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2013 BCR pH Average 1/2-2 Meters</a:t>
            </a:r>
          </a:p>
        </c:rich>
      </c:tx>
      <c:overlay val="0"/>
    </c:title>
    <c:autoTitleDeleted val="0"/>
    <c:plotArea>
      <c:layout/>
      <c:lineChart>
        <c:grouping val="standard"/>
        <c:varyColors val="0"/>
        <c:ser>
          <c:idx val="0"/>
          <c:order val="0"/>
          <c:tx>
            <c:strRef>
              <c:f>pH!$A$6</c:f>
              <c:strCache>
                <c:ptCount val="1"/>
                <c:pt idx="0">
                  <c:v>Site 40 Central Pool</c:v>
                </c:pt>
              </c:strCache>
            </c:strRef>
          </c:tx>
          <c:cat>
            <c:numRef>
              <c:f>pH!$B$2:$Q$2</c:f>
              <c:numCache>
                <c:formatCode>[$-409]d\-mmm;@</c:formatCode>
                <c:ptCount val="16"/>
                <c:pt idx="0">
                  <c:v>41296</c:v>
                </c:pt>
                <c:pt idx="1">
                  <c:v>41324</c:v>
                </c:pt>
                <c:pt idx="2">
                  <c:v>41358</c:v>
                </c:pt>
                <c:pt idx="3">
                  <c:v>41386</c:v>
                </c:pt>
                <c:pt idx="4">
                  <c:v>41414</c:v>
                </c:pt>
                <c:pt idx="5">
                  <c:v>41442</c:v>
                </c:pt>
                <c:pt idx="6">
                  <c:v>41463</c:v>
                </c:pt>
                <c:pt idx="7">
                  <c:v>41477</c:v>
                </c:pt>
                <c:pt idx="8">
                  <c:v>41491</c:v>
                </c:pt>
                <c:pt idx="9">
                  <c:v>41512</c:v>
                </c:pt>
                <c:pt idx="10">
                  <c:v>41526</c:v>
                </c:pt>
                <c:pt idx="11">
                  <c:v>41540</c:v>
                </c:pt>
                <c:pt idx="12">
                  <c:v>41558</c:v>
                </c:pt>
                <c:pt idx="13">
                  <c:v>41568</c:v>
                </c:pt>
                <c:pt idx="14">
                  <c:v>41596</c:v>
                </c:pt>
                <c:pt idx="15">
                  <c:v>41624</c:v>
                </c:pt>
              </c:numCache>
            </c:numRef>
          </c:cat>
          <c:val>
            <c:numRef>
              <c:f>pH!$B$22:$Q$22</c:f>
              <c:numCache>
                <c:formatCode>0.00</c:formatCode>
                <c:ptCount val="16"/>
                <c:pt idx="0">
                  <c:v>8.8849999999999998</c:v>
                </c:pt>
                <c:pt idx="1">
                  <c:v>8.9175000000000004</c:v>
                </c:pt>
                <c:pt idx="2">
                  <c:v>7.9935714285714292</c:v>
                </c:pt>
                <c:pt idx="3">
                  <c:v>8.6907142857142841</c:v>
                </c:pt>
                <c:pt idx="4">
                  <c:v>7.6799999999999988</c:v>
                </c:pt>
                <c:pt idx="5">
                  <c:v>8.2750000000000004</c:v>
                </c:pt>
                <c:pt idx="6">
                  <c:v>8.307500000000001</c:v>
                </c:pt>
                <c:pt idx="7">
                  <c:v>8.7675000000000001</c:v>
                </c:pt>
                <c:pt idx="8">
                  <c:v>8.942499999999999</c:v>
                </c:pt>
                <c:pt idx="9">
                  <c:v>8.5150000000000006</c:v>
                </c:pt>
                <c:pt idx="10">
                  <c:v>8.8375000000000004</c:v>
                </c:pt>
                <c:pt idx="11">
                  <c:v>7.5949999999999998</c:v>
                </c:pt>
                <c:pt idx="12">
                  <c:v>7.8250000000000002</c:v>
                </c:pt>
                <c:pt idx="13">
                  <c:v>7.45</c:v>
                </c:pt>
                <c:pt idx="14">
                  <c:v>7.665</c:v>
                </c:pt>
                <c:pt idx="15">
                  <c:v>7.7736363636363626</c:v>
                </c:pt>
              </c:numCache>
            </c:numRef>
          </c:val>
          <c:smooth val="0"/>
          <c:extLst>
            <c:ext xmlns:c16="http://schemas.microsoft.com/office/drawing/2014/chart" uri="{C3380CC4-5D6E-409C-BE32-E72D297353CC}">
              <c16:uniqueId val="{00000000-1EB5-4187-BD5B-71C7DAB96F52}"/>
            </c:ext>
          </c:extLst>
        </c:ser>
        <c:ser>
          <c:idx val="1"/>
          <c:order val="1"/>
          <c:tx>
            <c:strRef>
              <c:f>pH!$A$24</c:f>
              <c:strCache>
                <c:ptCount val="1"/>
                <c:pt idx="0">
                  <c:v>Site 41- BC Outlet</c:v>
                </c:pt>
              </c:strCache>
            </c:strRef>
          </c:tx>
          <c:val>
            <c:numRef>
              <c:f>pH!$B$37:$Q$37</c:f>
              <c:numCache>
                <c:formatCode>0.00</c:formatCode>
                <c:ptCount val="16"/>
                <c:pt idx="0">
                  <c:v>8.6050000000000004</c:v>
                </c:pt>
                <c:pt idx="1">
                  <c:v>8.8574999999999999</c:v>
                </c:pt>
                <c:pt idx="2">
                  <c:v>8.0175000000000018</c:v>
                </c:pt>
                <c:pt idx="4">
                  <c:v>7.6174999999999997</c:v>
                </c:pt>
                <c:pt idx="5">
                  <c:v>7.97</c:v>
                </c:pt>
                <c:pt idx="6">
                  <c:v>8.0724999999999998</c:v>
                </c:pt>
                <c:pt idx="7">
                  <c:v>8.7999999999999989</c:v>
                </c:pt>
                <c:pt idx="8">
                  <c:v>9.0925000000000011</c:v>
                </c:pt>
                <c:pt idx="9">
                  <c:v>8.504999999999999</c:v>
                </c:pt>
                <c:pt idx="10">
                  <c:v>8.9024999999999999</c:v>
                </c:pt>
                <c:pt idx="11">
                  <c:v>7.5975000000000001</c:v>
                </c:pt>
                <c:pt idx="13">
                  <c:v>7.4600000000000009</c:v>
                </c:pt>
                <c:pt idx="14">
                  <c:v>7.5724999999999998</c:v>
                </c:pt>
              </c:numCache>
            </c:numRef>
          </c:val>
          <c:smooth val="0"/>
          <c:extLst>
            <c:ext xmlns:c16="http://schemas.microsoft.com/office/drawing/2014/chart" uri="{C3380CC4-5D6E-409C-BE32-E72D297353CC}">
              <c16:uniqueId val="{00000001-1EB5-4187-BD5B-71C7DAB96F52}"/>
            </c:ext>
          </c:extLst>
        </c:ser>
        <c:ser>
          <c:idx val="2"/>
          <c:order val="2"/>
          <c:tx>
            <c:strRef>
              <c:f>pH!$A$39</c:f>
              <c:strCache>
                <c:ptCount val="1"/>
                <c:pt idx="0">
                  <c:v>Site 42 - South Dam</c:v>
                </c:pt>
              </c:strCache>
            </c:strRef>
          </c:tx>
          <c:val>
            <c:numRef>
              <c:f>pH!$B$49:$P$49</c:f>
              <c:numCache>
                <c:formatCode>0.00</c:formatCode>
                <c:ptCount val="15"/>
                <c:pt idx="0">
                  <c:v>8.6224999999999987</c:v>
                </c:pt>
                <c:pt idx="1">
                  <c:v>8.6374999999999993</c:v>
                </c:pt>
                <c:pt idx="2">
                  <c:v>8.07</c:v>
                </c:pt>
                <c:pt idx="4">
                  <c:v>7.62</c:v>
                </c:pt>
                <c:pt idx="5">
                  <c:v>7.9974999999999996</c:v>
                </c:pt>
                <c:pt idx="6">
                  <c:v>8.0875000000000004</c:v>
                </c:pt>
                <c:pt idx="7">
                  <c:v>8.8025000000000002</c:v>
                </c:pt>
                <c:pt idx="8">
                  <c:v>8.9525000000000006</c:v>
                </c:pt>
                <c:pt idx="9">
                  <c:v>8.4574999999999996</c:v>
                </c:pt>
                <c:pt idx="10">
                  <c:v>8.8375000000000004</c:v>
                </c:pt>
                <c:pt idx="11">
                  <c:v>7.59</c:v>
                </c:pt>
                <c:pt idx="13">
                  <c:v>7.4674999999999994</c:v>
                </c:pt>
                <c:pt idx="14">
                  <c:v>7.5824999999999996</c:v>
                </c:pt>
              </c:numCache>
            </c:numRef>
          </c:val>
          <c:smooth val="0"/>
          <c:extLst>
            <c:ext xmlns:c16="http://schemas.microsoft.com/office/drawing/2014/chart" uri="{C3380CC4-5D6E-409C-BE32-E72D297353CC}">
              <c16:uniqueId val="{00000002-1EB5-4187-BD5B-71C7DAB96F52}"/>
            </c:ext>
          </c:extLst>
        </c:ser>
        <c:ser>
          <c:idx val="3"/>
          <c:order val="3"/>
          <c:tx>
            <c:strRef>
              <c:f>pH!$A$51</c:f>
              <c:strCache>
                <c:ptCount val="1"/>
                <c:pt idx="0">
                  <c:v>Site 43 - TC Inlet</c:v>
                </c:pt>
              </c:strCache>
            </c:strRef>
          </c:tx>
          <c:val>
            <c:numRef>
              <c:f>pH!$B$60:$Q$60</c:f>
              <c:numCache>
                <c:formatCode>0.00</c:formatCode>
                <c:ptCount val="16"/>
                <c:pt idx="0">
                  <c:v>8.66</c:v>
                </c:pt>
                <c:pt idx="1">
                  <c:v>8.8874999999999993</c:v>
                </c:pt>
                <c:pt idx="2">
                  <c:v>8.09</c:v>
                </c:pt>
                <c:pt idx="4">
                  <c:v>7.56</c:v>
                </c:pt>
                <c:pt idx="5">
                  <c:v>7.9574999999999996</c:v>
                </c:pt>
                <c:pt idx="6">
                  <c:v>8.2449999999999992</c:v>
                </c:pt>
                <c:pt idx="7">
                  <c:v>8.8175000000000008</c:v>
                </c:pt>
                <c:pt idx="8">
                  <c:v>9.0325000000000006</c:v>
                </c:pt>
                <c:pt idx="9">
                  <c:v>8.5650000000000013</c:v>
                </c:pt>
                <c:pt idx="10">
                  <c:v>9.0074999999999985</c:v>
                </c:pt>
                <c:pt idx="11">
                  <c:v>7.5750000000000002</c:v>
                </c:pt>
                <c:pt idx="13">
                  <c:v>7.4675000000000002</c:v>
                </c:pt>
                <c:pt idx="14">
                  <c:v>7.5774999999999997</c:v>
                </c:pt>
                <c:pt idx="15">
                  <c:v>7.8425000000000002</c:v>
                </c:pt>
              </c:numCache>
            </c:numRef>
          </c:val>
          <c:smooth val="0"/>
          <c:extLst>
            <c:ext xmlns:c16="http://schemas.microsoft.com/office/drawing/2014/chart" uri="{C3380CC4-5D6E-409C-BE32-E72D297353CC}">
              <c16:uniqueId val="{00000003-1EB5-4187-BD5B-71C7DAB96F52}"/>
            </c:ext>
          </c:extLst>
        </c:ser>
        <c:ser>
          <c:idx val="4"/>
          <c:order val="4"/>
          <c:tx>
            <c:strRef>
              <c:f>pH!$A$62</c:f>
              <c:strCache>
                <c:ptCount val="1"/>
                <c:pt idx="0">
                  <c:v>Site 44 - BC Inlet</c:v>
                </c:pt>
              </c:strCache>
            </c:strRef>
          </c:tx>
          <c:val>
            <c:numRef>
              <c:f>pH!$B$73:$Q$73</c:f>
              <c:numCache>
                <c:formatCode>0.00</c:formatCode>
                <c:ptCount val="16"/>
                <c:pt idx="0">
                  <c:v>8.68</c:v>
                </c:pt>
                <c:pt idx="1">
                  <c:v>8.7825000000000006</c:v>
                </c:pt>
                <c:pt idx="2">
                  <c:v>8.2125000000000004</c:v>
                </c:pt>
                <c:pt idx="4">
                  <c:v>7.5499999999999989</c:v>
                </c:pt>
                <c:pt idx="5">
                  <c:v>7.9775</c:v>
                </c:pt>
                <c:pt idx="6">
                  <c:v>8.1775000000000002</c:v>
                </c:pt>
                <c:pt idx="7">
                  <c:v>9.1374999999999993</c:v>
                </c:pt>
                <c:pt idx="8">
                  <c:v>9.1174999999999997</c:v>
                </c:pt>
                <c:pt idx="9">
                  <c:v>8.5775000000000006</c:v>
                </c:pt>
                <c:pt idx="10">
                  <c:v>9.0274999999999999</c:v>
                </c:pt>
                <c:pt idx="11">
                  <c:v>7.5600000000000005</c:v>
                </c:pt>
                <c:pt idx="13">
                  <c:v>7.4550000000000001</c:v>
                </c:pt>
                <c:pt idx="14">
                  <c:v>7.5575000000000001</c:v>
                </c:pt>
                <c:pt idx="15">
                  <c:v>8.1524999999999999</c:v>
                </c:pt>
              </c:numCache>
            </c:numRef>
          </c:val>
          <c:smooth val="0"/>
          <c:extLst>
            <c:ext xmlns:c16="http://schemas.microsoft.com/office/drawing/2014/chart" uri="{C3380CC4-5D6E-409C-BE32-E72D297353CC}">
              <c16:uniqueId val="{00000004-1EB5-4187-BD5B-71C7DAB96F52}"/>
            </c:ext>
          </c:extLst>
        </c:ser>
        <c:dLbls>
          <c:showLegendKey val="0"/>
          <c:showVal val="0"/>
          <c:showCatName val="0"/>
          <c:showSerName val="0"/>
          <c:showPercent val="0"/>
          <c:showBubbleSize val="0"/>
        </c:dLbls>
        <c:marker val="1"/>
        <c:smooth val="0"/>
        <c:axId val="136524544"/>
        <c:axId val="136526080"/>
      </c:lineChart>
      <c:dateAx>
        <c:axId val="136524544"/>
        <c:scaling>
          <c:orientation val="minMax"/>
        </c:scaling>
        <c:delete val="0"/>
        <c:axPos val="b"/>
        <c:numFmt formatCode="[$-409]d\-mmm;@" sourceLinked="1"/>
        <c:majorTickMark val="none"/>
        <c:minorTickMark val="none"/>
        <c:tickLblPos val="nextTo"/>
        <c:txPr>
          <a:bodyPr/>
          <a:lstStyle/>
          <a:p>
            <a:pPr>
              <a:defRPr sz="1000"/>
            </a:pPr>
            <a:endParaRPr lang="en-US"/>
          </a:p>
        </c:txPr>
        <c:crossAx val="136526080"/>
        <c:crosses val="autoZero"/>
        <c:auto val="1"/>
        <c:lblOffset val="100"/>
        <c:baseTimeUnit val="days"/>
      </c:dateAx>
      <c:valAx>
        <c:axId val="136526080"/>
        <c:scaling>
          <c:orientation val="minMax"/>
          <c:max val="9.5"/>
          <c:min val="6.5"/>
        </c:scaling>
        <c:delete val="0"/>
        <c:axPos val="l"/>
        <c:majorGridlines/>
        <c:minorGridlines/>
        <c:numFmt formatCode="0.00" sourceLinked="1"/>
        <c:majorTickMark val="none"/>
        <c:minorTickMark val="none"/>
        <c:tickLblPos val="nextTo"/>
        <c:spPr>
          <a:ln w="9525">
            <a:noFill/>
          </a:ln>
        </c:spPr>
        <c:crossAx val="136524544"/>
        <c:crosses val="autoZero"/>
        <c:crossBetween val="between"/>
      </c:valAx>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c:spPr>
    </c:plotArea>
    <c:legend>
      <c:legendPos val="b"/>
      <c:overlay val="0"/>
      <c:spPr>
        <a:gradFill>
          <a:gsLst>
            <a:gs pos="0">
              <a:srgbClr val="1F497D">
                <a:lumMod val="40000"/>
                <a:lumOff val="60000"/>
              </a:srgbClr>
            </a:gs>
            <a:gs pos="50000">
              <a:srgbClr val="4F81BD">
                <a:tint val="44500"/>
                <a:satMod val="160000"/>
              </a:srgbClr>
            </a:gs>
            <a:gs pos="100000">
              <a:srgbClr val="4F81BD">
                <a:tint val="23500"/>
                <a:satMod val="160000"/>
              </a:srgbClr>
            </a:gs>
          </a:gsLst>
          <a:lin ang="5400000" scaled="0"/>
        </a:gradFill>
        <a:ln w="25400" cap="sq" cmpd="sng">
          <a:solidFill>
            <a:srgbClr val="000000"/>
          </a:solidFill>
          <a:prstDash val="solid"/>
          <a:round/>
        </a:ln>
      </c:spPr>
      <c:txPr>
        <a:bodyPr/>
        <a:lstStyle/>
        <a:p>
          <a:pPr>
            <a:defRPr sz="1050"/>
          </a:pPr>
          <a:endParaRPr lang="en-US"/>
        </a:p>
      </c:txPr>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mn-lt"/>
                <a:ea typeface="Arial Black"/>
                <a:cs typeface="Arial Black"/>
              </a:defRPr>
            </a:pPr>
            <a:r>
              <a:rPr lang="en-US" sz="1600" b="1">
                <a:latin typeface="+mn-lt"/>
              </a:rPr>
              <a:t>2013 BCR Dissolved Oxygen Average 1/2-2 Meters</a:t>
            </a:r>
          </a:p>
        </c:rich>
      </c:tx>
      <c:overlay val="0"/>
      <c:spPr>
        <a:noFill/>
        <a:ln w="25400">
          <a:noFill/>
        </a:ln>
      </c:spPr>
    </c:title>
    <c:autoTitleDeleted val="0"/>
    <c:plotArea>
      <c:layout/>
      <c:lineChart>
        <c:grouping val="standard"/>
        <c:varyColors val="0"/>
        <c:ser>
          <c:idx val="0"/>
          <c:order val="0"/>
          <c:tx>
            <c:strRef>
              <c:f>Oxygen!$A$6</c:f>
              <c:strCache>
                <c:ptCount val="1"/>
                <c:pt idx="0">
                  <c:v>Site 40 Central Pool</c:v>
                </c:pt>
              </c:strCache>
            </c:strRef>
          </c:tx>
          <c:cat>
            <c:numRef>
              <c:f>Oxygen!$B$2:$Q$2</c:f>
              <c:numCache>
                <c:formatCode>[$-409]d\-mmm;@</c:formatCode>
                <c:ptCount val="16"/>
                <c:pt idx="0">
                  <c:v>41296</c:v>
                </c:pt>
                <c:pt idx="1">
                  <c:v>41324</c:v>
                </c:pt>
                <c:pt idx="2">
                  <c:v>41358</c:v>
                </c:pt>
                <c:pt idx="3">
                  <c:v>41386</c:v>
                </c:pt>
                <c:pt idx="4">
                  <c:v>41414</c:v>
                </c:pt>
                <c:pt idx="5">
                  <c:v>41442</c:v>
                </c:pt>
                <c:pt idx="6">
                  <c:v>41463</c:v>
                </c:pt>
                <c:pt idx="7">
                  <c:v>41477</c:v>
                </c:pt>
                <c:pt idx="8">
                  <c:v>41491</c:v>
                </c:pt>
                <c:pt idx="9">
                  <c:v>41512</c:v>
                </c:pt>
                <c:pt idx="10">
                  <c:v>41526</c:v>
                </c:pt>
                <c:pt idx="11">
                  <c:v>41540</c:v>
                </c:pt>
                <c:pt idx="12">
                  <c:v>41558</c:v>
                </c:pt>
                <c:pt idx="13">
                  <c:v>41568</c:v>
                </c:pt>
                <c:pt idx="14">
                  <c:v>41596</c:v>
                </c:pt>
                <c:pt idx="15">
                  <c:v>41624</c:v>
                </c:pt>
              </c:numCache>
            </c:numRef>
          </c:cat>
          <c:val>
            <c:numRef>
              <c:f>Oxygen!$B$22:$Q$22</c:f>
              <c:numCache>
                <c:formatCode>0.00</c:formatCode>
                <c:ptCount val="16"/>
                <c:pt idx="0">
                  <c:v>9.0824999999999996</c:v>
                </c:pt>
                <c:pt idx="1">
                  <c:v>10.845000000000001</c:v>
                </c:pt>
                <c:pt idx="2">
                  <c:v>11.6975</c:v>
                </c:pt>
                <c:pt idx="3">
                  <c:v>12.61</c:v>
                </c:pt>
                <c:pt idx="4">
                  <c:v>8.27</c:v>
                </c:pt>
                <c:pt idx="5">
                  <c:v>8.5175000000000001</c:v>
                </c:pt>
                <c:pt idx="6">
                  <c:v>7.0525000000000002</c:v>
                </c:pt>
                <c:pt idx="7">
                  <c:v>8.5549999999999997</c:v>
                </c:pt>
                <c:pt idx="8">
                  <c:v>8.1750000000000007</c:v>
                </c:pt>
                <c:pt idx="9">
                  <c:v>5.9349999999999996</c:v>
                </c:pt>
                <c:pt idx="10">
                  <c:v>8.1449999999999996</c:v>
                </c:pt>
                <c:pt idx="11">
                  <c:v>6.5649999999999995</c:v>
                </c:pt>
                <c:pt idx="12">
                  <c:v>6.8725000000000005</c:v>
                </c:pt>
                <c:pt idx="13">
                  <c:v>9.5775000000000006</c:v>
                </c:pt>
                <c:pt idx="14">
                  <c:v>9.84</c:v>
                </c:pt>
                <c:pt idx="15">
                  <c:v>11.9375</c:v>
                </c:pt>
              </c:numCache>
            </c:numRef>
          </c:val>
          <c:smooth val="0"/>
          <c:extLst>
            <c:ext xmlns:c16="http://schemas.microsoft.com/office/drawing/2014/chart" uri="{C3380CC4-5D6E-409C-BE32-E72D297353CC}">
              <c16:uniqueId val="{00000000-6302-4F4F-8BF3-E6155E1B5EDC}"/>
            </c:ext>
          </c:extLst>
        </c:ser>
        <c:ser>
          <c:idx val="1"/>
          <c:order val="1"/>
          <c:tx>
            <c:strRef>
              <c:f>Oxygen!$A$24</c:f>
              <c:strCache>
                <c:ptCount val="1"/>
                <c:pt idx="0">
                  <c:v>Site 41- BC Outlet</c:v>
                </c:pt>
              </c:strCache>
            </c:strRef>
          </c:tx>
          <c:val>
            <c:numRef>
              <c:f>Oxygen!$B$37:$Q$37</c:f>
              <c:numCache>
                <c:formatCode>0.00</c:formatCode>
                <c:ptCount val="16"/>
                <c:pt idx="0">
                  <c:v>8.1374999999999993</c:v>
                </c:pt>
                <c:pt idx="1">
                  <c:v>10.9575</c:v>
                </c:pt>
                <c:pt idx="2">
                  <c:v>11.487500000000001</c:v>
                </c:pt>
                <c:pt idx="4">
                  <c:v>8.2900000000000009</c:v>
                </c:pt>
                <c:pt idx="5">
                  <c:v>8.3574999999999999</c:v>
                </c:pt>
                <c:pt idx="6">
                  <c:v>7.2225000000000001</c:v>
                </c:pt>
                <c:pt idx="7">
                  <c:v>8.0549999999999997</c:v>
                </c:pt>
                <c:pt idx="8">
                  <c:v>9.2349999999999994</c:v>
                </c:pt>
                <c:pt idx="9">
                  <c:v>5.68</c:v>
                </c:pt>
                <c:pt idx="10">
                  <c:v>8.02</c:v>
                </c:pt>
                <c:pt idx="11">
                  <c:v>6.58</c:v>
                </c:pt>
                <c:pt idx="13">
                  <c:v>9.6524999999999999</c:v>
                </c:pt>
                <c:pt idx="14">
                  <c:v>9.5850000000000009</c:v>
                </c:pt>
              </c:numCache>
            </c:numRef>
          </c:val>
          <c:smooth val="0"/>
          <c:extLst>
            <c:ext xmlns:c16="http://schemas.microsoft.com/office/drawing/2014/chart" uri="{C3380CC4-5D6E-409C-BE32-E72D297353CC}">
              <c16:uniqueId val="{00000001-6302-4F4F-8BF3-E6155E1B5EDC}"/>
            </c:ext>
          </c:extLst>
        </c:ser>
        <c:ser>
          <c:idx val="2"/>
          <c:order val="2"/>
          <c:tx>
            <c:strRef>
              <c:f>Oxygen!$A$39</c:f>
              <c:strCache>
                <c:ptCount val="1"/>
                <c:pt idx="0">
                  <c:v>Site 42 - South Dam</c:v>
                </c:pt>
              </c:strCache>
            </c:strRef>
          </c:tx>
          <c:val>
            <c:numRef>
              <c:f>Oxygen!$B$49:$Q$49</c:f>
              <c:numCache>
                <c:formatCode>0.00</c:formatCode>
                <c:ptCount val="16"/>
                <c:pt idx="0">
                  <c:v>8.7725000000000009</c:v>
                </c:pt>
                <c:pt idx="1">
                  <c:v>9.6549999999999994</c:v>
                </c:pt>
                <c:pt idx="2">
                  <c:v>11.45</c:v>
                </c:pt>
                <c:pt idx="4">
                  <c:v>8.36</c:v>
                </c:pt>
                <c:pt idx="5">
                  <c:v>8.6475000000000009</c:v>
                </c:pt>
                <c:pt idx="6">
                  <c:v>7.3450000000000006</c:v>
                </c:pt>
                <c:pt idx="7">
                  <c:v>8.08</c:v>
                </c:pt>
                <c:pt idx="8">
                  <c:v>8.8125</c:v>
                </c:pt>
                <c:pt idx="9">
                  <c:v>5.6774999999999993</c:v>
                </c:pt>
                <c:pt idx="10">
                  <c:v>7.77</c:v>
                </c:pt>
                <c:pt idx="11">
                  <c:v>6.8599999999999994</c:v>
                </c:pt>
                <c:pt idx="13">
                  <c:v>9.58</c:v>
                </c:pt>
                <c:pt idx="14">
                  <c:v>9.5924999999999994</c:v>
                </c:pt>
              </c:numCache>
            </c:numRef>
          </c:val>
          <c:smooth val="0"/>
          <c:extLst>
            <c:ext xmlns:c16="http://schemas.microsoft.com/office/drawing/2014/chart" uri="{C3380CC4-5D6E-409C-BE32-E72D297353CC}">
              <c16:uniqueId val="{00000002-6302-4F4F-8BF3-E6155E1B5EDC}"/>
            </c:ext>
          </c:extLst>
        </c:ser>
        <c:ser>
          <c:idx val="3"/>
          <c:order val="3"/>
          <c:tx>
            <c:strRef>
              <c:f>Oxygen!$A$51</c:f>
              <c:strCache>
                <c:ptCount val="1"/>
                <c:pt idx="0">
                  <c:v>Site 43 - TC Inlet</c:v>
                </c:pt>
              </c:strCache>
            </c:strRef>
          </c:tx>
          <c:val>
            <c:numRef>
              <c:f>Oxygen!$B$60:$Q$60</c:f>
              <c:numCache>
                <c:formatCode>0.00</c:formatCode>
                <c:ptCount val="16"/>
                <c:pt idx="0">
                  <c:v>8.4350000000000005</c:v>
                </c:pt>
                <c:pt idx="1">
                  <c:v>11.2475</c:v>
                </c:pt>
                <c:pt idx="2">
                  <c:v>11.407500000000001</c:v>
                </c:pt>
                <c:pt idx="4">
                  <c:v>8.2025000000000006</c:v>
                </c:pt>
                <c:pt idx="5">
                  <c:v>8.5949999999999989</c:v>
                </c:pt>
                <c:pt idx="6">
                  <c:v>7.4925000000000006</c:v>
                </c:pt>
                <c:pt idx="7">
                  <c:v>8.5824999999999996</c:v>
                </c:pt>
                <c:pt idx="8">
                  <c:v>9.2774999999999999</c:v>
                </c:pt>
                <c:pt idx="9">
                  <c:v>5.8974999999999991</c:v>
                </c:pt>
                <c:pt idx="10">
                  <c:v>8.24</c:v>
                </c:pt>
                <c:pt idx="11">
                  <c:v>6.3950000000000005</c:v>
                </c:pt>
                <c:pt idx="13">
                  <c:v>9.7200000000000006</c:v>
                </c:pt>
                <c:pt idx="14">
                  <c:v>9.870000000000001</c:v>
                </c:pt>
                <c:pt idx="15">
                  <c:v>11.96</c:v>
                </c:pt>
              </c:numCache>
            </c:numRef>
          </c:val>
          <c:smooth val="0"/>
          <c:extLst>
            <c:ext xmlns:c16="http://schemas.microsoft.com/office/drawing/2014/chart" uri="{C3380CC4-5D6E-409C-BE32-E72D297353CC}">
              <c16:uniqueId val="{00000003-6302-4F4F-8BF3-E6155E1B5EDC}"/>
            </c:ext>
          </c:extLst>
        </c:ser>
        <c:ser>
          <c:idx val="4"/>
          <c:order val="4"/>
          <c:tx>
            <c:strRef>
              <c:f>Oxygen!$A$62</c:f>
              <c:strCache>
                <c:ptCount val="1"/>
                <c:pt idx="0">
                  <c:v>Site 44 - BC Inlet</c:v>
                </c:pt>
              </c:strCache>
            </c:strRef>
          </c:tx>
          <c:val>
            <c:numRef>
              <c:f>Oxygen!$B$73:$Q$73</c:f>
              <c:numCache>
                <c:formatCode>0.00</c:formatCode>
                <c:ptCount val="16"/>
                <c:pt idx="0">
                  <c:v>8.8975000000000009</c:v>
                </c:pt>
                <c:pt idx="1">
                  <c:v>10.5075</c:v>
                </c:pt>
                <c:pt idx="2">
                  <c:v>12.334999999999999</c:v>
                </c:pt>
                <c:pt idx="4">
                  <c:v>8.3575000000000017</c:v>
                </c:pt>
                <c:pt idx="5">
                  <c:v>8.34</c:v>
                </c:pt>
                <c:pt idx="6">
                  <c:v>7.4050000000000002</c:v>
                </c:pt>
                <c:pt idx="7">
                  <c:v>9.5750000000000011</c:v>
                </c:pt>
                <c:pt idx="8">
                  <c:v>10.127500000000001</c:v>
                </c:pt>
                <c:pt idx="9">
                  <c:v>5.9700000000000006</c:v>
                </c:pt>
                <c:pt idx="10">
                  <c:v>8.4725000000000001</c:v>
                </c:pt>
                <c:pt idx="11">
                  <c:v>6.2500000000000009</c:v>
                </c:pt>
                <c:pt idx="13">
                  <c:v>9.9700000000000006</c:v>
                </c:pt>
                <c:pt idx="14">
                  <c:v>9.7099999999999991</c:v>
                </c:pt>
                <c:pt idx="15">
                  <c:v>12.2525</c:v>
                </c:pt>
              </c:numCache>
            </c:numRef>
          </c:val>
          <c:smooth val="0"/>
          <c:extLst>
            <c:ext xmlns:c16="http://schemas.microsoft.com/office/drawing/2014/chart" uri="{C3380CC4-5D6E-409C-BE32-E72D297353CC}">
              <c16:uniqueId val="{00000004-6302-4F4F-8BF3-E6155E1B5EDC}"/>
            </c:ext>
          </c:extLst>
        </c:ser>
        <c:dLbls>
          <c:showLegendKey val="0"/>
          <c:showVal val="0"/>
          <c:showCatName val="0"/>
          <c:showSerName val="0"/>
          <c:showPercent val="0"/>
          <c:showBubbleSize val="0"/>
        </c:dLbls>
        <c:marker val="1"/>
        <c:smooth val="0"/>
        <c:axId val="136644096"/>
        <c:axId val="136645632"/>
      </c:lineChart>
      <c:dateAx>
        <c:axId val="136644096"/>
        <c:scaling>
          <c:orientation val="minMax"/>
        </c:scaling>
        <c:delete val="0"/>
        <c:axPos val="b"/>
        <c:numFmt formatCode="[$-409]d\-mmm;@" sourceLinked="0"/>
        <c:majorTickMark val="none"/>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Black"/>
                <a:ea typeface="Arial Black"/>
                <a:cs typeface="Arial Black"/>
              </a:defRPr>
            </a:pPr>
            <a:endParaRPr lang="en-US"/>
          </a:p>
        </c:txPr>
        <c:crossAx val="136645632"/>
        <c:crosses val="autoZero"/>
        <c:auto val="1"/>
        <c:lblOffset val="100"/>
        <c:baseTimeUnit val="days"/>
        <c:majorUnit val="30"/>
        <c:majorTimeUnit val="days"/>
        <c:minorUnit val="7"/>
        <c:minorTimeUnit val="days"/>
      </c:dateAx>
      <c:valAx>
        <c:axId val="136645632"/>
        <c:scaling>
          <c:orientation val="minMax"/>
          <c:min val="5"/>
        </c:scaling>
        <c:delete val="0"/>
        <c:axPos val="l"/>
        <c:majorGridlines>
          <c:spPr>
            <a:ln w="3175">
              <a:solidFill>
                <a:srgbClr val="000000"/>
              </a:solidFill>
              <a:prstDash val="solid"/>
            </a:ln>
          </c:spPr>
        </c:majorGridlines>
        <c:numFmt formatCode="0.00" sourceLinked="1"/>
        <c:majorTickMark val="none"/>
        <c:minorTickMark val="none"/>
        <c:tickLblPos val="nextTo"/>
        <c:spPr>
          <a:ln w="25400">
            <a:noFill/>
          </a:ln>
        </c:spPr>
        <c:txPr>
          <a:bodyPr rot="0" vert="horz"/>
          <a:lstStyle/>
          <a:p>
            <a:pPr>
              <a:defRPr sz="1100" b="0" i="0" u="none" strike="noStrike" baseline="0">
                <a:solidFill>
                  <a:srgbClr val="000000"/>
                </a:solidFill>
                <a:latin typeface="Arial Black"/>
                <a:ea typeface="Arial Black"/>
                <a:cs typeface="Arial Black"/>
              </a:defRPr>
            </a:pPr>
            <a:endParaRPr lang="en-US"/>
          </a:p>
        </c:txPr>
        <c:crossAx val="136644096"/>
        <c:crosses val="autoZero"/>
        <c:crossBetween val="between"/>
        <c:majorUnit val="1"/>
        <c:minorUnit val="0.2"/>
      </c:valAx>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12700">
          <a:solidFill>
            <a:srgbClr val="808080"/>
          </a:solidFill>
          <a:prstDash val="solid"/>
        </a:ln>
      </c:spPr>
    </c:plotArea>
    <c:legend>
      <c:legendPos val="b"/>
      <c:overlay val="0"/>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25400">
          <a:solidFill>
            <a:schemeClr val="tx1"/>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2013 Dissolved Oxygen Trends</a:t>
            </a:r>
          </a:p>
        </c:rich>
      </c:tx>
      <c:overlay val="0"/>
    </c:title>
    <c:autoTitleDeleted val="0"/>
    <c:plotArea>
      <c:layout/>
      <c:lineChart>
        <c:grouping val="standard"/>
        <c:varyColors val="0"/>
        <c:ser>
          <c:idx val="0"/>
          <c:order val="0"/>
          <c:tx>
            <c:strRef>
              <c:f>Oxygen!$A$3</c:f>
              <c:strCache>
                <c:ptCount val="1"/>
                <c:pt idx="0">
                  <c:v>16a-Turkey Creek Inflow</c:v>
                </c:pt>
              </c:strCache>
            </c:strRef>
          </c:tx>
          <c:marker>
            <c:symbol val="none"/>
          </c:marker>
          <c:cat>
            <c:numRef>
              <c:f>Oxygen!$B$2:$Q$2</c:f>
              <c:numCache>
                <c:formatCode>[$-409]d\-mmm;@</c:formatCode>
                <c:ptCount val="16"/>
                <c:pt idx="0">
                  <c:v>41296</c:v>
                </c:pt>
                <c:pt idx="1">
                  <c:v>41324</c:v>
                </c:pt>
                <c:pt idx="2">
                  <c:v>41358</c:v>
                </c:pt>
                <c:pt idx="3">
                  <c:v>41386</c:v>
                </c:pt>
                <c:pt idx="4">
                  <c:v>41414</c:v>
                </c:pt>
                <c:pt idx="5">
                  <c:v>41442</c:v>
                </c:pt>
                <c:pt idx="6">
                  <c:v>41463</c:v>
                </c:pt>
                <c:pt idx="7">
                  <c:v>41477</c:v>
                </c:pt>
                <c:pt idx="8">
                  <c:v>41491</c:v>
                </c:pt>
                <c:pt idx="9">
                  <c:v>41512</c:v>
                </c:pt>
                <c:pt idx="10">
                  <c:v>41526</c:v>
                </c:pt>
                <c:pt idx="11">
                  <c:v>41540</c:v>
                </c:pt>
                <c:pt idx="12">
                  <c:v>41558</c:v>
                </c:pt>
                <c:pt idx="13">
                  <c:v>41568</c:v>
                </c:pt>
                <c:pt idx="14">
                  <c:v>41596</c:v>
                </c:pt>
                <c:pt idx="15">
                  <c:v>41624</c:v>
                </c:pt>
              </c:numCache>
            </c:numRef>
          </c:cat>
          <c:val>
            <c:numRef>
              <c:f>Oxygen!$B$3:$Q$3</c:f>
              <c:numCache>
                <c:formatCode>0.00</c:formatCode>
                <c:ptCount val="16"/>
                <c:pt idx="0">
                  <c:v>10.58</c:v>
                </c:pt>
                <c:pt idx="1">
                  <c:v>13.86</c:v>
                </c:pt>
                <c:pt idx="2">
                  <c:v>14.2</c:v>
                </c:pt>
                <c:pt idx="3">
                  <c:v>12.3</c:v>
                </c:pt>
                <c:pt idx="4">
                  <c:v>10.72</c:v>
                </c:pt>
                <c:pt idx="5">
                  <c:v>11.62</c:v>
                </c:pt>
                <c:pt idx="6">
                  <c:v>7.77</c:v>
                </c:pt>
                <c:pt idx="7">
                  <c:v>7.53</c:v>
                </c:pt>
                <c:pt idx="8">
                  <c:v>6.87</c:v>
                </c:pt>
                <c:pt idx="9">
                  <c:v>8.27</c:v>
                </c:pt>
                <c:pt idx="10">
                  <c:v>9.02</c:v>
                </c:pt>
                <c:pt idx="11">
                  <c:v>10.06</c:v>
                </c:pt>
                <c:pt idx="13">
                  <c:v>12.8</c:v>
                </c:pt>
                <c:pt idx="14">
                  <c:v>11.07</c:v>
                </c:pt>
                <c:pt idx="15">
                  <c:v>12.24</c:v>
                </c:pt>
              </c:numCache>
            </c:numRef>
          </c:val>
          <c:smooth val="0"/>
          <c:extLst>
            <c:ext xmlns:c16="http://schemas.microsoft.com/office/drawing/2014/chart" uri="{C3380CC4-5D6E-409C-BE32-E72D297353CC}">
              <c16:uniqueId val="{00000000-6332-4A41-AE1A-9C90B2826033}"/>
            </c:ext>
          </c:extLst>
        </c:ser>
        <c:ser>
          <c:idx val="1"/>
          <c:order val="1"/>
          <c:tx>
            <c:strRef>
              <c:f>Oxygen!$A$4</c:f>
              <c:strCache>
                <c:ptCount val="1"/>
                <c:pt idx="0">
                  <c:v>15a-Bear Creek Inflow</c:v>
                </c:pt>
              </c:strCache>
            </c:strRef>
          </c:tx>
          <c:marker>
            <c:symbol val="none"/>
          </c:marker>
          <c:val>
            <c:numRef>
              <c:f>Oxygen!$B$4:$Q$4</c:f>
              <c:numCache>
                <c:formatCode>0.00</c:formatCode>
                <c:ptCount val="16"/>
                <c:pt idx="0">
                  <c:v>11.56</c:v>
                </c:pt>
                <c:pt idx="1">
                  <c:v>13.32</c:v>
                </c:pt>
                <c:pt idx="2">
                  <c:v>12.87</c:v>
                </c:pt>
                <c:pt idx="3">
                  <c:v>12.52</c:v>
                </c:pt>
                <c:pt idx="4">
                  <c:v>10.33</c:v>
                </c:pt>
                <c:pt idx="5">
                  <c:v>10.61</c:v>
                </c:pt>
                <c:pt idx="6">
                  <c:v>8.44</c:v>
                </c:pt>
                <c:pt idx="7">
                  <c:v>7.04</c:v>
                </c:pt>
                <c:pt idx="8">
                  <c:v>10.82</c:v>
                </c:pt>
                <c:pt idx="9">
                  <c:v>7.19</c:v>
                </c:pt>
                <c:pt idx="10">
                  <c:v>9</c:v>
                </c:pt>
                <c:pt idx="11">
                  <c:v>10.58</c:v>
                </c:pt>
                <c:pt idx="13">
                  <c:v>12.82</c:v>
                </c:pt>
                <c:pt idx="14">
                  <c:v>12.75</c:v>
                </c:pt>
                <c:pt idx="15">
                  <c:v>13.6</c:v>
                </c:pt>
              </c:numCache>
            </c:numRef>
          </c:val>
          <c:smooth val="0"/>
          <c:extLst>
            <c:ext xmlns:c16="http://schemas.microsoft.com/office/drawing/2014/chart" uri="{C3380CC4-5D6E-409C-BE32-E72D297353CC}">
              <c16:uniqueId val="{00000001-6332-4A41-AE1A-9C90B2826033}"/>
            </c:ext>
          </c:extLst>
        </c:ser>
        <c:ser>
          <c:idx val="2"/>
          <c:order val="2"/>
          <c:tx>
            <c:strRef>
              <c:f>Oxygen!$A$5</c:f>
              <c:strCache>
                <c:ptCount val="1"/>
                <c:pt idx="0">
                  <c:v>45-Bear Creek Discharge</c:v>
                </c:pt>
              </c:strCache>
            </c:strRef>
          </c:tx>
          <c:marker>
            <c:symbol val="none"/>
          </c:marker>
          <c:val>
            <c:numRef>
              <c:f>Oxygen!$B$5:$Q$5</c:f>
              <c:numCache>
                <c:formatCode>0.00</c:formatCode>
                <c:ptCount val="16"/>
                <c:pt idx="0">
                  <c:v>9.3800000000000008</c:v>
                </c:pt>
                <c:pt idx="1">
                  <c:v>12.12</c:v>
                </c:pt>
                <c:pt idx="2">
                  <c:v>12.25</c:v>
                </c:pt>
                <c:pt idx="3">
                  <c:v>12.48</c:v>
                </c:pt>
                <c:pt idx="4">
                  <c:v>9.2100000000000009</c:v>
                </c:pt>
                <c:pt idx="5">
                  <c:v>10.61</c:v>
                </c:pt>
                <c:pt idx="6">
                  <c:v>6.85</c:v>
                </c:pt>
                <c:pt idx="7">
                  <c:v>6.09</c:v>
                </c:pt>
                <c:pt idx="8">
                  <c:v>9.36</c:v>
                </c:pt>
                <c:pt idx="9">
                  <c:v>6.85</c:v>
                </c:pt>
                <c:pt idx="10">
                  <c:v>6.92</c:v>
                </c:pt>
                <c:pt idx="11">
                  <c:v>10.41</c:v>
                </c:pt>
                <c:pt idx="13">
                  <c:v>11.59</c:v>
                </c:pt>
                <c:pt idx="14">
                  <c:v>12.56</c:v>
                </c:pt>
                <c:pt idx="15">
                  <c:v>12.68</c:v>
                </c:pt>
              </c:numCache>
            </c:numRef>
          </c:val>
          <c:smooth val="0"/>
          <c:extLst>
            <c:ext xmlns:c16="http://schemas.microsoft.com/office/drawing/2014/chart" uri="{C3380CC4-5D6E-409C-BE32-E72D297353CC}">
              <c16:uniqueId val="{00000002-6332-4A41-AE1A-9C90B2826033}"/>
            </c:ext>
          </c:extLst>
        </c:ser>
        <c:ser>
          <c:idx val="3"/>
          <c:order val="3"/>
          <c:tx>
            <c:strRef>
              <c:f>Oxygen!$A$23</c:f>
              <c:strCache>
                <c:ptCount val="1"/>
                <c:pt idx="0">
                  <c:v>BCR Site 40 Profile Average</c:v>
                </c:pt>
              </c:strCache>
            </c:strRef>
          </c:tx>
          <c:marker>
            <c:symbol val="none"/>
          </c:marker>
          <c:val>
            <c:numRef>
              <c:f>Oxygen!$B$23:$Q$23</c:f>
              <c:numCache>
                <c:formatCode>0.00</c:formatCode>
                <c:ptCount val="16"/>
                <c:pt idx="0">
                  <c:v>7.0992857142857142</c:v>
                </c:pt>
                <c:pt idx="1">
                  <c:v>7.984285714285714</c:v>
                </c:pt>
                <c:pt idx="2">
                  <c:v>10.941428571428572</c:v>
                </c:pt>
                <c:pt idx="3">
                  <c:v>11.199333333333334</c:v>
                </c:pt>
                <c:pt idx="4">
                  <c:v>6.6659999999999995</c:v>
                </c:pt>
                <c:pt idx="5">
                  <c:v>7.9760000000000009</c:v>
                </c:pt>
                <c:pt idx="6">
                  <c:v>6.4446666666666657</c:v>
                </c:pt>
                <c:pt idx="7">
                  <c:v>7.594666666666666</c:v>
                </c:pt>
                <c:pt idx="8">
                  <c:v>8.1433333333333326</c:v>
                </c:pt>
                <c:pt idx="9">
                  <c:v>5.4280000000000008</c:v>
                </c:pt>
                <c:pt idx="10">
                  <c:v>7.6228571428571437</c:v>
                </c:pt>
                <c:pt idx="11">
                  <c:v>6.6760000000000002</c:v>
                </c:pt>
                <c:pt idx="12">
                  <c:v>6.6673333333333344</c:v>
                </c:pt>
                <c:pt idx="13">
                  <c:v>9.5640000000000001</c:v>
                </c:pt>
                <c:pt idx="14">
                  <c:v>9.4126666666666683</c:v>
                </c:pt>
                <c:pt idx="15">
                  <c:v>11.218181818181817</c:v>
                </c:pt>
              </c:numCache>
            </c:numRef>
          </c:val>
          <c:smooth val="0"/>
          <c:extLst>
            <c:ext xmlns:c16="http://schemas.microsoft.com/office/drawing/2014/chart" uri="{C3380CC4-5D6E-409C-BE32-E72D297353CC}">
              <c16:uniqueId val="{00000003-6332-4A41-AE1A-9C90B2826033}"/>
            </c:ext>
          </c:extLst>
        </c:ser>
        <c:dLbls>
          <c:showLegendKey val="0"/>
          <c:showVal val="0"/>
          <c:showCatName val="0"/>
          <c:showSerName val="0"/>
          <c:showPercent val="0"/>
          <c:showBubbleSize val="0"/>
        </c:dLbls>
        <c:smooth val="0"/>
        <c:axId val="136709248"/>
        <c:axId val="136710784"/>
      </c:lineChart>
      <c:dateAx>
        <c:axId val="136709248"/>
        <c:scaling>
          <c:orientation val="minMax"/>
        </c:scaling>
        <c:delete val="0"/>
        <c:axPos val="b"/>
        <c:numFmt formatCode="[$-409]d\-mmm;@" sourceLinked="1"/>
        <c:majorTickMark val="none"/>
        <c:minorTickMark val="none"/>
        <c:tickLblPos val="nextTo"/>
        <c:txPr>
          <a:bodyPr/>
          <a:lstStyle/>
          <a:p>
            <a:pPr>
              <a:defRPr sz="1100" b="1">
                <a:latin typeface="Arial" pitchFamily="34" charset="0"/>
                <a:cs typeface="Arial" pitchFamily="34" charset="0"/>
              </a:defRPr>
            </a:pPr>
            <a:endParaRPr lang="en-US"/>
          </a:p>
        </c:txPr>
        <c:crossAx val="136710784"/>
        <c:crosses val="autoZero"/>
        <c:auto val="1"/>
        <c:lblOffset val="100"/>
        <c:baseTimeUnit val="days"/>
        <c:majorUnit val="30"/>
        <c:majorTimeUnit val="days"/>
      </c:dateAx>
      <c:valAx>
        <c:axId val="136710784"/>
        <c:scaling>
          <c:orientation val="minMax"/>
          <c:max val="15"/>
          <c:min val="5"/>
        </c:scaling>
        <c:delete val="0"/>
        <c:axPos val="l"/>
        <c:majorGridlines/>
        <c:numFmt formatCode="0.00" sourceLinked="1"/>
        <c:majorTickMark val="none"/>
        <c:minorTickMark val="none"/>
        <c:tickLblPos val="nextTo"/>
        <c:spPr>
          <a:ln w="9525">
            <a:noFill/>
          </a:ln>
        </c:spPr>
        <c:txPr>
          <a:bodyPr/>
          <a:lstStyle/>
          <a:p>
            <a:pPr>
              <a:defRPr sz="1050" b="1">
                <a:latin typeface="Arial" pitchFamily="34" charset="0"/>
                <a:cs typeface="Arial" pitchFamily="34" charset="0"/>
              </a:defRPr>
            </a:pPr>
            <a:endParaRPr lang="en-US"/>
          </a:p>
        </c:txPr>
        <c:crossAx val="136709248"/>
        <c:crosses val="autoZero"/>
        <c:crossBetween val="between"/>
      </c:valAx>
      <c:spPr>
        <a:gradFill>
          <a:gsLst>
            <a:gs pos="0">
              <a:srgbClr val="1F497D">
                <a:lumMod val="40000"/>
                <a:lumOff val="60000"/>
              </a:srgbClr>
            </a:gs>
            <a:gs pos="50000">
              <a:srgbClr val="4F81BD">
                <a:tint val="44500"/>
                <a:satMod val="160000"/>
              </a:srgbClr>
            </a:gs>
            <a:gs pos="100000">
              <a:srgbClr val="4F81BD">
                <a:tint val="23500"/>
                <a:satMod val="160000"/>
              </a:srgbClr>
            </a:gs>
          </a:gsLst>
          <a:lin ang="5400000" scaled="0"/>
        </a:gradFill>
      </c:spPr>
    </c:plotArea>
    <c:legend>
      <c:legendPos val="b"/>
      <c:overlay val="0"/>
      <c:spPr>
        <a:gradFill>
          <a:gsLst>
            <a:gs pos="0">
              <a:srgbClr val="1F497D">
                <a:lumMod val="40000"/>
                <a:lumOff val="60000"/>
              </a:srgbClr>
            </a:gs>
            <a:gs pos="50000">
              <a:srgbClr val="4F81BD">
                <a:tint val="44500"/>
                <a:satMod val="160000"/>
              </a:srgbClr>
            </a:gs>
            <a:gs pos="100000">
              <a:srgbClr val="4F81BD">
                <a:tint val="23500"/>
                <a:satMod val="160000"/>
              </a:srgbClr>
            </a:gs>
          </a:gsLst>
          <a:lin ang="5400000" scaled="0"/>
        </a:gradFill>
        <a:ln w="12700">
          <a:solidFill>
            <a:srgbClr val="000000"/>
          </a:solidFill>
        </a:ln>
      </c:spPr>
      <c:txPr>
        <a:bodyPr/>
        <a:lstStyle/>
        <a:p>
          <a:pPr>
            <a:defRPr sz="1050">
              <a:latin typeface="Arial" pitchFamily="34" charset="0"/>
              <a:cs typeface="Arial" pitchFamily="34" charset="0"/>
            </a:defRPr>
          </a:pPr>
          <a:endParaRPr lang="en-US"/>
        </a:p>
      </c:txPr>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sz="1000"/>
              <a:t>Bear Creek Reservoir Nitrate-Nitrogen [ug/l] Trend</a:t>
            </a:r>
          </a:p>
        </c:rich>
      </c:tx>
      <c:layout>
        <c:manualLayout>
          <c:xMode val="edge"/>
          <c:yMode val="edge"/>
          <c:x val="0.17907444668008049"/>
          <c:y val="3.6065573770491806E-2"/>
        </c:manualLayout>
      </c:layout>
      <c:overlay val="0"/>
      <c:spPr>
        <a:noFill/>
        <a:ln w="25400">
          <a:noFill/>
        </a:ln>
      </c:spPr>
    </c:title>
    <c:autoTitleDeleted val="0"/>
    <c:plotArea>
      <c:layout>
        <c:manualLayout>
          <c:layoutTarget val="inner"/>
          <c:xMode val="edge"/>
          <c:yMode val="edge"/>
          <c:x val="8.6519114688128479E-2"/>
          <c:y val="0.15737704918034301"/>
          <c:w val="0.89738430583495321"/>
          <c:h val="0.66557377049181365"/>
        </c:manualLayout>
      </c:layout>
      <c:barChart>
        <c:barDir val="col"/>
        <c:grouping val="clustered"/>
        <c:varyColors val="0"/>
        <c:ser>
          <c:idx val="0"/>
          <c:order val="0"/>
          <c:tx>
            <c:strRef>
              <c:f>'Annual Reservoir Trends'!$B$10</c:f>
              <c:strCache>
                <c:ptCount val="1"/>
                <c:pt idx="0">
                  <c:v>Top</c:v>
                </c:pt>
              </c:strCache>
            </c:strRef>
          </c:tx>
          <c:spPr>
            <a:solidFill>
              <a:srgbClr val="9999FF"/>
            </a:solidFill>
            <a:ln w="12700">
              <a:solidFill>
                <a:srgbClr val="000000"/>
              </a:solidFill>
              <a:prstDash val="solid"/>
            </a:ln>
          </c:spPr>
          <c:invertIfNegative val="0"/>
          <c:cat>
            <c:numRef>
              <c:f>'Annual Reservoir Trends'!$C$3:$Y$3</c:f>
              <c:numCache>
                <c:formatCode>[$-409]d\-mmm;@</c:formatCode>
                <c:ptCount val="2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numCache>
            </c:numRef>
          </c:cat>
          <c:val>
            <c:numRef>
              <c:f>'Annual Reservoir Trends'!$C$10:$Y$10</c:f>
              <c:numCache>
                <c:formatCode>0</c:formatCode>
                <c:ptCount val="23"/>
                <c:pt idx="0">
                  <c:v>442</c:v>
                </c:pt>
                <c:pt idx="1">
                  <c:v>289</c:v>
                </c:pt>
                <c:pt idx="2">
                  <c:v>504</c:v>
                </c:pt>
                <c:pt idx="3">
                  <c:v>382</c:v>
                </c:pt>
                <c:pt idx="4">
                  <c:v>474</c:v>
                </c:pt>
                <c:pt idx="5">
                  <c:v>578</c:v>
                </c:pt>
                <c:pt idx="6">
                  <c:v>393</c:v>
                </c:pt>
                <c:pt idx="7">
                  <c:v>388</c:v>
                </c:pt>
                <c:pt idx="8">
                  <c:v>224</c:v>
                </c:pt>
                <c:pt idx="9">
                  <c:v>431</c:v>
                </c:pt>
                <c:pt idx="10">
                  <c:v>401</c:v>
                </c:pt>
                <c:pt idx="11">
                  <c:v>289</c:v>
                </c:pt>
                <c:pt idx="12">
                  <c:v>268</c:v>
                </c:pt>
                <c:pt idx="13">
                  <c:v>268</c:v>
                </c:pt>
                <c:pt idx="14">
                  <c:v>193.23769230769227</c:v>
                </c:pt>
                <c:pt idx="15">
                  <c:v>158.27857142857144</c:v>
                </c:pt>
                <c:pt idx="16">
                  <c:v>221.96199999999999</c:v>
                </c:pt>
                <c:pt idx="17">
                  <c:v>233</c:v>
                </c:pt>
                <c:pt idx="18">
                  <c:v>291</c:v>
                </c:pt>
                <c:pt idx="19">
                  <c:v>287</c:v>
                </c:pt>
                <c:pt idx="20">
                  <c:v>158</c:v>
                </c:pt>
                <c:pt idx="21">
                  <c:v>165</c:v>
                </c:pt>
                <c:pt idx="22">
                  <c:v>161</c:v>
                </c:pt>
              </c:numCache>
            </c:numRef>
          </c:val>
          <c:extLst>
            <c:ext xmlns:c16="http://schemas.microsoft.com/office/drawing/2014/chart" uri="{C3380CC4-5D6E-409C-BE32-E72D297353CC}">
              <c16:uniqueId val="{00000000-D0E5-4E6F-8CB8-B4F3C4149BA8}"/>
            </c:ext>
          </c:extLst>
        </c:ser>
        <c:ser>
          <c:idx val="3"/>
          <c:order val="1"/>
          <c:tx>
            <c:strRef>
              <c:f>'Annual Reservoir Trends'!$B$12</c:f>
              <c:strCache>
                <c:ptCount val="1"/>
                <c:pt idx="0">
                  <c:v>Bottom</c:v>
                </c:pt>
              </c:strCache>
            </c:strRef>
          </c:tx>
          <c:spPr>
            <a:solidFill>
              <a:srgbClr val="CCFFFF"/>
            </a:solidFill>
            <a:ln w="12700">
              <a:solidFill>
                <a:srgbClr val="000000"/>
              </a:solidFill>
              <a:prstDash val="solid"/>
            </a:ln>
          </c:spPr>
          <c:invertIfNegative val="0"/>
          <c:trendline>
            <c:spPr>
              <a:ln w="25400">
                <a:solidFill>
                  <a:srgbClr val="000000"/>
                </a:solidFill>
                <a:prstDash val="solid"/>
              </a:ln>
            </c:spPr>
            <c:trendlineType val="poly"/>
            <c:order val="6"/>
            <c:dispRSqr val="0"/>
            <c:dispEq val="0"/>
          </c:trendline>
          <c:cat>
            <c:numRef>
              <c:f>'Annual Reservoir Trends'!$C$3:$Y$3</c:f>
              <c:numCache>
                <c:formatCode>[$-409]d\-mmm;@</c:formatCode>
                <c:ptCount val="2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numCache>
            </c:numRef>
          </c:cat>
          <c:val>
            <c:numRef>
              <c:f>'Annual Reservoir Trends'!$C$12:$Y$12</c:f>
              <c:numCache>
                <c:formatCode>0</c:formatCode>
                <c:ptCount val="23"/>
                <c:pt idx="0">
                  <c:v>341</c:v>
                </c:pt>
                <c:pt idx="1">
                  <c:v>228</c:v>
                </c:pt>
                <c:pt idx="2">
                  <c:v>333</c:v>
                </c:pt>
                <c:pt idx="3">
                  <c:v>308</c:v>
                </c:pt>
                <c:pt idx="4">
                  <c:v>503</c:v>
                </c:pt>
                <c:pt idx="5">
                  <c:v>561</c:v>
                </c:pt>
                <c:pt idx="6">
                  <c:v>341</c:v>
                </c:pt>
                <c:pt idx="7">
                  <c:v>342</c:v>
                </c:pt>
                <c:pt idx="8">
                  <c:v>231</c:v>
                </c:pt>
                <c:pt idx="9">
                  <c:v>483</c:v>
                </c:pt>
                <c:pt idx="10">
                  <c:v>390</c:v>
                </c:pt>
                <c:pt idx="11">
                  <c:v>268</c:v>
                </c:pt>
                <c:pt idx="12">
                  <c:v>259</c:v>
                </c:pt>
                <c:pt idx="13">
                  <c:v>224</c:v>
                </c:pt>
                <c:pt idx="14">
                  <c:v>220.75615384615381</c:v>
                </c:pt>
                <c:pt idx="15">
                  <c:v>151.27000000000001</c:v>
                </c:pt>
                <c:pt idx="16">
                  <c:v>232.79071428571427</c:v>
                </c:pt>
                <c:pt idx="17">
                  <c:v>230</c:v>
                </c:pt>
                <c:pt idx="18">
                  <c:v>244</c:v>
                </c:pt>
                <c:pt idx="19">
                  <c:v>222</c:v>
                </c:pt>
                <c:pt idx="20">
                  <c:v>186</c:v>
                </c:pt>
                <c:pt idx="21">
                  <c:v>102</c:v>
                </c:pt>
                <c:pt idx="22">
                  <c:v>144</c:v>
                </c:pt>
              </c:numCache>
            </c:numRef>
          </c:val>
          <c:extLst>
            <c:ext xmlns:c16="http://schemas.microsoft.com/office/drawing/2014/chart" uri="{C3380CC4-5D6E-409C-BE32-E72D297353CC}">
              <c16:uniqueId val="{00000002-D0E5-4E6F-8CB8-B4F3C4149BA8}"/>
            </c:ext>
          </c:extLst>
        </c:ser>
        <c:dLbls>
          <c:showLegendKey val="0"/>
          <c:showVal val="0"/>
          <c:showCatName val="0"/>
          <c:showSerName val="0"/>
          <c:showPercent val="0"/>
          <c:showBubbleSize val="0"/>
        </c:dLbls>
        <c:gapWidth val="150"/>
        <c:axId val="98099200"/>
        <c:axId val="98100736"/>
      </c:barChart>
      <c:dateAx>
        <c:axId val="98099200"/>
        <c:scaling>
          <c:orientation val="minMax"/>
        </c:scaling>
        <c:delete val="0"/>
        <c:axPos val="b"/>
        <c:numFmt formatCode="[$-409]d\-mmm;@" sourceLinked="1"/>
        <c:majorTickMark val="out"/>
        <c:minorTickMark val="none"/>
        <c:tickLblPos val="nextTo"/>
        <c:spPr>
          <a:ln w="3175">
            <a:solidFill>
              <a:srgbClr val="000000"/>
            </a:solidFill>
            <a:prstDash val="solid"/>
          </a:ln>
        </c:spPr>
        <c:txPr>
          <a:bodyPr rot="-2700000" vert="horz"/>
          <a:lstStyle/>
          <a:p>
            <a:pPr>
              <a:defRPr sz="800" b="1" i="0" u="none" strike="noStrike" baseline="0">
                <a:solidFill>
                  <a:srgbClr val="000000"/>
                </a:solidFill>
                <a:latin typeface="Arial"/>
                <a:ea typeface="Arial"/>
                <a:cs typeface="Arial"/>
              </a:defRPr>
            </a:pPr>
            <a:endParaRPr lang="en-US"/>
          </a:p>
        </c:txPr>
        <c:crossAx val="98100736"/>
        <c:crosses val="autoZero"/>
        <c:auto val="1"/>
        <c:lblOffset val="100"/>
        <c:baseTimeUnit val="days"/>
        <c:majorUnit val="1"/>
        <c:minorUnit val="1"/>
      </c:dateAx>
      <c:valAx>
        <c:axId val="98100736"/>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98099200"/>
        <c:crosses val="autoZero"/>
        <c:crossBetween val="between"/>
      </c:valAx>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12700">
          <a:solidFill>
            <a:srgbClr val="808080"/>
          </a:solidFill>
          <a:prstDash val="solid"/>
        </a:ln>
      </c:spPr>
    </c:plotArea>
    <c:legend>
      <c:legendPos val="r"/>
      <c:layout>
        <c:manualLayout>
          <c:xMode val="edge"/>
          <c:yMode val="edge"/>
          <c:x val="0.69818913480885314"/>
          <c:y val="0.13989071038251366"/>
          <c:w val="0.27364185110663974"/>
          <c:h val="0.19016393442623244"/>
        </c:manualLayout>
      </c:layout>
      <c:overlay val="0"/>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horizontalDpi="-2"/>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BCR 2013 Temperature C (0.5-2m)</a:t>
            </a:r>
          </a:p>
        </c:rich>
      </c:tx>
      <c:overlay val="0"/>
    </c:title>
    <c:autoTitleDeleted val="0"/>
    <c:plotArea>
      <c:layout/>
      <c:lineChart>
        <c:grouping val="standard"/>
        <c:varyColors val="0"/>
        <c:ser>
          <c:idx val="0"/>
          <c:order val="0"/>
          <c:tx>
            <c:strRef>
              <c:f>'Temp DO Comp'!$A$4</c:f>
              <c:strCache>
                <c:ptCount val="1"/>
                <c:pt idx="0">
                  <c:v>site 40</c:v>
                </c:pt>
              </c:strCache>
            </c:strRef>
          </c:tx>
          <c:marker>
            <c:symbol val="none"/>
          </c:marker>
          <c:cat>
            <c:strRef>
              <c:f>'Temp DO Comp'!$B$2:$Q$2</c:f>
              <c:strCache>
                <c:ptCount val="16"/>
                <c:pt idx="0">
                  <c:v>Jan</c:v>
                </c:pt>
                <c:pt idx="1">
                  <c:v>Feb</c:v>
                </c:pt>
                <c:pt idx="2">
                  <c:v>Mar</c:v>
                </c:pt>
                <c:pt idx="3">
                  <c:v>Apr</c:v>
                </c:pt>
                <c:pt idx="4">
                  <c:v>May</c:v>
                </c:pt>
                <c:pt idx="5">
                  <c:v>Jun</c:v>
                </c:pt>
                <c:pt idx="6">
                  <c:v>Jul</c:v>
                </c:pt>
                <c:pt idx="7">
                  <c:v>Jul</c:v>
                </c:pt>
                <c:pt idx="8">
                  <c:v>Aug</c:v>
                </c:pt>
                <c:pt idx="9">
                  <c:v>Aug</c:v>
                </c:pt>
                <c:pt idx="10">
                  <c:v>Sep</c:v>
                </c:pt>
                <c:pt idx="11">
                  <c:v>Sep</c:v>
                </c:pt>
                <c:pt idx="12">
                  <c:v>Oct</c:v>
                </c:pt>
                <c:pt idx="13">
                  <c:v>Oct</c:v>
                </c:pt>
                <c:pt idx="14">
                  <c:v>Nov</c:v>
                </c:pt>
                <c:pt idx="15">
                  <c:v>Dec</c:v>
                </c:pt>
              </c:strCache>
            </c:strRef>
          </c:cat>
          <c:val>
            <c:numRef>
              <c:f>'Temp DO Comp'!$B$4:$Q$4</c:f>
              <c:numCache>
                <c:formatCode>0.00</c:formatCode>
                <c:ptCount val="16"/>
                <c:pt idx="0">
                  <c:v>3.9</c:v>
                </c:pt>
                <c:pt idx="1">
                  <c:v>5.4749999999999996</c:v>
                </c:pt>
                <c:pt idx="2">
                  <c:v>5.375</c:v>
                </c:pt>
                <c:pt idx="3">
                  <c:v>8.9499999999999993</c:v>
                </c:pt>
                <c:pt idx="4">
                  <c:v>13.700000000000001</c:v>
                </c:pt>
                <c:pt idx="5">
                  <c:v>18.125</c:v>
                </c:pt>
                <c:pt idx="6">
                  <c:v>21.875</c:v>
                </c:pt>
                <c:pt idx="7">
                  <c:v>23.400000000000002</c:v>
                </c:pt>
                <c:pt idx="8">
                  <c:v>22.225000000000001</c:v>
                </c:pt>
                <c:pt idx="9">
                  <c:v>21.387500000000003</c:v>
                </c:pt>
                <c:pt idx="10">
                  <c:v>21.35</c:v>
                </c:pt>
                <c:pt idx="11">
                  <c:v>14.875</c:v>
                </c:pt>
                <c:pt idx="12">
                  <c:v>11.424999999999999</c:v>
                </c:pt>
                <c:pt idx="13">
                  <c:v>8.4499999999999993</c:v>
                </c:pt>
                <c:pt idx="14">
                  <c:v>5.6999999999999993</c:v>
                </c:pt>
                <c:pt idx="15">
                  <c:v>2.8250000000000002</c:v>
                </c:pt>
              </c:numCache>
            </c:numRef>
          </c:val>
          <c:smooth val="0"/>
          <c:extLst>
            <c:ext xmlns:c16="http://schemas.microsoft.com/office/drawing/2014/chart" uri="{C3380CC4-5D6E-409C-BE32-E72D297353CC}">
              <c16:uniqueId val="{00000000-E652-48FF-BA82-78FAE2603A85}"/>
            </c:ext>
          </c:extLst>
        </c:ser>
        <c:ser>
          <c:idx val="1"/>
          <c:order val="1"/>
          <c:tx>
            <c:strRef>
              <c:f>'Temp DO Comp'!$A$5</c:f>
              <c:strCache>
                <c:ptCount val="1"/>
                <c:pt idx="0">
                  <c:v>Site 41</c:v>
                </c:pt>
              </c:strCache>
            </c:strRef>
          </c:tx>
          <c:marker>
            <c:symbol val="none"/>
          </c:marker>
          <c:cat>
            <c:strRef>
              <c:f>'Temp DO Comp'!$B$2:$Q$2</c:f>
              <c:strCache>
                <c:ptCount val="16"/>
                <c:pt idx="0">
                  <c:v>Jan</c:v>
                </c:pt>
                <c:pt idx="1">
                  <c:v>Feb</c:v>
                </c:pt>
                <c:pt idx="2">
                  <c:v>Mar</c:v>
                </c:pt>
                <c:pt idx="3">
                  <c:v>Apr</c:v>
                </c:pt>
                <c:pt idx="4">
                  <c:v>May</c:v>
                </c:pt>
                <c:pt idx="5">
                  <c:v>Jun</c:v>
                </c:pt>
                <c:pt idx="6">
                  <c:v>Jul</c:v>
                </c:pt>
                <c:pt idx="7">
                  <c:v>Jul</c:v>
                </c:pt>
                <c:pt idx="8">
                  <c:v>Aug</c:v>
                </c:pt>
                <c:pt idx="9">
                  <c:v>Aug</c:v>
                </c:pt>
                <c:pt idx="10">
                  <c:v>Sep</c:v>
                </c:pt>
                <c:pt idx="11">
                  <c:v>Sep</c:v>
                </c:pt>
                <c:pt idx="12">
                  <c:v>Oct</c:v>
                </c:pt>
                <c:pt idx="13">
                  <c:v>Oct</c:v>
                </c:pt>
                <c:pt idx="14">
                  <c:v>Nov</c:v>
                </c:pt>
                <c:pt idx="15">
                  <c:v>Dec</c:v>
                </c:pt>
              </c:strCache>
            </c:strRef>
          </c:cat>
          <c:val>
            <c:numRef>
              <c:f>'Temp DO Comp'!$B$5:$Q$5</c:f>
              <c:numCache>
                <c:formatCode>0.00</c:formatCode>
                <c:ptCount val="16"/>
                <c:pt idx="0">
                  <c:v>4.2</c:v>
                </c:pt>
                <c:pt idx="1">
                  <c:v>5.3</c:v>
                </c:pt>
                <c:pt idx="2">
                  <c:v>5.35</c:v>
                </c:pt>
                <c:pt idx="4">
                  <c:v>12.824999999999999</c:v>
                </c:pt>
                <c:pt idx="5">
                  <c:v>18.174999999999997</c:v>
                </c:pt>
                <c:pt idx="6">
                  <c:v>21.75</c:v>
                </c:pt>
                <c:pt idx="7">
                  <c:v>23.274999999999999</c:v>
                </c:pt>
                <c:pt idx="8">
                  <c:v>22.175000000000001</c:v>
                </c:pt>
                <c:pt idx="9">
                  <c:v>21.450000000000003</c:v>
                </c:pt>
                <c:pt idx="10">
                  <c:v>21.349999999999998</c:v>
                </c:pt>
                <c:pt idx="11">
                  <c:v>14.925000000000001</c:v>
                </c:pt>
                <c:pt idx="13">
                  <c:v>9.1499999999999986</c:v>
                </c:pt>
                <c:pt idx="14">
                  <c:v>5.75</c:v>
                </c:pt>
              </c:numCache>
            </c:numRef>
          </c:val>
          <c:smooth val="0"/>
          <c:extLst>
            <c:ext xmlns:c16="http://schemas.microsoft.com/office/drawing/2014/chart" uri="{C3380CC4-5D6E-409C-BE32-E72D297353CC}">
              <c16:uniqueId val="{00000001-E652-48FF-BA82-78FAE2603A85}"/>
            </c:ext>
          </c:extLst>
        </c:ser>
        <c:ser>
          <c:idx val="2"/>
          <c:order val="2"/>
          <c:tx>
            <c:strRef>
              <c:f>'Temp DO Comp'!$A$6</c:f>
              <c:strCache>
                <c:ptCount val="1"/>
                <c:pt idx="0">
                  <c:v>Site 42</c:v>
                </c:pt>
              </c:strCache>
            </c:strRef>
          </c:tx>
          <c:marker>
            <c:symbol val="none"/>
          </c:marker>
          <c:cat>
            <c:strRef>
              <c:f>'Temp DO Comp'!$B$2:$Q$2</c:f>
              <c:strCache>
                <c:ptCount val="16"/>
                <c:pt idx="0">
                  <c:v>Jan</c:v>
                </c:pt>
                <c:pt idx="1">
                  <c:v>Feb</c:v>
                </c:pt>
                <c:pt idx="2">
                  <c:v>Mar</c:v>
                </c:pt>
                <c:pt idx="3">
                  <c:v>Apr</c:v>
                </c:pt>
                <c:pt idx="4">
                  <c:v>May</c:v>
                </c:pt>
                <c:pt idx="5">
                  <c:v>Jun</c:v>
                </c:pt>
                <c:pt idx="6">
                  <c:v>Jul</c:v>
                </c:pt>
                <c:pt idx="7">
                  <c:v>Jul</c:v>
                </c:pt>
                <c:pt idx="8">
                  <c:v>Aug</c:v>
                </c:pt>
                <c:pt idx="9">
                  <c:v>Aug</c:v>
                </c:pt>
                <c:pt idx="10">
                  <c:v>Sep</c:v>
                </c:pt>
                <c:pt idx="11">
                  <c:v>Sep</c:v>
                </c:pt>
                <c:pt idx="12">
                  <c:v>Oct</c:v>
                </c:pt>
                <c:pt idx="13">
                  <c:v>Oct</c:v>
                </c:pt>
                <c:pt idx="14">
                  <c:v>Nov</c:v>
                </c:pt>
                <c:pt idx="15">
                  <c:v>Dec</c:v>
                </c:pt>
              </c:strCache>
            </c:strRef>
          </c:cat>
          <c:val>
            <c:numRef>
              <c:f>'Temp DO Comp'!$B$6:$Q$6</c:f>
              <c:numCache>
                <c:formatCode>0.00</c:formatCode>
                <c:ptCount val="16"/>
                <c:pt idx="0">
                  <c:v>4.05</c:v>
                </c:pt>
                <c:pt idx="1">
                  <c:v>5.7</c:v>
                </c:pt>
                <c:pt idx="2">
                  <c:v>5.35</c:v>
                </c:pt>
                <c:pt idx="4">
                  <c:v>13.549999999999999</c:v>
                </c:pt>
                <c:pt idx="5">
                  <c:v>18.175000000000001</c:v>
                </c:pt>
                <c:pt idx="6">
                  <c:v>21.925000000000001</c:v>
                </c:pt>
                <c:pt idx="7">
                  <c:v>23.4</c:v>
                </c:pt>
                <c:pt idx="8">
                  <c:v>22.174999999999997</c:v>
                </c:pt>
                <c:pt idx="9">
                  <c:v>21.25</c:v>
                </c:pt>
                <c:pt idx="10">
                  <c:v>21.324999999999999</c:v>
                </c:pt>
                <c:pt idx="11">
                  <c:v>14.95</c:v>
                </c:pt>
                <c:pt idx="13">
                  <c:v>8.5499999999999989</c:v>
                </c:pt>
                <c:pt idx="14">
                  <c:v>5.75</c:v>
                </c:pt>
              </c:numCache>
            </c:numRef>
          </c:val>
          <c:smooth val="0"/>
          <c:extLst>
            <c:ext xmlns:c16="http://schemas.microsoft.com/office/drawing/2014/chart" uri="{C3380CC4-5D6E-409C-BE32-E72D297353CC}">
              <c16:uniqueId val="{00000002-E652-48FF-BA82-78FAE2603A85}"/>
            </c:ext>
          </c:extLst>
        </c:ser>
        <c:ser>
          <c:idx val="3"/>
          <c:order val="3"/>
          <c:tx>
            <c:strRef>
              <c:f>'Temp DO Comp'!$A$7</c:f>
              <c:strCache>
                <c:ptCount val="1"/>
                <c:pt idx="0">
                  <c:v>Site 43</c:v>
                </c:pt>
              </c:strCache>
            </c:strRef>
          </c:tx>
          <c:marker>
            <c:symbol val="none"/>
          </c:marker>
          <c:cat>
            <c:strRef>
              <c:f>'Temp DO Comp'!$B$2:$Q$2</c:f>
              <c:strCache>
                <c:ptCount val="16"/>
                <c:pt idx="0">
                  <c:v>Jan</c:v>
                </c:pt>
                <c:pt idx="1">
                  <c:v>Feb</c:v>
                </c:pt>
                <c:pt idx="2">
                  <c:v>Mar</c:v>
                </c:pt>
                <c:pt idx="3">
                  <c:v>Apr</c:v>
                </c:pt>
                <c:pt idx="4">
                  <c:v>May</c:v>
                </c:pt>
                <c:pt idx="5">
                  <c:v>Jun</c:v>
                </c:pt>
                <c:pt idx="6">
                  <c:v>Jul</c:v>
                </c:pt>
                <c:pt idx="7">
                  <c:v>Jul</c:v>
                </c:pt>
                <c:pt idx="8">
                  <c:v>Aug</c:v>
                </c:pt>
                <c:pt idx="9">
                  <c:v>Aug</c:v>
                </c:pt>
                <c:pt idx="10">
                  <c:v>Sep</c:v>
                </c:pt>
                <c:pt idx="11">
                  <c:v>Sep</c:v>
                </c:pt>
                <c:pt idx="12">
                  <c:v>Oct</c:v>
                </c:pt>
                <c:pt idx="13">
                  <c:v>Oct</c:v>
                </c:pt>
                <c:pt idx="14">
                  <c:v>Nov</c:v>
                </c:pt>
                <c:pt idx="15">
                  <c:v>Dec</c:v>
                </c:pt>
              </c:strCache>
            </c:strRef>
          </c:cat>
          <c:val>
            <c:numRef>
              <c:f>'Temp DO Comp'!$B$7:$Q$7</c:f>
              <c:numCache>
                <c:formatCode>0.00</c:formatCode>
                <c:ptCount val="16"/>
                <c:pt idx="0">
                  <c:v>4.0250000000000004</c:v>
                </c:pt>
                <c:pt idx="1">
                  <c:v>5.3</c:v>
                </c:pt>
                <c:pt idx="2">
                  <c:v>5.4</c:v>
                </c:pt>
                <c:pt idx="4">
                  <c:v>13.125</c:v>
                </c:pt>
                <c:pt idx="5">
                  <c:v>18.725000000000001</c:v>
                </c:pt>
                <c:pt idx="6">
                  <c:v>22.275000000000002</c:v>
                </c:pt>
                <c:pt idx="7">
                  <c:v>24</c:v>
                </c:pt>
                <c:pt idx="8">
                  <c:v>22.75</c:v>
                </c:pt>
                <c:pt idx="9">
                  <c:v>22.2</c:v>
                </c:pt>
                <c:pt idx="10">
                  <c:v>21.674999999999997</c:v>
                </c:pt>
                <c:pt idx="11">
                  <c:v>15.350000000000001</c:v>
                </c:pt>
                <c:pt idx="13">
                  <c:v>9.0500000000000007</c:v>
                </c:pt>
                <c:pt idx="14">
                  <c:v>5.6749999999999989</c:v>
                </c:pt>
                <c:pt idx="15">
                  <c:v>2.8000000000000003</c:v>
                </c:pt>
              </c:numCache>
            </c:numRef>
          </c:val>
          <c:smooth val="0"/>
          <c:extLst>
            <c:ext xmlns:c16="http://schemas.microsoft.com/office/drawing/2014/chart" uri="{C3380CC4-5D6E-409C-BE32-E72D297353CC}">
              <c16:uniqueId val="{00000003-E652-48FF-BA82-78FAE2603A85}"/>
            </c:ext>
          </c:extLst>
        </c:ser>
        <c:ser>
          <c:idx val="4"/>
          <c:order val="4"/>
          <c:tx>
            <c:strRef>
              <c:f>'Temp DO Comp'!$A$8</c:f>
              <c:strCache>
                <c:ptCount val="1"/>
                <c:pt idx="0">
                  <c:v>Site 44</c:v>
                </c:pt>
              </c:strCache>
            </c:strRef>
          </c:tx>
          <c:marker>
            <c:symbol val="none"/>
          </c:marker>
          <c:cat>
            <c:strRef>
              <c:f>'Temp DO Comp'!$B$2:$Q$2</c:f>
              <c:strCache>
                <c:ptCount val="16"/>
                <c:pt idx="0">
                  <c:v>Jan</c:v>
                </c:pt>
                <c:pt idx="1">
                  <c:v>Feb</c:v>
                </c:pt>
                <c:pt idx="2">
                  <c:v>Mar</c:v>
                </c:pt>
                <c:pt idx="3">
                  <c:v>Apr</c:v>
                </c:pt>
                <c:pt idx="4">
                  <c:v>May</c:v>
                </c:pt>
                <c:pt idx="5">
                  <c:v>Jun</c:v>
                </c:pt>
                <c:pt idx="6">
                  <c:v>Jul</c:v>
                </c:pt>
                <c:pt idx="7">
                  <c:v>Jul</c:v>
                </c:pt>
                <c:pt idx="8">
                  <c:v>Aug</c:v>
                </c:pt>
                <c:pt idx="9">
                  <c:v>Aug</c:v>
                </c:pt>
                <c:pt idx="10">
                  <c:v>Sep</c:v>
                </c:pt>
                <c:pt idx="11">
                  <c:v>Sep</c:v>
                </c:pt>
                <c:pt idx="12">
                  <c:v>Oct</c:v>
                </c:pt>
                <c:pt idx="13">
                  <c:v>Oct</c:v>
                </c:pt>
                <c:pt idx="14">
                  <c:v>Nov</c:v>
                </c:pt>
                <c:pt idx="15">
                  <c:v>Dec</c:v>
                </c:pt>
              </c:strCache>
            </c:strRef>
          </c:cat>
          <c:val>
            <c:numRef>
              <c:f>'Temp DO Comp'!$B$8:$Q$8</c:f>
              <c:numCache>
                <c:formatCode>0.00</c:formatCode>
                <c:ptCount val="16"/>
                <c:pt idx="0">
                  <c:v>4.0749999999999993</c:v>
                </c:pt>
                <c:pt idx="1">
                  <c:v>5.2750000000000004</c:v>
                </c:pt>
                <c:pt idx="2">
                  <c:v>5.625</c:v>
                </c:pt>
                <c:pt idx="4">
                  <c:v>13.700000000000001</c:v>
                </c:pt>
                <c:pt idx="5">
                  <c:v>18.8</c:v>
                </c:pt>
                <c:pt idx="6">
                  <c:v>22.074999999999999</c:v>
                </c:pt>
                <c:pt idx="7">
                  <c:v>24</c:v>
                </c:pt>
                <c:pt idx="8">
                  <c:v>22.474999999999998</c:v>
                </c:pt>
                <c:pt idx="9">
                  <c:v>22.274999999999999</c:v>
                </c:pt>
                <c:pt idx="10">
                  <c:v>21.575000000000003</c:v>
                </c:pt>
                <c:pt idx="11">
                  <c:v>15.425000000000001</c:v>
                </c:pt>
                <c:pt idx="13">
                  <c:v>8.875</c:v>
                </c:pt>
                <c:pt idx="14">
                  <c:v>5.6750000000000007</c:v>
                </c:pt>
                <c:pt idx="15">
                  <c:v>2.6749999999999998</c:v>
                </c:pt>
              </c:numCache>
            </c:numRef>
          </c:val>
          <c:smooth val="0"/>
          <c:extLst>
            <c:ext xmlns:c16="http://schemas.microsoft.com/office/drawing/2014/chart" uri="{C3380CC4-5D6E-409C-BE32-E72D297353CC}">
              <c16:uniqueId val="{00000004-E652-48FF-BA82-78FAE2603A85}"/>
            </c:ext>
          </c:extLst>
        </c:ser>
        <c:ser>
          <c:idx val="5"/>
          <c:order val="5"/>
          <c:tx>
            <c:strRef>
              <c:f>'Temp DO Comp'!$A$9</c:f>
              <c:strCache>
                <c:ptCount val="1"/>
                <c:pt idx="0">
                  <c:v>S(Jan-Mar)</c:v>
                </c:pt>
              </c:strCache>
            </c:strRef>
          </c:tx>
          <c:spPr>
            <a:ln w="44450" cmpd="sng">
              <a:prstDash val="sysDash"/>
            </a:ln>
          </c:spPr>
          <c:marker>
            <c:symbol val="none"/>
          </c:marker>
          <c:val>
            <c:numRef>
              <c:f>'Temp DO Comp'!$B$9:$D$9</c:f>
              <c:numCache>
                <c:formatCode>0</c:formatCode>
                <c:ptCount val="3"/>
                <c:pt idx="0" formatCode="0.0">
                  <c:v>9</c:v>
                </c:pt>
                <c:pt idx="1">
                  <c:v>9</c:v>
                </c:pt>
                <c:pt idx="2">
                  <c:v>9</c:v>
                </c:pt>
              </c:numCache>
            </c:numRef>
          </c:val>
          <c:smooth val="0"/>
          <c:extLst>
            <c:ext xmlns:c16="http://schemas.microsoft.com/office/drawing/2014/chart" uri="{C3380CC4-5D6E-409C-BE32-E72D297353CC}">
              <c16:uniqueId val="{00000005-E652-48FF-BA82-78FAE2603A85}"/>
            </c:ext>
          </c:extLst>
        </c:ser>
        <c:ser>
          <c:idx val="6"/>
          <c:order val="6"/>
          <c:tx>
            <c:strRef>
              <c:f>'Temp DO Comp'!$A$10</c:f>
              <c:strCache>
                <c:ptCount val="1"/>
                <c:pt idx="0">
                  <c:v>S(Apr-Dec)</c:v>
                </c:pt>
              </c:strCache>
            </c:strRef>
          </c:tx>
          <c:spPr>
            <a:ln w="44450">
              <a:prstDash val="sysDash"/>
            </a:ln>
          </c:spPr>
          <c:marker>
            <c:symbol val="none"/>
          </c:marker>
          <c:val>
            <c:numRef>
              <c:f>'Temp DO Comp'!$B$10:$Q$10</c:f>
              <c:numCache>
                <c:formatCode>0.00</c:formatCode>
                <c:ptCount val="16"/>
                <c:pt idx="3" formatCode="0.0">
                  <c:v>23.3</c:v>
                </c:pt>
                <c:pt idx="4" formatCode="0.0">
                  <c:v>23.3</c:v>
                </c:pt>
                <c:pt idx="5" formatCode="0.0">
                  <c:v>23.3</c:v>
                </c:pt>
                <c:pt idx="6" formatCode="0.0">
                  <c:v>23.3</c:v>
                </c:pt>
                <c:pt idx="7" formatCode="0.0">
                  <c:v>23.3</c:v>
                </c:pt>
                <c:pt idx="8" formatCode="0.0">
                  <c:v>23.3</c:v>
                </c:pt>
                <c:pt idx="9" formatCode="0.0">
                  <c:v>23.3</c:v>
                </c:pt>
                <c:pt idx="10" formatCode="0.0">
                  <c:v>23.3</c:v>
                </c:pt>
                <c:pt idx="11" formatCode="0.0">
                  <c:v>23.3</c:v>
                </c:pt>
                <c:pt idx="12" formatCode="0.0">
                  <c:v>23.3</c:v>
                </c:pt>
                <c:pt idx="13" formatCode="0.0">
                  <c:v>23.3</c:v>
                </c:pt>
                <c:pt idx="14" formatCode="0.0">
                  <c:v>23.3</c:v>
                </c:pt>
                <c:pt idx="15" formatCode="0.0">
                  <c:v>23.3</c:v>
                </c:pt>
              </c:numCache>
            </c:numRef>
          </c:val>
          <c:smooth val="0"/>
          <c:extLst>
            <c:ext xmlns:c16="http://schemas.microsoft.com/office/drawing/2014/chart" uri="{C3380CC4-5D6E-409C-BE32-E72D297353CC}">
              <c16:uniqueId val="{00000006-E652-48FF-BA82-78FAE2603A85}"/>
            </c:ext>
          </c:extLst>
        </c:ser>
        <c:dLbls>
          <c:showLegendKey val="0"/>
          <c:showVal val="0"/>
          <c:showCatName val="0"/>
          <c:showSerName val="0"/>
          <c:showPercent val="0"/>
          <c:showBubbleSize val="0"/>
        </c:dLbls>
        <c:smooth val="0"/>
        <c:axId val="136751360"/>
        <c:axId val="136785920"/>
      </c:lineChart>
      <c:catAx>
        <c:axId val="136751360"/>
        <c:scaling>
          <c:orientation val="minMax"/>
        </c:scaling>
        <c:delete val="0"/>
        <c:axPos val="b"/>
        <c:numFmt formatCode="General" sourceLinked="0"/>
        <c:majorTickMark val="none"/>
        <c:minorTickMark val="none"/>
        <c:tickLblPos val="nextTo"/>
        <c:crossAx val="136785920"/>
        <c:crosses val="autoZero"/>
        <c:auto val="1"/>
        <c:lblAlgn val="ctr"/>
        <c:lblOffset val="100"/>
        <c:noMultiLvlLbl val="0"/>
      </c:catAx>
      <c:valAx>
        <c:axId val="136785920"/>
        <c:scaling>
          <c:orientation val="minMax"/>
        </c:scaling>
        <c:delete val="0"/>
        <c:axPos val="l"/>
        <c:majorGridlines/>
        <c:title>
          <c:tx>
            <c:rich>
              <a:bodyPr/>
              <a:lstStyle/>
              <a:p>
                <a:pPr>
                  <a:defRPr/>
                </a:pPr>
                <a:r>
                  <a:rPr lang="en-US"/>
                  <a:t>Temperature C</a:t>
                </a:r>
              </a:p>
            </c:rich>
          </c:tx>
          <c:overlay val="0"/>
        </c:title>
        <c:numFmt formatCode="0.00" sourceLinked="1"/>
        <c:majorTickMark val="none"/>
        <c:minorTickMark val="none"/>
        <c:tickLblPos val="nextTo"/>
        <c:crossAx val="136751360"/>
        <c:crosses val="autoZero"/>
        <c:crossBetween val="between"/>
      </c:valAx>
      <c:dTable>
        <c:showHorzBorder val="1"/>
        <c:showVertBorder val="1"/>
        <c:showOutline val="1"/>
        <c:showKeys val="1"/>
      </c:dTable>
      <c:spPr>
        <a:gradFill>
          <a:gsLst>
            <a:gs pos="0">
              <a:schemeClr val="tx2">
                <a:lumMod val="20000"/>
                <a:lumOff val="80000"/>
              </a:schemeClr>
            </a:gs>
            <a:gs pos="53000">
              <a:srgbClr val="D4DEFF"/>
            </a:gs>
            <a:gs pos="83000">
              <a:srgbClr val="D4DEFF"/>
            </a:gs>
            <a:gs pos="100000">
              <a:srgbClr val="96AB94"/>
            </a:gs>
          </a:gsLst>
          <a:lin ang="5400000" scaled="0"/>
        </a:gradFill>
      </c:spPr>
    </c:plotArea>
    <c:plotVisOnly val="1"/>
    <c:dispBlanksAs val="gap"/>
    <c:showDLblsOverMax val="0"/>
  </c:chart>
  <c:spPr>
    <a:gradFill>
      <a:gsLst>
        <a:gs pos="0">
          <a:schemeClr val="accent1">
            <a:lumMod val="60000"/>
            <a:lumOff val="40000"/>
          </a:schemeClr>
        </a:gs>
        <a:gs pos="50000">
          <a:srgbClr val="4F81BD">
            <a:tint val="44500"/>
            <a:satMod val="160000"/>
          </a:srgbClr>
        </a:gs>
        <a:gs pos="100000">
          <a:srgbClr val="4F81BD">
            <a:tint val="23500"/>
            <a:satMod val="160000"/>
          </a:srgbClr>
        </a:gs>
      </a:gsLst>
      <a:lin ang="5400000" scaled="0"/>
    </a:gradFill>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2013 DO Compliance Bear Creek Reservoir Site 40 Central Pool</a:t>
            </a:r>
          </a:p>
        </c:rich>
      </c:tx>
      <c:layout>
        <c:manualLayout>
          <c:xMode val="edge"/>
          <c:yMode val="edge"/>
          <c:x val="0.37165956565937613"/>
          <c:y val="5.0375220954524534E-2"/>
        </c:manualLayout>
      </c:layout>
      <c:overlay val="0"/>
    </c:title>
    <c:autoTitleDeleted val="0"/>
    <c:plotArea>
      <c:layout>
        <c:manualLayout>
          <c:layoutTarget val="inner"/>
          <c:xMode val="edge"/>
          <c:yMode val="edge"/>
          <c:x val="0.24042892058730131"/>
          <c:y val="0.11462692163479567"/>
          <c:w val="0.7381233612514887"/>
          <c:h val="0.69914671380363169"/>
        </c:manualLayout>
      </c:layout>
      <c:lineChart>
        <c:grouping val="standard"/>
        <c:varyColors val="0"/>
        <c:ser>
          <c:idx val="2"/>
          <c:order val="0"/>
          <c:tx>
            <c:strRef>
              <c:f>'Temp DO Comp'!$S$5</c:f>
              <c:strCache>
                <c:ptCount val="1"/>
                <c:pt idx="0">
                  <c:v>Profile Average (mg/l)</c:v>
                </c:pt>
              </c:strCache>
            </c:strRef>
          </c:tx>
          <c:spPr>
            <a:ln>
              <a:solidFill>
                <a:srgbClr val="C00000"/>
              </a:solidFill>
            </a:ln>
          </c:spPr>
          <c:marker>
            <c:spPr>
              <a:solidFill>
                <a:srgbClr val="C00000"/>
              </a:solidFill>
            </c:spPr>
          </c:marker>
          <c:cat>
            <c:strRef>
              <c:f>'Temp DO Comp'!$T$2:$AJ$2</c:f>
              <c:strCache>
                <c:ptCount val="16"/>
                <c:pt idx="0">
                  <c:v>Jan</c:v>
                </c:pt>
                <c:pt idx="1">
                  <c:v>Feb</c:v>
                </c:pt>
                <c:pt idx="2">
                  <c:v>Mar</c:v>
                </c:pt>
                <c:pt idx="3">
                  <c:v>Apr</c:v>
                </c:pt>
                <c:pt idx="4">
                  <c:v>May</c:v>
                </c:pt>
                <c:pt idx="5">
                  <c:v>Jun</c:v>
                </c:pt>
                <c:pt idx="6">
                  <c:v>Jul</c:v>
                </c:pt>
                <c:pt idx="7">
                  <c:v>Jul</c:v>
                </c:pt>
                <c:pt idx="8">
                  <c:v>Aug</c:v>
                </c:pt>
                <c:pt idx="9">
                  <c:v>Aug</c:v>
                </c:pt>
                <c:pt idx="10">
                  <c:v>Sep</c:v>
                </c:pt>
                <c:pt idx="11">
                  <c:v>Sep</c:v>
                </c:pt>
                <c:pt idx="12">
                  <c:v>Oct</c:v>
                </c:pt>
                <c:pt idx="13">
                  <c:v>Oct</c:v>
                </c:pt>
                <c:pt idx="14">
                  <c:v>Nov</c:v>
                </c:pt>
                <c:pt idx="15">
                  <c:v>Dec</c:v>
                </c:pt>
              </c:strCache>
            </c:strRef>
          </c:cat>
          <c:val>
            <c:numRef>
              <c:f>'Temp DO Comp'!$T$5:$AJ$5</c:f>
              <c:numCache>
                <c:formatCode>0.00</c:formatCode>
                <c:ptCount val="16"/>
                <c:pt idx="0">
                  <c:v>7.0992857142857142</c:v>
                </c:pt>
                <c:pt idx="1">
                  <c:v>7.984285714285714</c:v>
                </c:pt>
                <c:pt idx="2">
                  <c:v>10.941428571428572</c:v>
                </c:pt>
                <c:pt idx="3" formatCode="0.0">
                  <c:v>11.199333333333334</c:v>
                </c:pt>
                <c:pt idx="4" formatCode="0.0">
                  <c:v>6.6659999999999995</c:v>
                </c:pt>
                <c:pt idx="5" formatCode="0.0">
                  <c:v>7.9760000000000009</c:v>
                </c:pt>
                <c:pt idx="6" formatCode="0.0">
                  <c:v>6.4446666666666657</c:v>
                </c:pt>
                <c:pt idx="7" formatCode="0.0">
                  <c:v>7.594666666666666</c:v>
                </c:pt>
                <c:pt idx="8" formatCode="0.0">
                  <c:v>8.1433333333333326</c:v>
                </c:pt>
                <c:pt idx="9" formatCode="0.0">
                  <c:v>5.4280000000000008</c:v>
                </c:pt>
                <c:pt idx="10" formatCode="0.0">
                  <c:v>7.6228571428571437</c:v>
                </c:pt>
                <c:pt idx="11" formatCode="0.0">
                  <c:v>6.6760000000000002</c:v>
                </c:pt>
                <c:pt idx="12" formatCode="0.0">
                  <c:v>6.6673333333333344</c:v>
                </c:pt>
                <c:pt idx="13" formatCode="0.0">
                  <c:v>9.5640000000000001</c:v>
                </c:pt>
                <c:pt idx="14" formatCode="0.0">
                  <c:v>9.4126666666666683</c:v>
                </c:pt>
                <c:pt idx="15" formatCode="0.0">
                  <c:v>11.218181818181817</c:v>
                </c:pt>
              </c:numCache>
            </c:numRef>
          </c:val>
          <c:smooth val="0"/>
          <c:extLst>
            <c:ext xmlns:c16="http://schemas.microsoft.com/office/drawing/2014/chart" uri="{C3380CC4-5D6E-409C-BE32-E72D297353CC}">
              <c16:uniqueId val="{00000000-27D3-48B7-981F-DCD697DE5FF2}"/>
            </c:ext>
          </c:extLst>
        </c:ser>
        <c:ser>
          <c:idx val="3"/>
          <c:order val="1"/>
          <c:tx>
            <c:strRef>
              <c:f>'Temp DO Comp'!$S$4</c:f>
              <c:strCache>
                <c:ptCount val="1"/>
                <c:pt idx="0">
                  <c:v>Average1/2-2m (mg/l)</c:v>
                </c:pt>
              </c:strCache>
            </c:strRef>
          </c:tx>
          <c:cat>
            <c:strRef>
              <c:f>'Temp DO Comp'!$T$2:$AG$2</c:f>
              <c:strCache>
                <c:ptCount val="13"/>
                <c:pt idx="0">
                  <c:v>Jan</c:v>
                </c:pt>
                <c:pt idx="1">
                  <c:v>Feb</c:v>
                </c:pt>
                <c:pt idx="2">
                  <c:v>Mar</c:v>
                </c:pt>
                <c:pt idx="3">
                  <c:v>Apr</c:v>
                </c:pt>
                <c:pt idx="4">
                  <c:v>May</c:v>
                </c:pt>
                <c:pt idx="5">
                  <c:v>Jun</c:v>
                </c:pt>
                <c:pt idx="6">
                  <c:v>Jul</c:v>
                </c:pt>
                <c:pt idx="7">
                  <c:v>Jul</c:v>
                </c:pt>
                <c:pt idx="8">
                  <c:v>Aug</c:v>
                </c:pt>
                <c:pt idx="9">
                  <c:v>Aug</c:v>
                </c:pt>
                <c:pt idx="10">
                  <c:v>Sep</c:v>
                </c:pt>
                <c:pt idx="11">
                  <c:v>Sep</c:v>
                </c:pt>
                <c:pt idx="12">
                  <c:v>Oct</c:v>
                </c:pt>
              </c:strCache>
            </c:strRef>
          </c:cat>
          <c:val>
            <c:numRef>
              <c:f>'Temp DO Comp'!$T$4:$AJ$4</c:f>
              <c:numCache>
                <c:formatCode>0.00</c:formatCode>
                <c:ptCount val="16"/>
                <c:pt idx="0">
                  <c:v>9.0824999999999996</c:v>
                </c:pt>
                <c:pt idx="1">
                  <c:v>10.845000000000001</c:v>
                </c:pt>
                <c:pt idx="2">
                  <c:v>11.6975</c:v>
                </c:pt>
                <c:pt idx="3" formatCode="0.0">
                  <c:v>12.61</c:v>
                </c:pt>
                <c:pt idx="4" formatCode="0.0">
                  <c:v>8.27</c:v>
                </c:pt>
                <c:pt idx="5" formatCode="0.0">
                  <c:v>8.5175000000000001</c:v>
                </c:pt>
                <c:pt idx="6" formatCode="0.0">
                  <c:v>7.0525000000000002</c:v>
                </c:pt>
                <c:pt idx="7" formatCode="0.0">
                  <c:v>8.5549999999999997</c:v>
                </c:pt>
                <c:pt idx="8" formatCode="0.0">
                  <c:v>8.1750000000000007</c:v>
                </c:pt>
                <c:pt idx="9" formatCode="0.0">
                  <c:v>5.9349999999999996</c:v>
                </c:pt>
                <c:pt idx="10" formatCode="0.0">
                  <c:v>8.1449999999999996</c:v>
                </c:pt>
                <c:pt idx="11" formatCode="0.0">
                  <c:v>6.5649999999999995</c:v>
                </c:pt>
                <c:pt idx="12" formatCode="0.0">
                  <c:v>6.8725000000000005</c:v>
                </c:pt>
                <c:pt idx="13" formatCode="0.0">
                  <c:v>9.5775000000000006</c:v>
                </c:pt>
                <c:pt idx="14" formatCode="0.0">
                  <c:v>9.84</c:v>
                </c:pt>
                <c:pt idx="15" formatCode="0.0">
                  <c:v>11.9375</c:v>
                </c:pt>
              </c:numCache>
            </c:numRef>
          </c:val>
          <c:smooth val="0"/>
          <c:extLst>
            <c:ext xmlns:c16="http://schemas.microsoft.com/office/drawing/2014/chart" uri="{C3380CC4-5D6E-409C-BE32-E72D297353CC}">
              <c16:uniqueId val="{00000001-27D3-48B7-981F-DCD697DE5FF2}"/>
            </c:ext>
          </c:extLst>
        </c:ser>
        <c:dLbls>
          <c:showLegendKey val="0"/>
          <c:showVal val="0"/>
          <c:showCatName val="0"/>
          <c:showSerName val="0"/>
          <c:showPercent val="0"/>
          <c:showBubbleSize val="0"/>
        </c:dLbls>
        <c:marker val="1"/>
        <c:smooth val="0"/>
        <c:axId val="136824704"/>
        <c:axId val="136826240"/>
      </c:lineChart>
      <c:catAx>
        <c:axId val="136824704"/>
        <c:scaling>
          <c:orientation val="minMax"/>
        </c:scaling>
        <c:delete val="0"/>
        <c:axPos val="b"/>
        <c:numFmt formatCode="General" sourceLinked="0"/>
        <c:majorTickMark val="none"/>
        <c:minorTickMark val="none"/>
        <c:tickLblPos val="nextTo"/>
        <c:crossAx val="136826240"/>
        <c:crosses val="autoZero"/>
        <c:auto val="1"/>
        <c:lblAlgn val="ctr"/>
        <c:lblOffset val="100"/>
        <c:noMultiLvlLbl val="0"/>
      </c:catAx>
      <c:valAx>
        <c:axId val="136826240"/>
        <c:scaling>
          <c:orientation val="minMax"/>
        </c:scaling>
        <c:delete val="0"/>
        <c:axPos val="l"/>
        <c:majorGridlines/>
        <c:minorGridlines/>
        <c:title>
          <c:tx>
            <c:rich>
              <a:bodyPr/>
              <a:lstStyle/>
              <a:p>
                <a:pPr>
                  <a:defRPr sz="1100"/>
                </a:pPr>
                <a:r>
                  <a:rPr lang="en-US" sz="1100"/>
                  <a:t>Dissolved Oxygen (mg/l)</a:t>
                </a:r>
              </a:p>
            </c:rich>
          </c:tx>
          <c:layout>
            <c:manualLayout>
              <c:xMode val="edge"/>
              <c:yMode val="edge"/>
              <c:x val="0.13859647208227857"/>
              <c:y val="0.21675576506113994"/>
            </c:manualLayout>
          </c:layout>
          <c:overlay val="0"/>
        </c:title>
        <c:numFmt formatCode="0.00" sourceLinked="1"/>
        <c:majorTickMark val="none"/>
        <c:minorTickMark val="none"/>
        <c:tickLblPos val="nextTo"/>
        <c:spPr>
          <a:noFill/>
        </c:spPr>
        <c:crossAx val="136824704"/>
        <c:crosses val="autoZero"/>
        <c:crossBetween val="between"/>
      </c:valAx>
      <c:dTable>
        <c:showHorzBorder val="1"/>
        <c:showVertBorder val="1"/>
        <c:showOutline val="1"/>
        <c:showKeys val="1"/>
      </c:dTable>
      <c:spPr>
        <a:gradFill flip="none" rotWithShape="1">
          <a:gsLst>
            <a:gs pos="0">
              <a:schemeClr val="accent3">
                <a:lumMod val="60000"/>
                <a:lumOff val="40000"/>
              </a:schemeClr>
            </a:gs>
            <a:gs pos="39999">
              <a:srgbClr val="85C2FF"/>
            </a:gs>
            <a:gs pos="70000">
              <a:srgbClr val="C4D6EB"/>
            </a:gs>
            <a:gs pos="100000">
              <a:srgbClr val="FFEBFA"/>
            </a:gs>
          </a:gsLst>
          <a:lin ang="5400000" scaled="1"/>
          <a:tileRect/>
        </a:gradFill>
      </c:spPr>
    </c:plotArea>
    <c:plotVisOnly val="1"/>
    <c:dispBlanksAs val="gap"/>
    <c:showDLblsOverMax val="0"/>
  </c:chart>
  <c:spPr>
    <a:gradFill>
      <a:gsLst>
        <a:gs pos="0">
          <a:srgbClr val="4F81BD">
            <a:lumMod val="60000"/>
            <a:lumOff val="40000"/>
          </a:srgbClr>
        </a:gs>
        <a:gs pos="50000">
          <a:srgbClr val="4F81BD">
            <a:tint val="44500"/>
            <a:satMod val="160000"/>
          </a:srgbClr>
        </a:gs>
        <a:gs pos="100000">
          <a:srgbClr val="4F81BD">
            <a:tint val="23500"/>
            <a:satMod val="160000"/>
          </a:srgbClr>
        </a:gs>
      </a:gsLst>
      <a:lin ang="5400000" scaled="0"/>
    </a:gradFill>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2013 Total Phosphorus Bear Creek Watershed</a:t>
            </a:r>
          </a:p>
        </c:rich>
      </c:tx>
      <c:layout>
        <c:manualLayout>
          <c:xMode val="edge"/>
          <c:yMode val="edge"/>
          <c:x val="0.3963559012090741"/>
          <c:y val="4.9866415221765638E-2"/>
        </c:manualLayout>
      </c:layout>
      <c:overlay val="0"/>
      <c:spPr>
        <a:noFill/>
        <a:ln w="25400">
          <a:noFill/>
        </a:ln>
      </c:spPr>
    </c:title>
    <c:autoTitleDeleted val="0"/>
    <c:plotArea>
      <c:layout/>
      <c:lineChart>
        <c:grouping val="standard"/>
        <c:varyColors val="0"/>
        <c:ser>
          <c:idx val="0"/>
          <c:order val="0"/>
          <c:tx>
            <c:strRef>
              <c:f>'T &amp; Diss Phosphorus'!$A$17</c:f>
              <c:strCache>
                <c:ptCount val="1"/>
                <c:pt idx="0">
                  <c:v>Site 45-Reservoir Discharge</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cat>
            <c:strRef>
              <c:f>'T &amp; Diss Phosphorus'!$B$14:$M$14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'T &amp; Diss Phosphorus'!$B$17:$M$17</c:f>
              <c:numCache>
                <c:formatCode>0.0</c:formatCode>
                <c:ptCount val="12"/>
                <c:pt idx="0">
                  <c:v>74</c:v>
                </c:pt>
                <c:pt idx="1">
                  <c:v>39</c:v>
                </c:pt>
                <c:pt idx="2">
                  <c:v>27</c:v>
                </c:pt>
                <c:pt idx="3">
                  <c:v>17</c:v>
                </c:pt>
                <c:pt idx="4">
                  <c:v>30</c:v>
                </c:pt>
                <c:pt idx="5">
                  <c:v>60</c:v>
                </c:pt>
                <c:pt idx="6">
                  <c:v>121.5</c:v>
                </c:pt>
                <c:pt idx="7">
                  <c:v>203</c:v>
                </c:pt>
                <c:pt idx="8">
                  <c:v>90.5</c:v>
                </c:pt>
                <c:pt idx="9">
                  <c:v>51</c:v>
                </c:pt>
                <c:pt idx="10">
                  <c:v>25</c:v>
                </c:pt>
                <c:pt idx="11">
                  <c:v>15</c:v>
                </c:pt>
              </c:numCache>
            </c:numRef>
          </c:val>
          <c:smooth val="0"/>
          <c:extLst>
            <c:ext xmlns:c16="http://schemas.microsoft.com/office/drawing/2014/chart" uri="{C3380CC4-5D6E-409C-BE32-E72D297353CC}">
              <c16:uniqueId val="{00000000-37AB-4F58-9A8E-A953B603F59D}"/>
            </c:ext>
          </c:extLst>
        </c:ser>
        <c:ser>
          <c:idx val="2"/>
          <c:order val="1"/>
          <c:tx>
            <c:strRef>
              <c:f>'T &amp; Diss Phosphorus'!$A$15</c:f>
              <c:strCache>
                <c:ptCount val="1"/>
                <c:pt idx="0">
                  <c:v>Site 16a-Turkey Creek Inflow</c:v>
                </c:pt>
              </c:strCache>
            </c:strRef>
          </c:tx>
          <c:cat>
            <c:strRef>
              <c:f>'T &amp; Diss Phosphorus'!$B$14:$M$14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'T &amp; Diss Phosphorus'!$B$15:$M$15</c:f>
              <c:numCache>
                <c:formatCode>0.0</c:formatCode>
                <c:ptCount val="12"/>
                <c:pt idx="0">
                  <c:v>72</c:v>
                </c:pt>
                <c:pt idx="1">
                  <c:v>38</c:v>
                </c:pt>
                <c:pt idx="2">
                  <c:v>5</c:v>
                </c:pt>
                <c:pt idx="3">
                  <c:v>2</c:v>
                </c:pt>
                <c:pt idx="4">
                  <c:v>19</c:v>
                </c:pt>
                <c:pt idx="5">
                  <c:v>12</c:v>
                </c:pt>
                <c:pt idx="6">
                  <c:v>11.5</c:v>
                </c:pt>
                <c:pt idx="7">
                  <c:v>22</c:v>
                </c:pt>
                <c:pt idx="8">
                  <c:v>34</c:v>
                </c:pt>
                <c:pt idx="9">
                  <c:v>2</c:v>
                </c:pt>
                <c:pt idx="10">
                  <c:v>20</c:v>
                </c:pt>
                <c:pt idx="11">
                  <c:v>9</c:v>
                </c:pt>
              </c:numCache>
            </c:numRef>
          </c:val>
          <c:smooth val="0"/>
          <c:extLst>
            <c:ext xmlns:c16="http://schemas.microsoft.com/office/drawing/2014/chart" uri="{C3380CC4-5D6E-409C-BE32-E72D297353CC}">
              <c16:uniqueId val="{00000001-37AB-4F58-9A8E-A953B603F59D}"/>
            </c:ext>
          </c:extLst>
        </c:ser>
        <c:ser>
          <c:idx val="3"/>
          <c:order val="2"/>
          <c:tx>
            <c:strRef>
              <c:f>'T &amp; Diss Phosphorus'!$A$16</c:f>
              <c:strCache>
                <c:ptCount val="1"/>
                <c:pt idx="0">
                  <c:v>Site 15a-Bear Creek Inflow</c:v>
                </c:pt>
              </c:strCache>
            </c:strRef>
          </c:tx>
          <c:cat>
            <c:strRef>
              <c:f>'T &amp; Diss Phosphorus'!$B$14:$M$14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'T &amp; Diss Phosphorus'!$B$16:$M$16</c:f>
              <c:numCache>
                <c:formatCode>0.0</c:formatCode>
                <c:ptCount val="12"/>
                <c:pt idx="0">
                  <c:v>63</c:v>
                </c:pt>
                <c:pt idx="1">
                  <c:v>79</c:v>
                </c:pt>
                <c:pt idx="2">
                  <c:v>70</c:v>
                </c:pt>
                <c:pt idx="3">
                  <c:v>16</c:v>
                </c:pt>
                <c:pt idx="4">
                  <c:v>34</c:v>
                </c:pt>
                <c:pt idx="5">
                  <c:v>46</c:v>
                </c:pt>
                <c:pt idx="6">
                  <c:v>52.5</c:v>
                </c:pt>
                <c:pt idx="7">
                  <c:v>66</c:v>
                </c:pt>
                <c:pt idx="8">
                  <c:v>49.5</c:v>
                </c:pt>
                <c:pt idx="9">
                  <c:v>2</c:v>
                </c:pt>
                <c:pt idx="10">
                  <c:v>17</c:v>
                </c:pt>
                <c:pt idx="11">
                  <c:v>20</c:v>
                </c:pt>
              </c:numCache>
            </c:numRef>
          </c:val>
          <c:smooth val="0"/>
          <c:extLst>
            <c:ext xmlns:c16="http://schemas.microsoft.com/office/drawing/2014/chart" uri="{C3380CC4-5D6E-409C-BE32-E72D297353CC}">
              <c16:uniqueId val="{00000002-37AB-4F58-9A8E-A953B603F59D}"/>
            </c:ext>
          </c:extLst>
        </c:ser>
        <c:ser>
          <c:idx val="1"/>
          <c:order val="3"/>
          <c:tx>
            <c:strRef>
              <c:f>'T &amp; Diss Phosphorus'!$A$20</c:f>
              <c:strCache>
                <c:ptCount val="1"/>
                <c:pt idx="0">
                  <c:v>BCR Water Column Average TP</c:v>
                </c:pt>
              </c:strCache>
            </c:strRef>
          </c:tx>
          <c:val>
            <c:numRef>
              <c:f>'T &amp; Diss Phosphorus'!$B$20:$M$20</c:f>
              <c:numCache>
                <c:formatCode>0.0</c:formatCode>
                <c:ptCount val="12"/>
                <c:pt idx="0">
                  <c:v>25.5</c:v>
                </c:pt>
                <c:pt idx="1">
                  <c:v>18</c:v>
                </c:pt>
                <c:pt idx="2">
                  <c:v>26</c:v>
                </c:pt>
                <c:pt idx="3">
                  <c:v>19</c:v>
                </c:pt>
                <c:pt idx="4">
                  <c:v>45.5</c:v>
                </c:pt>
                <c:pt idx="5">
                  <c:v>53</c:v>
                </c:pt>
                <c:pt idx="6">
                  <c:v>84.75</c:v>
                </c:pt>
                <c:pt idx="7">
                  <c:v>131.25</c:v>
                </c:pt>
                <c:pt idx="8">
                  <c:v>119</c:v>
                </c:pt>
                <c:pt idx="9">
                  <c:v>41.25</c:v>
                </c:pt>
                <c:pt idx="10">
                  <c:v>44.5</c:v>
                </c:pt>
                <c:pt idx="11">
                  <c:v>64.5</c:v>
                </c:pt>
              </c:numCache>
            </c:numRef>
          </c:val>
          <c:smooth val="0"/>
          <c:extLst>
            <c:ext xmlns:c16="http://schemas.microsoft.com/office/drawing/2014/chart" uri="{C3380CC4-5D6E-409C-BE32-E72D297353CC}">
              <c16:uniqueId val="{00000003-37AB-4F58-9A8E-A953B603F59D}"/>
            </c:ext>
          </c:extLst>
        </c:ser>
        <c:dLbls>
          <c:showLegendKey val="0"/>
          <c:showVal val="0"/>
          <c:showCatName val="0"/>
          <c:showSerName val="0"/>
          <c:showPercent val="0"/>
          <c:showBubbleSize val="0"/>
        </c:dLbls>
        <c:marker val="1"/>
        <c:smooth val="0"/>
        <c:axId val="140509952"/>
        <c:axId val="140511488"/>
      </c:lineChart>
      <c:catAx>
        <c:axId val="1405099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100" b="1" i="0" u="none" strike="noStrike" baseline="0">
                <a:solidFill>
                  <a:srgbClr val="000000"/>
                </a:solidFill>
                <a:latin typeface="Arial"/>
                <a:ea typeface="Arial"/>
                <a:cs typeface="Arial"/>
              </a:defRPr>
            </a:pPr>
            <a:endParaRPr lang="en-US"/>
          </a:p>
        </c:txPr>
        <c:crossAx val="140511488"/>
        <c:crosses val="autoZero"/>
        <c:auto val="1"/>
        <c:lblAlgn val="ctr"/>
        <c:lblOffset val="100"/>
        <c:tickLblSkip val="1"/>
        <c:tickMarkSkip val="1"/>
        <c:noMultiLvlLbl val="0"/>
      </c:catAx>
      <c:valAx>
        <c:axId val="140511488"/>
        <c:scaling>
          <c:orientation val="minMax"/>
        </c:scaling>
        <c:delete val="0"/>
        <c:axPos val="l"/>
        <c:majorGridlines>
          <c:spPr>
            <a:ln w="3175">
              <a:solidFill>
                <a:srgbClr val="000000"/>
              </a:solidFill>
              <a:prstDash val="solid"/>
            </a:ln>
          </c:spPr>
        </c:majorGridlines>
        <c:title>
          <c:tx>
            <c:rich>
              <a:bodyPr/>
              <a:lstStyle/>
              <a:p>
                <a:pPr>
                  <a:defRPr sz="1050" b="1" i="0" u="none" strike="noStrike" baseline="0">
                    <a:solidFill>
                      <a:srgbClr val="000000"/>
                    </a:solidFill>
                    <a:latin typeface="Arial"/>
                    <a:ea typeface="Arial"/>
                    <a:cs typeface="Arial"/>
                  </a:defRPr>
                </a:pPr>
                <a:r>
                  <a:rPr lang="en-US"/>
                  <a:t>Total Phosphorus ug/l</a:t>
                </a:r>
              </a:p>
            </c:rich>
          </c:tx>
          <c:layout>
            <c:manualLayout>
              <c:xMode val="edge"/>
              <c:yMode val="edge"/>
              <c:x val="0.13524590163934441"/>
              <c:y val="0.23410599165452728"/>
            </c:manualLayout>
          </c:layout>
          <c:overlay val="0"/>
          <c:spPr>
            <a:noFill/>
            <a:ln w="25400">
              <a:noFill/>
            </a:ln>
          </c:spPr>
        </c:title>
        <c:numFmt formatCode="0.0" sourceLinked="1"/>
        <c:majorTickMark val="none"/>
        <c:minorTickMark val="none"/>
        <c:tickLblPos val="nextTo"/>
        <c:spPr>
          <a:ln w="3175">
            <a:solidFill>
              <a:srgbClr val="000000"/>
            </a:solidFill>
            <a:prstDash val="solid"/>
          </a:ln>
        </c:spPr>
        <c:txPr>
          <a:bodyPr rot="0" vert="horz"/>
          <a:lstStyle/>
          <a:p>
            <a:pPr>
              <a:defRPr sz="850" b="1" i="0" u="none" strike="noStrike" baseline="0">
                <a:solidFill>
                  <a:srgbClr val="000000"/>
                </a:solidFill>
                <a:latin typeface="Arial"/>
                <a:ea typeface="Arial"/>
                <a:cs typeface="Arial"/>
              </a:defRPr>
            </a:pPr>
            <a:endParaRPr lang="en-US"/>
          </a:p>
        </c:txPr>
        <c:crossAx val="140509952"/>
        <c:crosses val="autoZero"/>
        <c:crossBetween val="between"/>
      </c:valAx>
      <c:dTable>
        <c:showHorzBorder val="1"/>
        <c:showVertBorder val="1"/>
        <c:showOutline val="1"/>
        <c:showKeys val="1"/>
        <c:txPr>
          <a:bodyPr/>
          <a:lstStyle/>
          <a:p>
            <a:pPr rtl="0">
              <a:defRPr sz="900">
                <a:latin typeface="+mj-lt"/>
              </a:defRPr>
            </a:pPr>
            <a:endParaRPr lang="en-US"/>
          </a:p>
        </c:txPr>
      </c:dTable>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12700">
          <a:solidFill>
            <a:srgbClr val="808080"/>
          </a:solidFill>
          <a:prstDash val="solid"/>
        </a:ln>
      </c:spPr>
    </c:plotArea>
    <c:plotVisOnly val="1"/>
    <c:dispBlanksAs val="gap"/>
    <c:showDLblsOverMax val="0"/>
  </c:chart>
  <c:spPr>
    <a:gradFill>
      <a:gsLst>
        <a:gs pos="0">
          <a:srgbClr val="92D050"/>
        </a:gs>
        <a:gs pos="50000">
          <a:srgbClr val="4F81BD">
            <a:tint val="44500"/>
            <a:satMod val="160000"/>
          </a:srgbClr>
        </a:gs>
        <a:gs pos="100000">
          <a:srgbClr val="4F81BD">
            <a:tint val="23500"/>
            <a:satMod val="160000"/>
          </a:srgbClr>
        </a:gs>
      </a:gsLst>
      <a:lin ang="5400000" scaled="0"/>
    </a:gradFill>
    <a:ln w="3175">
      <a:no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en-US" sz="1400" b="1"/>
              <a:t>2013 Bear Creek Reservoir Total Phosphorus Trends</a:t>
            </a:r>
          </a:p>
        </c:rich>
      </c:tx>
      <c:layout>
        <c:manualLayout>
          <c:xMode val="edge"/>
          <c:yMode val="edge"/>
          <c:x val="0.35182485815495046"/>
          <c:y val="2.6315789473684216E-2"/>
        </c:manualLayout>
      </c:layout>
      <c:overlay val="0"/>
    </c:title>
    <c:autoTitleDeleted val="0"/>
    <c:plotArea>
      <c:layout>
        <c:manualLayout>
          <c:layoutTarget val="inner"/>
          <c:xMode val="edge"/>
          <c:yMode val="edge"/>
          <c:x val="0.21854409001431746"/>
          <c:y val="0.11874999999999998"/>
          <c:w val="0.75919984788833605"/>
          <c:h val="0.70475367799420063"/>
        </c:manualLayout>
      </c:layout>
      <c:lineChart>
        <c:grouping val="standard"/>
        <c:varyColors val="0"/>
        <c:ser>
          <c:idx val="2"/>
          <c:order val="0"/>
          <c:tx>
            <c:strRef>
              <c:f>'T &amp; Diss Phosphorus'!$A$18</c:f>
              <c:strCache>
                <c:ptCount val="1"/>
                <c:pt idx="0">
                  <c:v>Site 40a-Reservoir - Top TP</c:v>
                </c:pt>
              </c:strCache>
            </c:strRef>
          </c:tx>
          <c:spPr>
            <a:ln w="44450">
              <a:solidFill>
                <a:schemeClr val="accent2">
                  <a:lumMod val="75000"/>
                </a:schemeClr>
              </a:solidFill>
            </a:ln>
          </c:spPr>
          <c:cat>
            <c:strRef>
              <c:f>'T &amp; Diss Phosphorus'!$B$14:$M$14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'T &amp; Diss Phosphorus'!$B$18:$M$18</c:f>
              <c:numCache>
                <c:formatCode>0.0</c:formatCode>
                <c:ptCount val="12"/>
                <c:pt idx="0">
                  <c:v>22</c:v>
                </c:pt>
                <c:pt idx="1">
                  <c:v>15</c:v>
                </c:pt>
                <c:pt idx="2">
                  <c:v>25</c:v>
                </c:pt>
                <c:pt idx="3">
                  <c:v>14</c:v>
                </c:pt>
                <c:pt idx="4">
                  <c:v>35</c:v>
                </c:pt>
                <c:pt idx="5">
                  <c:v>61</c:v>
                </c:pt>
                <c:pt idx="6">
                  <c:v>109</c:v>
                </c:pt>
                <c:pt idx="7">
                  <c:v>125.5</c:v>
                </c:pt>
                <c:pt idx="8">
                  <c:v>152</c:v>
                </c:pt>
                <c:pt idx="9">
                  <c:v>39.5</c:v>
                </c:pt>
                <c:pt idx="10">
                  <c:v>47</c:v>
                </c:pt>
                <c:pt idx="11">
                  <c:v>16</c:v>
                </c:pt>
              </c:numCache>
            </c:numRef>
          </c:val>
          <c:smooth val="0"/>
          <c:extLst>
            <c:ext xmlns:c16="http://schemas.microsoft.com/office/drawing/2014/chart" uri="{C3380CC4-5D6E-409C-BE32-E72D297353CC}">
              <c16:uniqueId val="{00000000-6033-4FB5-BE8A-84A21B7D08D3}"/>
            </c:ext>
          </c:extLst>
        </c:ser>
        <c:ser>
          <c:idx val="3"/>
          <c:order val="1"/>
          <c:tx>
            <c:strRef>
              <c:f>'T &amp; Diss Phosphorus'!$A$19</c:f>
              <c:strCache>
                <c:ptCount val="1"/>
                <c:pt idx="0">
                  <c:v>Site 40c-Reservoir - Lower TP</c:v>
                </c:pt>
              </c:strCache>
            </c:strRef>
          </c:tx>
          <c:spPr>
            <a:ln w="44450"/>
          </c:spPr>
          <c:cat>
            <c:strRef>
              <c:f>'T &amp; Diss Phosphorus'!$B$14:$M$14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'T &amp; Diss Phosphorus'!$B$19:$M$19</c:f>
              <c:numCache>
                <c:formatCode>0.0</c:formatCode>
                <c:ptCount val="12"/>
                <c:pt idx="0">
                  <c:v>29</c:v>
                </c:pt>
                <c:pt idx="1">
                  <c:v>21</c:v>
                </c:pt>
                <c:pt idx="2">
                  <c:v>27</c:v>
                </c:pt>
                <c:pt idx="3">
                  <c:v>24</c:v>
                </c:pt>
                <c:pt idx="4">
                  <c:v>56</c:v>
                </c:pt>
                <c:pt idx="5">
                  <c:v>45</c:v>
                </c:pt>
                <c:pt idx="6">
                  <c:v>60.5</c:v>
                </c:pt>
                <c:pt idx="7">
                  <c:v>137</c:v>
                </c:pt>
                <c:pt idx="8">
                  <c:v>86</c:v>
                </c:pt>
                <c:pt idx="9">
                  <c:v>43</c:v>
                </c:pt>
                <c:pt idx="10">
                  <c:v>42</c:v>
                </c:pt>
                <c:pt idx="11">
                  <c:v>113</c:v>
                </c:pt>
              </c:numCache>
            </c:numRef>
          </c:val>
          <c:smooth val="0"/>
          <c:extLst>
            <c:ext xmlns:c16="http://schemas.microsoft.com/office/drawing/2014/chart" uri="{C3380CC4-5D6E-409C-BE32-E72D297353CC}">
              <c16:uniqueId val="{00000001-6033-4FB5-BE8A-84A21B7D08D3}"/>
            </c:ext>
          </c:extLst>
        </c:ser>
        <c:dLbls>
          <c:showLegendKey val="0"/>
          <c:showVal val="0"/>
          <c:showCatName val="0"/>
          <c:showSerName val="0"/>
          <c:showPercent val="0"/>
          <c:showBubbleSize val="0"/>
        </c:dLbls>
        <c:marker val="1"/>
        <c:smooth val="0"/>
        <c:axId val="140788096"/>
        <c:axId val="140789632"/>
      </c:lineChart>
      <c:catAx>
        <c:axId val="1407880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40789632"/>
        <c:crosses val="autoZero"/>
        <c:auto val="1"/>
        <c:lblAlgn val="ctr"/>
        <c:lblOffset val="100"/>
        <c:tickLblSkip val="1"/>
        <c:tickMarkSkip val="1"/>
        <c:noMultiLvlLbl val="0"/>
      </c:catAx>
      <c:valAx>
        <c:axId val="140789632"/>
        <c:scaling>
          <c:orientation val="minMax"/>
        </c:scaling>
        <c:delete val="0"/>
        <c:axPos val="l"/>
        <c:majorGridlines>
          <c:spPr>
            <a:ln w="3175">
              <a:solidFill>
                <a:srgbClr val="000000"/>
              </a:solidFill>
              <a:prstDash val="solid"/>
            </a:ln>
          </c:spPr>
        </c:majorGridlines>
        <c:title>
          <c:tx>
            <c:rich>
              <a:bodyPr/>
              <a:lstStyle/>
              <a:p>
                <a:pPr>
                  <a:defRPr sz="1100" b="1"/>
                </a:pPr>
                <a:r>
                  <a:rPr lang="en-US" sz="1100" b="1"/>
                  <a:t>Phosphorus, ug/l</a:t>
                </a:r>
              </a:p>
            </c:rich>
          </c:tx>
          <c:layout>
            <c:manualLayout>
              <c:xMode val="edge"/>
              <c:yMode val="edge"/>
              <c:x val="0.12784090909090909"/>
              <c:y val="0.35341302320762702"/>
            </c:manualLayout>
          </c:layout>
          <c:overlay val="0"/>
        </c:title>
        <c:numFmt formatCode="0.0"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40788096"/>
        <c:crosses val="autoZero"/>
        <c:crossBetween val="between"/>
      </c:valAx>
      <c:dTable>
        <c:showHorzBorder val="1"/>
        <c:showVertBorder val="1"/>
        <c:showOutline val="1"/>
        <c:showKeys val="1"/>
        <c:txPr>
          <a:bodyPr/>
          <a:lstStyle/>
          <a:p>
            <a:pPr rtl="0">
              <a:defRPr sz="900" b="1">
                <a:latin typeface="+mj-lt"/>
              </a:defRPr>
            </a:pPr>
            <a:endParaRPr lang="en-US"/>
          </a:p>
        </c:txPr>
      </c:dTable>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12700">
          <a:solidFill>
            <a:srgbClr val="808080"/>
          </a:solidFill>
          <a:prstDash val="solid"/>
        </a:ln>
      </c:spPr>
    </c:plotArea>
    <c:plotVisOnly val="1"/>
    <c:dispBlanksAs val="gap"/>
    <c:showDLblsOverMax val="0"/>
  </c:chart>
  <c:spPr>
    <a:gradFill>
      <a:gsLst>
        <a:gs pos="0">
          <a:srgbClr val="92D050"/>
        </a:gs>
        <a:gs pos="50000">
          <a:srgbClr val="4F81BD">
            <a:tint val="44500"/>
            <a:satMod val="160000"/>
          </a:srgbClr>
        </a:gs>
        <a:gs pos="100000">
          <a:srgbClr val="4F81BD">
            <a:tint val="23500"/>
            <a:satMod val="160000"/>
          </a:srgbClr>
        </a:gs>
      </a:gsLst>
      <a:lin ang="5400000" scaled="0"/>
    </a:gradFill>
    <a:ln w="3175">
      <a:no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portrait"/>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2013 Bear Creek Reservoir TP versus TDP Surface</a:t>
            </a:r>
          </a:p>
        </c:rich>
      </c:tx>
      <c:overlay val="0"/>
    </c:title>
    <c:autoTitleDeleted val="0"/>
    <c:plotArea>
      <c:layout>
        <c:manualLayout>
          <c:layoutTarget val="inner"/>
          <c:xMode val="edge"/>
          <c:yMode val="edge"/>
          <c:x val="0.19934176767229941"/>
          <c:y val="0.13573406146812494"/>
          <c:w val="0.7826806157657259"/>
          <c:h val="0.69801371602743201"/>
        </c:manualLayout>
      </c:layout>
      <c:lineChart>
        <c:grouping val="standard"/>
        <c:varyColors val="0"/>
        <c:ser>
          <c:idx val="0"/>
          <c:order val="0"/>
          <c:tx>
            <c:strRef>
              <c:f>'T &amp; Diss Phosphorus'!$A$18</c:f>
              <c:strCache>
                <c:ptCount val="1"/>
                <c:pt idx="0">
                  <c:v>Site 40a-Reservoir - Top TP</c:v>
                </c:pt>
              </c:strCache>
            </c:strRef>
          </c:tx>
          <c:cat>
            <c:strRef>
              <c:f>'T &amp; Diss Phosphorus'!$B$54:$M$54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'T &amp; Diss Phosphorus'!$B$18:$M$18</c:f>
              <c:numCache>
                <c:formatCode>0.0</c:formatCode>
                <c:ptCount val="12"/>
                <c:pt idx="0">
                  <c:v>22</c:v>
                </c:pt>
                <c:pt idx="1">
                  <c:v>15</c:v>
                </c:pt>
                <c:pt idx="2">
                  <c:v>25</c:v>
                </c:pt>
                <c:pt idx="3">
                  <c:v>14</c:v>
                </c:pt>
                <c:pt idx="4">
                  <c:v>35</c:v>
                </c:pt>
                <c:pt idx="5">
                  <c:v>61</c:v>
                </c:pt>
                <c:pt idx="6">
                  <c:v>109</c:v>
                </c:pt>
                <c:pt idx="7">
                  <c:v>125.5</c:v>
                </c:pt>
                <c:pt idx="8">
                  <c:v>152</c:v>
                </c:pt>
                <c:pt idx="9">
                  <c:v>39.5</c:v>
                </c:pt>
                <c:pt idx="10">
                  <c:v>47</c:v>
                </c:pt>
                <c:pt idx="11">
                  <c:v>16</c:v>
                </c:pt>
              </c:numCache>
            </c:numRef>
          </c:val>
          <c:smooth val="0"/>
          <c:extLst>
            <c:ext xmlns:c16="http://schemas.microsoft.com/office/drawing/2014/chart" uri="{C3380CC4-5D6E-409C-BE32-E72D297353CC}">
              <c16:uniqueId val="{00000000-5AFB-4230-9496-843326AFF744}"/>
            </c:ext>
          </c:extLst>
        </c:ser>
        <c:ser>
          <c:idx val="1"/>
          <c:order val="1"/>
          <c:tx>
            <c:strRef>
              <c:f>'T &amp; Diss Phosphorus'!$A$58</c:f>
              <c:strCache>
                <c:ptCount val="1"/>
                <c:pt idx="0">
                  <c:v>Site 40a-Reservoir - Top TDP</c:v>
                </c:pt>
              </c:strCache>
            </c:strRef>
          </c:tx>
          <c:cat>
            <c:strRef>
              <c:f>'T &amp; Diss Phosphorus'!$B$54:$M$54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'T &amp; Diss Phosphorus'!$B$58:$M$58</c:f>
              <c:numCache>
                <c:formatCode>0</c:formatCode>
                <c:ptCount val="12"/>
                <c:pt idx="0">
                  <c:v>13</c:v>
                </c:pt>
                <c:pt idx="1">
                  <c:v>3</c:v>
                </c:pt>
                <c:pt idx="2">
                  <c:v>4</c:v>
                </c:pt>
                <c:pt idx="3">
                  <c:v>3</c:v>
                </c:pt>
                <c:pt idx="4">
                  <c:v>10</c:v>
                </c:pt>
                <c:pt idx="5">
                  <c:v>27</c:v>
                </c:pt>
                <c:pt idx="6">
                  <c:v>43</c:v>
                </c:pt>
                <c:pt idx="7">
                  <c:v>93.5</c:v>
                </c:pt>
                <c:pt idx="8">
                  <c:v>45</c:v>
                </c:pt>
                <c:pt idx="9">
                  <c:v>26</c:v>
                </c:pt>
                <c:pt idx="10">
                  <c:v>3</c:v>
                </c:pt>
                <c:pt idx="11">
                  <c:v>18</c:v>
                </c:pt>
              </c:numCache>
            </c:numRef>
          </c:val>
          <c:smooth val="0"/>
          <c:extLst>
            <c:ext xmlns:c16="http://schemas.microsoft.com/office/drawing/2014/chart" uri="{C3380CC4-5D6E-409C-BE32-E72D297353CC}">
              <c16:uniqueId val="{00000001-5AFB-4230-9496-843326AFF744}"/>
            </c:ext>
          </c:extLst>
        </c:ser>
        <c:ser>
          <c:idx val="2"/>
          <c:order val="2"/>
          <c:tx>
            <c:strRef>
              <c:f>'T &amp; Diss Phosphorus'!$A$19</c:f>
              <c:strCache>
                <c:ptCount val="1"/>
                <c:pt idx="0">
                  <c:v>Site 40c-Reservoir - Lower TP</c:v>
                </c:pt>
              </c:strCache>
            </c:strRef>
          </c:tx>
          <c:val>
            <c:numRef>
              <c:f>'T &amp; Diss Phosphorus'!$B$19:$M$19</c:f>
              <c:numCache>
                <c:formatCode>0.0</c:formatCode>
                <c:ptCount val="12"/>
                <c:pt idx="0">
                  <c:v>29</c:v>
                </c:pt>
                <c:pt idx="1">
                  <c:v>21</c:v>
                </c:pt>
                <c:pt idx="2">
                  <c:v>27</c:v>
                </c:pt>
                <c:pt idx="3">
                  <c:v>24</c:v>
                </c:pt>
                <c:pt idx="4">
                  <c:v>56</c:v>
                </c:pt>
                <c:pt idx="5">
                  <c:v>45</c:v>
                </c:pt>
                <c:pt idx="6">
                  <c:v>60.5</c:v>
                </c:pt>
                <c:pt idx="7">
                  <c:v>137</c:v>
                </c:pt>
                <c:pt idx="8">
                  <c:v>86</c:v>
                </c:pt>
                <c:pt idx="9">
                  <c:v>43</c:v>
                </c:pt>
                <c:pt idx="10">
                  <c:v>42</c:v>
                </c:pt>
                <c:pt idx="11">
                  <c:v>113</c:v>
                </c:pt>
              </c:numCache>
            </c:numRef>
          </c:val>
          <c:smooth val="0"/>
          <c:extLst>
            <c:ext xmlns:c16="http://schemas.microsoft.com/office/drawing/2014/chart" uri="{C3380CC4-5D6E-409C-BE32-E72D297353CC}">
              <c16:uniqueId val="{00000002-5AFB-4230-9496-843326AFF744}"/>
            </c:ext>
          </c:extLst>
        </c:ser>
        <c:ser>
          <c:idx val="3"/>
          <c:order val="3"/>
          <c:tx>
            <c:strRef>
              <c:f>'T &amp; Diss Phosphorus'!$A$59</c:f>
              <c:strCache>
                <c:ptCount val="1"/>
                <c:pt idx="0">
                  <c:v>Site 40c-Reservoir - Lower TDP</c:v>
                </c:pt>
              </c:strCache>
            </c:strRef>
          </c:tx>
          <c:val>
            <c:numRef>
              <c:f>'T &amp; Diss Phosphorus'!$B$59:$M$59</c:f>
              <c:numCache>
                <c:formatCode>0</c:formatCode>
                <c:ptCount val="12"/>
                <c:pt idx="0">
                  <c:v>21</c:v>
                </c:pt>
                <c:pt idx="1">
                  <c:v>9</c:v>
                </c:pt>
                <c:pt idx="2">
                  <c:v>3</c:v>
                </c:pt>
                <c:pt idx="3">
                  <c:v>2</c:v>
                </c:pt>
                <c:pt idx="4">
                  <c:v>38</c:v>
                </c:pt>
                <c:pt idx="5">
                  <c:v>32</c:v>
                </c:pt>
                <c:pt idx="6">
                  <c:v>35.5</c:v>
                </c:pt>
                <c:pt idx="7">
                  <c:v>102.5</c:v>
                </c:pt>
                <c:pt idx="8">
                  <c:v>38.5</c:v>
                </c:pt>
                <c:pt idx="9">
                  <c:v>16</c:v>
                </c:pt>
                <c:pt idx="10">
                  <c:v>2</c:v>
                </c:pt>
                <c:pt idx="11">
                  <c:v>16</c:v>
                </c:pt>
              </c:numCache>
            </c:numRef>
          </c:val>
          <c:smooth val="0"/>
          <c:extLst>
            <c:ext xmlns:c16="http://schemas.microsoft.com/office/drawing/2014/chart" uri="{C3380CC4-5D6E-409C-BE32-E72D297353CC}">
              <c16:uniqueId val="{00000003-5AFB-4230-9496-843326AFF744}"/>
            </c:ext>
          </c:extLst>
        </c:ser>
        <c:dLbls>
          <c:showLegendKey val="0"/>
          <c:showVal val="0"/>
          <c:showCatName val="0"/>
          <c:showSerName val="0"/>
          <c:showPercent val="0"/>
          <c:showBubbleSize val="0"/>
        </c:dLbls>
        <c:marker val="1"/>
        <c:smooth val="0"/>
        <c:axId val="140944896"/>
        <c:axId val="140946432"/>
      </c:lineChart>
      <c:catAx>
        <c:axId val="140944896"/>
        <c:scaling>
          <c:orientation val="minMax"/>
        </c:scaling>
        <c:delete val="0"/>
        <c:axPos val="b"/>
        <c:numFmt formatCode="General" sourceLinked="0"/>
        <c:majorTickMark val="none"/>
        <c:minorTickMark val="none"/>
        <c:tickLblPos val="nextTo"/>
        <c:crossAx val="140946432"/>
        <c:crosses val="autoZero"/>
        <c:auto val="1"/>
        <c:lblAlgn val="ctr"/>
        <c:lblOffset val="100"/>
        <c:noMultiLvlLbl val="0"/>
      </c:catAx>
      <c:valAx>
        <c:axId val="140946432"/>
        <c:scaling>
          <c:orientation val="minMax"/>
        </c:scaling>
        <c:delete val="0"/>
        <c:axPos val="l"/>
        <c:majorGridlines/>
        <c:minorGridlines/>
        <c:title>
          <c:tx>
            <c:rich>
              <a:bodyPr/>
              <a:lstStyle/>
              <a:p>
                <a:pPr>
                  <a:defRPr sz="1400"/>
                </a:pPr>
                <a:r>
                  <a:rPr lang="en-US" sz="1400"/>
                  <a:t>Phosphorus, ug/l</a:t>
                </a:r>
              </a:p>
            </c:rich>
          </c:tx>
          <c:layout>
            <c:manualLayout>
              <c:xMode val="edge"/>
              <c:yMode val="edge"/>
              <c:x val="0.1162296476711603"/>
              <c:y val="0.37321001235139722"/>
            </c:manualLayout>
          </c:layout>
          <c:overlay val="0"/>
        </c:title>
        <c:numFmt formatCode="0.0" sourceLinked="1"/>
        <c:majorTickMark val="none"/>
        <c:minorTickMark val="none"/>
        <c:tickLblPos val="nextTo"/>
        <c:crossAx val="140944896"/>
        <c:crosses val="autoZero"/>
        <c:crossBetween val="between"/>
      </c:valAx>
      <c:dTable>
        <c:showHorzBorder val="1"/>
        <c:showVertBorder val="1"/>
        <c:showOutline val="1"/>
        <c:showKeys val="1"/>
        <c:txPr>
          <a:bodyPr/>
          <a:lstStyle/>
          <a:p>
            <a:pPr rtl="0">
              <a:defRPr sz="1050" b="1"/>
            </a:pPr>
            <a:endParaRPr lang="en-US"/>
          </a:p>
        </c:txPr>
      </c:dTable>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c:spPr>
    </c:plotArea>
    <c:plotVisOnly val="1"/>
    <c:dispBlanksAs val="gap"/>
    <c:showDLblsOverMax val="0"/>
  </c:chart>
  <c:spPr>
    <a:gradFill>
      <a:gsLst>
        <a:gs pos="0">
          <a:srgbClr val="4F81BD">
            <a:tint val="66000"/>
            <a:satMod val="160000"/>
            <a:alpha val="36000"/>
          </a:srgbClr>
        </a:gs>
        <a:gs pos="50000">
          <a:srgbClr val="4F81BD">
            <a:tint val="44500"/>
            <a:satMod val="160000"/>
          </a:srgbClr>
        </a:gs>
        <a:gs pos="100000">
          <a:srgbClr val="4F81BD">
            <a:tint val="23500"/>
            <a:satMod val="160000"/>
          </a:srgbClr>
        </a:gs>
      </a:gsLst>
      <a:lin ang="5400000" scaled="0"/>
    </a:gradFill>
  </c:spPr>
  <c:printSettings>
    <c:headerFooter/>
    <c:pageMargins b="0.75000000000001465" l="0.70000000000000062" r="0.70000000000000062" t="0.75000000000001465"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mj-lt"/>
                <a:ea typeface="Arial"/>
                <a:cs typeface="Arial"/>
              </a:defRPr>
            </a:pPr>
            <a:r>
              <a:rPr lang="en-US" sz="1200">
                <a:latin typeface="+mj-lt"/>
              </a:rPr>
              <a:t>2013 Bear Creek Watershed Nitrate-Nitrogen</a:t>
            </a:r>
          </a:p>
        </c:rich>
      </c:tx>
      <c:layout>
        <c:manualLayout>
          <c:xMode val="edge"/>
          <c:yMode val="edge"/>
          <c:x val="0.34838709677419388"/>
          <c:y val="3.5842293906810055E-2"/>
        </c:manualLayout>
      </c:layout>
      <c:overlay val="0"/>
      <c:spPr>
        <a:noFill/>
        <a:ln w="25400">
          <a:noFill/>
        </a:ln>
      </c:spPr>
    </c:title>
    <c:autoTitleDeleted val="0"/>
    <c:plotArea>
      <c:layout>
        <c:manualLayout>
          <c:layoutTarget val="inner"/>
          <c:xMode val="edge"/>
          <c:yMode val="edge"/>
          <c:x val="0.10392609699769056"/>
          <c:y val="0.11567361772086182"/>
          <c:w val="0.86951501154734412"/>
          <c:h val="0.75869840789132481"/>
        </c:manualLayout>
      </c:layout>
      <c:lineChart>
        <c:grouping val="standard"/>
        <c:varyColors val="0"/>
        <c:ser>
          <c:idx val="0"/>
          <c:order val="0"/>
          <c:tx>
            <c:strRef>
              <c:f>'Nitrate &amp; T Nitrogen'!$A$5</c:f>
              <c:strCache>
                <c:ptCount val="1"/>
                <c:pt idx="0">
                  <c:v>Site 16a-Turkey Creek Inflow</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cat>
            <c:strRef>
              <c:f>'Nitrate &amp; T Nitrogen'!$B$12:$M$12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'Nitrate &amp; T Nitrogen'!$B$13:$M$13</c:f>
              <c:numCache>
                <c:formatCode>0</c:formatCode>
                <c:ptCount val="12"/>
                <c:pt idx="0">
                  <c:v>766</c:v>
                </c:pt>
                <c:pt idx="1">
                  <c:v>784</c:v>
                </c:pt>
                <c:pt idx="2">
                  <c:v>452</c:v>
                </c:pt>
                <c:pt idx="3">
                  <c:v>253</c:v>
                </c:pt>
                <c:pt idx="4">
                  <c:v>268</c:v>
                </c:pt>
                <c:pt idx="5">
                  <c:v>297</c:v>
                </c:pt>
                <c:pt idx="6">
                  <c:v>344.5</c:v>
                </c:pt>
                <c:pt idx="7">
                  <c:v>621</c:v>
                </c:pt>
                <c:pt idx="8">
                  <c:v>587</c:v>
                </c:pt>
                <c:pt idx="9">
                  <c:v>54</c:v>
                </c:pt>
                <c:pt idx="10">
                  <c:v>174</c:v>
                </c:pt>
                <c:pt idx="11">
                  <c:v>492</c:v>
                </c:pt>
              </c:numCache>
            </c:numRef>
          </c:val>
          <c:smooth val="0"/>
          <c:extLst>
            <c:ext xmlns:c16="http://schemas.microsoft.com/office/drawing/2014/chart" uri="{C3380CC4-5D6E-409C-BE32-E72D297353CC}">
              <c16:uniqueId val="{00000000-87DB-4C20-87CF-EA238F7FCEFD}"/>
            </c:ext>
          </c:extLst>
        </c:ser>
        <c:ser>
          <c:idx val="1"/>
          <c:order val="1"/>
          <c:tx>
            <c:strRef>
              <c:f>'Nitrate &amp; T Nitrogen'!$A$6</c:f>
              <c:strCache>
                <c:ptCount val="1"/>
                <c:pt idx="0">
                  <c:v>Site 15a-Bear Creek Inflow</c:v>
                </c:pt>
              </c:strCache>
            </c:strRef>
          </c:tx>
          <c:spPr>
            <a:ln w="25400">
              <a:solidFill>
                <a:srgbClr val="FF00FF"/>
              </a:solidFill>
              <a:prstDash val="solid"/>
            </a:ln>
          </c:spPr>
          <c:marker>
            <c:symbol val="square"/>
            <c:size val="7"/>
            <c:spPr>
              <a:solidFill>
                <a:srgbClr val="FF00FF"/>
              </a:solidFill>
              <a:ln>
                <a:solidFill>
                  <a:srgbClr val="FF00FF"/>
                </a:solidFill>
                <a:prstDash val="solid"/>
              </a:ln>
            </c:spPr>
          </c:marker>
          <c:cat>
            <c:strRef>
              <c:f>'Nitrate &amp; T Nitrogen'!$B$12:$M$12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'Nitrate &amp; T Nitrogen'!$B$14:$M$14</c:f>
              <c:numCache>
                <c:formatCode>0</c:formatCode>
                <c:ptCount val="12"/>
                <c:pt idx="0">
                  <c:v>2637</c:v>
                </c:pt>
                <c:pt idx="1">
                  <c:v>2411</c:v>
                </c:pt>
                <c:pt idx="2">
                  <c:v>2087</c:v>
                </c:pt>
                <c:pt idx="3">
                  <c:v>544</c:v>
                </c:pt>
                <c:pt idx="4">
                  <c:v>240</c:v>
                </c:pt>
                <c:pt idx="5">
                  <c:v>456</c:v>
                </c:pt>
                <c:pt idx="6">
                  <c:v>425.5</c:v>
                </c:pt>
                <c:pt idx="7">
                  <c:v>290.5</c:v>
                </c:pt>
                <c:pt idx="8">
                  <c:v>311</c:v>
                </c:pt>
                <c:pt idx="9">
                  <c:v>125</c:v>
                </c:pt>
                <c:pt idx="10">
                  <c:v>514</c:v>
                </c:pt>
                <c:pt idx="11">
                  <c:v>472</c:v>
                </c:pt>
              </c:numCache>
            </c:numRef>
          </c:val>
          <c:smooth val="0"/>
          <c:extLst>
            <c:ext xmlns:c16="http://schemas.microsoft.com/office/drawing/2014/chart" uri="{C3380CC4-5D6E-409C-BE32-E72D297353CC}">
              <c16:uniqueId val="{00000001-87DB-4C20-87CF-EA238F7FCEFD}"/>
            </c:ext>
          </c:extLst>
        </c:ser>
        <c:ser>
          <c:idx val="2"/>
          <c:order val="2"/>
          <c:tx>
            <c:strRef>
              <c:f>'Nitrate &amp; T Nitrogen'!$A$7</c:f>
              <c:strCache>
                <c:ptCount val="1"/>
                <c:pt idx="0">
                  <c:v>Site 45-Reservoir Discharge</c:v>
                </c:pt>
              </c:strCache>
            </c:strRef>
          </c:tx>
          <c:spPr>
            <a:ln w="38100">
              <a:solidFill>
                <a:srgbClr val="00B050"/>
              </a:solidFill>
              <a:prstDash val="solid"/>
            </a:ln>
          </c:spPr>
          <c:marker>
            <c:symbol val="triangle"/>
            <c:size val="9"/>
            <c:spPr>
              <a:solidFill>
                <a:srgbClr val="00B050"/>
              </a:solidFill>
              <a:ln>
                <a:solidFill>
                  <a:srgbClr val="FFFF00"/>
                </a:solidFill>
                <a:prstDash val="solid"/>
              </a:ln>
            </c:spPr>
          </c:marker>
          <c:cat>
            <c:strRef>
              <c:f>'Nitrate &amp; T Nitrogen'!$B$12:$M$12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'Nitrate &amp; T Nitrogen'!$B$15:$M$15</c:f>
              <c:numCache>
                <c:formatCode>0</c:formatCode>
                <c:ptCount val="12"/>
                <c:pt idx="0">
                  <c:v>167</c:v>
                </c:pt>
                <c:pt idx="1">
                  <c:v>261</c:v>
                </c:pt>
                <c:pt idx="2">
                  <c:v>168</c:v>
                </c:pt>
                <c:pt idx="3">
                  <c:v>21</c:v>
                </c:pt>
                <c:pt idx="4">
                  <c:v>289</c:v>
                </c:pt>
                <c:pt idx="5">
                  <c:v>161</c:v>
                </c:pt>
                <c:pt idx="6">
                  <c:v>119.5</c:v>
                </c:pt>
                <c:pt idx="7">
                  <c:v>54.5</c:v>
                </c:pt>
                <c:pt idx="8">
                  <c:v>147.5</c:v>
                </c:pt>
                <c:pt idx="9">
                  <c:v>118.5</c:v>
                </c:pt>
                <c:pt idx="10">
                  <c:v>324</c:v>
                </c:pt>
                <c:pt idx="11">
                  <c:v>427</c:v>
                </c:pt>
              </c:numCache>
            </c:numRef>
          </c:val>
          <c:smooth val="0"/>
          <c:extLst>
            <c:ext xmlns:c16="http://schemas.microsoft.com/office/drawing/2014/chart" uri="{C3380CC4-5D6E-409C-BE32-E72D297353CC}">
              <c16:uniqueId val="{00000002-87DB-4C20-87CF-EA238F7FCEFD}"/>
            </c:ext>
          </c:extLst>
        </c:ser>
        <c:ser>
          <c:idx val="3"/>
          <c:order val="3"/>
          <c:tx>
            <c:strRef>
              <c:f>'Nitrate &amp; T Nitrogen'!$A$10</c:f>
              <c:strCache>
                <c:ptCount val="1"/>
                <c:pt idx="0">
                  <c:v>BCR Water Column Average NO3</c:v>
                </c:pt>
              </c:strCache>
            </c:strRef>
          </c:tx>
          <c:spPr>
            <a:ln w="38100"/>
          </c:spPr>
          <c:cat>
            <c:strRef>
              <c:f>'Nitrate &amp; T Nitrogen'!$B$12:$M$12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'Nitrate &amp; T Nitrogen'!$B$18:$M$18</c:f>
              <c:numCache>
                <c:formatCode>0</c:formatCode>
                <c:ptCount val="12"/>
                <c:pt idx="0">
                  <c:v>169.5</c:v>
                </c:pt>
                <c:pt idx="1">
                  <c:v>217.5</c:v>
                </c:pt>
                <c:pt idx="2">
                  <c:v>177.5</c:v>
                </c:pt>
                <c:pt idx="3">
                  <c:v>38.5</c:v>
                </c:pt>
                <c:pt idx="4">
                  <c:v>211</c:v>
                </c:pt>
                <c:pt idx="5">
                  <c:v>152.5</c:v>
                </c:pt>
                <c:pt idx="6">
                  <c:v>107</c:v>
                </c:pt>
                <c:pt idx="7">
                  <c:v>50.75</c:v>
                </c:pt>
                <c:pt idx="8">
                  <c:v>150</c:v>
                </c:pt>
                <c:pt idx="9">
                  <c:v>199.25</c:v>
                </c:pt>
                <c:pt idx="10">
                  <c:v>307</c:v>
                </c:pt>
                <c:pt idx="11">
                  <c:v>410</c:v>
                </c:pt>
              </c:numCache>
            </c:numRef>
          </c:val>
          <c:smooth val="0"/>
          <c:extLst>
            <c:ext xmlns:c16="http://schemas.microsoft.com/office/drawing/2014/chart" uri="{C3380CC4-5D6E-409C-BE32-E72D297353CC}">
              <c16:uniqueId val="{00000003-87DB-4C20-87CF-EA238F7FCEFD}"/>
            </c:ext>
          </c:extLst>
        </c:ser>
        <c:dLbls>
          <c:showLegendKey val="0"/>
          <c:showVal val="0"/>
          <c:showCatName val="0"/>
          <c:showSerName val="0"/>
          <c:showPercent val="0"/>
          <c:showBubbleSize val="0"/>
        </c:dLbls>
        <c:marker val="1"/>
        <c:smooth val="0"/>
        <c:axId val="141093888"/>
        <c:axId val="143139584"/>
      </c:lineChart>
      <c:catAx>
        <c:axId val="1410938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00" b="1" i="0" u="none" strike="noStrike" baseline="0">
                <a:solidFill>
                  <a:srgbClr val="000000"/>
                </a:solidFill>
                <a:latin typeface="Arial"/>
                <a:ea typeface="Arial"/>
                <a:cs typeface="Arial"/>
              </a:defRPr>
            </a:pPr>
            <a:endParaRPr lang="en-US"/>
          </a:p>
        </c:txPr>
        <c:crossAx val="143139584"/>
        <c:crosses val="autoZero"/>
        <c:auto val="1"/>
        <c:lblAlgn val="ctr"/>
        <c:lblOffset val="100"/>
        <c:tickLblSkip val="1"/>
        <c:tickMarkSkip val="1"/>
        <c:noMultiLvlLbl val="0"/>
      </c:catAx>
      <c:valAx>
        <c:axId val="143139584"/>
        <c:scaling>
          <c:orientation val="minMax"/>
        </c:scaling>
        <c:delete val="0"/>
        <c:axPos val="l"/>
        <c:majorGridlines>
          <c:spPr>
            <a:ln w="3175">
              <a:solidFill>
                <a:srgbClr val="000000"/>
              </a:solidFill>
              <a:prstDash val="solid"/>
            </a:ln>
          </c:spPr>
        </c:majorGridlines>
        <c:minorGridlines/>
        <c:title>
          <c:tx>
            <c:rich>
              <a:bodyPr/>
              <a:lstStyle/>
              <a:p>
                <a:pPr>
                  <a:defRPr sz="1400" b="1" i="0" u="none" strike="noStrike" baseline="0">
                    <a:solidFill>
                      <a:srgbClr val="000000"/>
                    </a:solidFill>
                    <a:latin typeface="Arial"/>
                    <a:ea typeface="Arial"/>
                    <a:cs typeface="Arial"/>
                  </a:defRPr>
                </a:pPr>
                <a:r>
                  <a:rPr lang="en-US" sz="1400"/>
                  <a:t>Nitrate ug/l</a:t>
                </a:r>
              </a:p>
            </c:rich>
          </c:tx>
          <c:layout>
            <c:manualLayout>
              <c:xMode val="edge"/>
              <c:yMode val="edge"/>
              <c:x val="1.3901476478970765E-2"/>
              <c:y val="0.3303386842178606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41093888"/>
        <c:crosses val="autoZero"/>
        <c:crossBetween val="between"/>
      </c:valAx>
      <c:spPr>
        <a:gradFill>
          <a:gsLst>
            <a:gs pos="0">
              <a:srgbClr val="4F81BD">
                <a:tint val="66000"/>
                <a:satMod val="160000"/>
                <a:alpha val="51000"/>
              </a:srgbClr>
            </a:gs>
            <a:gs pos="50000">
              <a:srgbClr val="4F81BD">
                <a:tint val="44500"/>
                <a:satMod val="160000"/>
              </a:srgbClr>
            </a:gs>
            <a:gs pos="100000">
              <a:srgbClr val="4F81BD">
                <a:tint val="23500"/>
                <a:satMod val="160000"/>
              </a:srgbClr>
            </a:gs>
          </a:gsLst>
          <a:lin ang="5400000" scaled="0"/>
        </a:gradFill>
        <a:ln w="12700">
          <a:solidFill>
            <a:srgbClr val="808080"/>
          </a:solidFill>
          <a:prstDash val="solid"/>
        </a:ln>
      </c:spPr>
    </c:plotArea>
    <c:legend>
      <c:legendPos val="r"/>
      <c:layout>
        <c:manualLayout>
          <c:xMode val="edge"/>
          <c:yMode val="edge"/>
          <c:x val="0.72098692669375863"/>
          <c:y val="0.1840302414121327"/>
          <c:w val="0.22372397452351667"/>
          <c:h val="0.19599914875505794"/>
        </c:manualLayout>
      </c:layout>
      <c:overlay val="0"/>
      <c:spPr>
        <a:gradFill>
          <a:gsLst>
            <a:gs pos="0">
              <a:srgbClr val="4F81BD">
                <a:tint val="66000"/>
                <a:satMod val="160000"/>
                <a:alpha val="51000"/>
              </a:srgbClr>
            </a:gs>
            <a:gs pos="50000">
              <a:srgbClr val="4F81BD">
                <a:tint val="44500"/>
                <a:satMod val="160000"/>
              </a:srgbClr>
            </a:gs>
            <a:gs pos="100000">
              <a:srgbClr val="4F81BD">
                <a:tint val="23500"/>
                <a:satMod val="160000"/>
              </a:srgbClr>
            </a:gs>
          </a:gsLst>
          <a:lin ang="5400000" scaled="0"/>
        </a:gra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gradFill>
      <a:gsLst>
        <a:gs pos="0">
          <a:srgbClr val="92D050"/>
        </a:gs>
        <a:gs pos="50000">
          <a:srgbClr val="4F81BD">
            <a:tint val="44500"/>
            <a:satMod val="160000"/>
          </a:srgbClr>
        </a:gs>
        <a:gs pos="100000">
          <a:srgbClr val="4F81BD">
            <a:tint val="23500"/>
            <a:satMod val="160000"/>
          </a:srgbClr>
        </a:gs>
      </a:gsLst>
      <a:lin ang="5400000" scaled="0"/>
    </a:gra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portrait"/>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2013 Bear Creek Reservoir Total Nitrogen Trend</a:t>
            </a:r>
          </a:p>
        </c:rich>
      </c:tx>
      <c:layout>
        <c:manualLayout>
          <c:xMode val="edge"/>
          <c:yMode val="edge"/>
          <c:x val="0.43392945045293468"/>
          <c:y val="4.2419669686136134E-2"/>
        </c:manualLayout>
      </c:layout>
      <c:overlay val="0"/>
    </c:title>
    <c:autoTitleDeleted val="0"/>
    <c:plotArea>
      <c:layout>
        <c:manualLayout>
          <c:layoutTarget val="inner"/>
          <c:xMode val="edge"/>
          <c:yMode val="edge"/>
          <c:x val="0.11265507436570428"/>
          <c:y val="0.10884310729815502"/>
          <c:w val="0.8498532074072459"/>
          <c:h val="0.7414448231284837"/>
        </c:manualLayout>
      </c:layout>
      <c:lineChart>
        <c:grouping val="standard"/>
        <c:varyColors val="0"/>
        <c:ser>
          <c:idx val="0"/>
          <c:order val="0"/>
          <c:tx>
            <c:strRef>
              <c:f>'Nitrate &amp; T Nitrogen'!$A$22</c:f>
              <c:strCache>
                <c:ptCount val="1"/>
                <c:pt idx="0">
                  <c:v>Site 16a-Turkey Creek Inflow</c:v>
                </c:pt>
              </c:strCache>
            </c:strRef>
          </c:tx>
          <c:cat>
            <c:strRef>
              <c:f>'Nitrate &amp; T Nitrogen'!$B$29:$M$29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'Nitrate &amp; T Nitrogen'!$B$30:$M$30</c:f>
              <c:numCache>
                <c:formatCode>0</c:formatCode>
                <c:ptCount val="12"/>
                <c:pt idx="0">
                  <c:v>1207</c:v>
                </c:pt>
                <c:pt idx="1">
                  <c:v>947</c:v>
                </c:pt>
                <c:pt idx="2">
                  <c:v>684</c:v>
                </c:pt>
                <c:pt idx="3">
                  <c:v>446</c:v>
                </c:pt>
                <c:pt idx="4">
                  <c:v>529</c:v>
                </c:pt>
                <c:pt idx="5">
                  <c:v>512</c:v>
                </c:pt>
                <c:pt idx="6">
                  <c:v>736.5</c:v>
                </c:pt>
                <c:pt idx="7">
                  <c:v>1149.5</c:v>
                </c:pt>
                <c:pt idx="8">
                  <c:v>837</c:v>
                </c:pt>
                <c:pt idx="9">
                  <c:v>183.5</c:v>
                </c:pt>
                <c:pt idx="10">
                  <c:v>367</c:v>
                </c:pt>
                <c:pt idx="11">
                  <c:v>398</c:v>
                </c:pt>
              </c:numCache>
            </c:numRef>
          </c:val>
          <c:smooth val="0"/>
          <c:extLst>
            <c:ext xmlns:c16="http://schemas.microsoft.com/office/drawing/2014/chart" uri="{C3380CC4-5D6E-409C-BE32-E72D297353CC}">
              <c16:uniqueId val="{00000000-1BA8-4DDC-9AC8-AFBA5F206FDE}"/>
            </c:ext>
          </c:extLst>
        </c:ser>
        <c:ser>
          <c:idx val="1"/>
          <c:order val="1"/>
          <c:tx>
            <c:strRef>
              <c:f>'Nitrate &amp; T Nitrogen'!$A$23</c:f>
              <c:strCache>
                <c:ptCount val="1"/>
                <c:pt idx="0">
                  <c:v>Site 15a-Bear Creek Inflow</c:v>
                </c:pt>
              </c:strCache>
            </c:strRef>
          </c:tx>
          <c:cat>
            <c:strRef>
              <c:f>'Nitrate &amp; T Nitrogen'!$B$29:$M$29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'Nitrate &amp; T Nitrogen'!$B$31:$M$31</c:f>
              <c:numCache>
                <c:formatCode>0</c:formatCode>
                <c:ptCount val="12"/>
                <c:pt idx="0">
                  <c:v>3154</c:v>
                </c:pt>
                <c:pt idx="1">
                  <c:v>2634</c:v>
                </c:pt>
                <c:pt idx="2">
                  <c:v>2870</c:v>
                </c:pt>
                <c:pt idx="3">
                  <c:v>843</c:v>
                </c:pt>
                <c:pt idx="4">
                  <c:v>965</c:v>
                </c:pt>
                <c:pt idx="5">
                  <c:v>654</c:v>
                </c:pt>
                <c:pt idx="6">
                  <c:v>1153</c:v>
                </c:pt>
                <c:pt idx="7">
                  <c:v>923.5</c:v>
                </c:pt>
                <c:pt idx="8">
                  <c:v>601</c:v>
                </c:pt>
                <c:pt idx="9">
                  <c:v>203</c:v>
                </c:pt>
                <c:pt idx="10">
                  <c:v>406</c:v>
                </c:pt>
                <c:pt idx="11">
                  <c:v>683</c:v>
                </c:pt>
              </c:numCache>
            </c:numRef>
          </c:val>
          <c:smooth val="0"/>
          <c:extLst>
            <c:ext xmlns:c16="http://schemas.microsoft.com/office/drawing/2014/chart" uri="{C3380CC4-5D6E-409C-BE32-E72D297353CC}">
              <c16:uniqueId val="{00000001-1BA8-4DDC-9AC8-AFBA5F206FDE}"/>
            </c:ext>
          </c:extLst>
        </c:ser>
        <c:ser>
          <c:idx val="2"/>
          <c:order val="2"/>
          <c:tx>
            <c:strRef>
              <c:f>'Nitrate &amp; T Nitrogen'!$A$24</c:f>
              <c:strCache>
                <c:ptCount val="1"/>
                <c:pt idx="0">
                  <c:v>Site 45-Reservoir Discharge</c:v>
                </c:pt>
              </c:strCache>
            </c:strRef>
          </c:tx>
          <c:cat>
            <c:strRef>
              <c:f>'Nitrate &amp; T Nitrogen'!$B$29:$M$29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'Nitrate &amp; T Nitrogen'!$B$32:$M$32</c:f>
              <c:numCache>
                <c:formatCode>0</c:formatCode>
                <c:ptCount val="12"/>
                <c:pt idx="0">
                  <c:v>1050</c:v>
                </c:pt>
                <c:pt idx="1">
                  <c:v>713</c:v>
                </c:pt>
                <c:pt idx="2">
                  <c:v>621</c:v>
                </c:pt>
                <c:pt idx="3">
                  <c:v>450</c:v>
                </c:pt>
                <c:pt idx="4">
                  <c:v>865</c:v>
                </c:pt>
                <c:pt idx="5">
                  <c:v>697</c:v>
                </c:pt>
                <c:pt idx="6">
                  <c:v>928.5</c:v>
                </c:pt>
                <c:pt idx="7">
                  <c:v>1691</c:v>
                </c:pt>
                <c:pt idx="8">
                  <c:v>621</c:v>
                </c:pt>
                <c:pt idx="9">
                  <c:v>395.5</c:v>
                </c:pt>
                <c:pt idx="10">
                  <c:v>791</c:v>
                </c:pt>
                <c:pt idx="11">
                  <c:v>642</c:v>
                </c:pt>
              </c:numCache>
            </c:numRef>
          </c:val>
          <c:smooth val="0"/>
          <c:extLst>
            <c:ext xmlns:c16="http://schemas.microsoft.com/office/drawing/2014/chart" uri="{C3380CC4-5D6E-409C-BE32-E72D297353CC}">
              <c16:uniqueId val="{00000002-1BA8-4DDC-9AC8-AFBA5F206FDE}"/>
            </c:ext>
          </c:extLst>
        </c:ser>
        <c:ser>
          <c:idx val="3"/>
          <c:order val="3"/>
          <c:tx>
            <c:strRef>
              <c:f>'Nitrate &amp; T Nitrogen'!$A$25</c:f>
              <c:strCache>
                <c:ptCount val="1"/>
                <c:pt idx="0">
                  <c:v>Site 40a-Reservoir - Top</c:v>
                </c:pt>
              </c:strCache>
            </c:strRef>
          </c:tx>
          <c:cat>
            <c:strRef>
              <c:f>'Nitrate &amp; T Nitrogen'!$B$29:$M$29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'Nitrate &amp; T Nitrogen'!$B$33:$M$33</c:f>
              <c:numCache>
                <c:formatCode>0</c:formatCode>
                <c:ptCount val="12"/>
                <c:pt idx="0">
                  <c:v>611</c:v>
                </c:pt>
                <c:pt idx="1">
                  <c:v>578</c:v>
                </c:pt>
                <c:pt idx="2">
                  <c:v>703</c:v>
                </c:pt>
                <c:pt idx="3">
                  <c:v>511</c:v>
                </c:pt>
                <c:pt idx="4">
                  <c:v>838</c:v>
                </c:pt>
                <c:pt idx="5">
                  <c:v>701</c:v>
                </c:pt>
                <c:pt idx="6">
                  <c:v>855</c:v>
                </c:pt>
                <c:pt idx="7">
                  <c:v>1077.5</c:v>
                </c:pt>
                <c:pt idx="8">
                  <c:v>916</c:v>
                </c:pt>
                <c:pt idx="9">
                  <c:v>658.5</c:v>
                </c:pt>
                <c:pt idx="10">
                  <c:v>602</c:v>
                </c:pt>
                <c:pt idx="11">
                  <c:v>774</c:v>
                </c:pt>
              </c:numCache>
            </c:numRef>
          </c:val>
          <c:smooth val="0"/>
          <c:extLst>
            <c:ext xmlns:c16="http://schemas.microsoft.com/office/drawing/2014/chart" uri="{C3380CC4-5D6E-409C-BE32-E72D297353CC}">
              <c16:uniqueId val="{00000003-1BA8-4DDC-9AC8-AFBA5F206FDE}"/>
            </c:ext>
          </c:extLst>
        </c:ser>
        <c:ser>
          <c:idx val="4"/>
          <c:order val="4"/>
          <c:tx>
            <c:strRef>
              <c:f>'Nitrate &amp; T Nitrogen'!$A$26</c:f>
              <c:strCache>
                <c:ptCount val="1"/>
                <c:pt idx="0">
                  <c:v>Site 40c-Reservoir - Lower</c:v>
                </c:pt>
              </c:strCache>
            </c:strRef>
          </c:tx>
          <c:cat>
            <c:strRef>
              <c:f>'Nitrate &amp; T Nitrogen'!$B$29:$M$29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'Nitrate &amp; T Nitrogen'!$B$34:$M$34</c:f>
              <c:numCache>
                <c:formatCode>0</c:formatCode>
                <c:ptCount val="12"/>
                <c:pt idx="0">
                  <c:v>736</c:v>
                </c:pt>
                <c:pt idx="1">
                  <c:v>808</c:v>
                </c:pt>
                <c:pt idx="2">
                  <c:v>673</c:v>
                </c:pt>
                <c:pt idx="3">
                  <c:v>495</c:v>
                </c:pt>
                <c:pt idx="4">
                  <c:v>760</c:v>
                </c:pt>
                <c:pt idx="5">
                  <c:v>637</c:v>
                </c:pt>
                <c:pt idx="6">
                  <c:v>881</c:v>
                </c:pt>
                <c:pt idx="7">
                  <c:v>919.5</c:v>
                </c:pt>
                <c:pt idx="8">
                  <c:v>564.5</c:v>
                </c:pt>
                <c:pt idx="9">
                  <c:v>678</c:v>
                </c:pt>
                <c:pt idx="10">
                  <c:v>633</c:v>
                </c:pt>
                <c:pt idx="11">
                  <c:v>625</c:v>
                </c:pt>
              </c:numCache>
            </c:numRef>
          </c:val>
          <c:smooth val="0"/>
          <c:extLst>
            <c:ext xmlns:c16="http://schemas.microsoft.com/office/drawing/2014/chart" uri="{C3380CC4-5D6E-409C-BE32-E72D297353CC}">
              <c16:uniqueId val="{00000004-1BA8-4DDC-9AC8-AFBA5F206FDE}"/>
            </c:ext>
          </c:extLst>
        </c:ser>
        <c:dLbls>
          <c:showLegendKey val="0"/>
          <c:showVal val="0"/>
          <c:showCatName val="0"/>
          <c:showSerName val="0"/>
          <c:showPercent val="0"/>
          <c:showBubbleSize val="0"/>
        </c:dLbls>
        <c:marker val="1"/>
        <c:smooth val="0"/>
        <c:axId val="143187968"/>
        <c:axId val="143189504"/>
      </c:lineChart>
      <c:catAx>
        <c:axId val="143187968"/>
        <c:scaling>
          <c:orientation val="minMax"/>
        </c:scaling>
        <c:delete val="0"/>
        <c:axPos val="b"/>
        <c:numFmt formatCode="General" sourceLinked="1"/>
        <c:majorTickMark val="out"/>
        <c:minorTickMark val="none"/>
        <c:tickLblPos val="nextTo"/>
        <c:txPr>
          <a:bodyPr/>
          <a:lstStyle/>
          <a:p>
            <a:pPr>
              <a:defRPr sz="1400"/>
            </a:pPr>
            <a:endParaRPr lang="en-US"/>
          </a:p>
        </c:txPr>
        <c:crossAx val="143189504"/>
        <c:crosses val="autoZero"/>
        <c:auto val="1"/>
        <c:lblAlgn val="ctr"/>
        <c:lblOffset val="100"/>
        <c:noMultiLvlLbl val="0"/>
      </c:catAx>
      <c:valAx>
        <c:axId val="143189504"/>
        <c:scaling>
          <c:orientation val="minMax"/>
        </c:scaling>
        <c:delete val="0"/>
        <c:axPos val="l"/>
        <c:majorGridlines/>
        <c:numFmt formatCode="0" sourceLinked="1"/>
        <c:majorTickMark val="out"/>
        <c:minorTickMark val="none"/>
        <c:tickLblPos val="nextTo"/>
        <c:spPr>
          <a:noFill/>
        </c:spPr>
        <c:crossAx val="143187968"/>
        <c:crosses val="autoZero"/>
        <c:crossBetween val="between"/>
      </c:valAx>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c:spPr>
    </c:plotArea>
    <c:legend>
      <c:legendPos val="r"/>
      <c:layout>
        <c:manualLayout>
          <c:xMode val="edge"/>
          <c:yMode val="edge"/>
          <c:x val="0.74971312438085325"/>
          <c:y val="0.12776171780755818"/>
          <c:w val="0.20290858725761773"/>
          <c:h val="0.25185116136250107"/>
        </c:manualLayout>
      </c:layout>
      <c:overlay val="0"/>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a:solidFill>
            <a:srgbClr val="000000"/>
          </a:solidFill>
        </a:ln>
      </c:spPr>
    </c:legend>
    <c:plotVisOnly val="1"/>
    <c:dispBlanksAs val="gap"/>
    <c:showDLblsOverMax val="0"/>
  </c:chart>
  <c:spPr>
    <a:gradFill>
      <a:gsLst>
        <a:gs pos="0">
          <a:srgbClr val="92D050"/>
        </a:gs>
        <a:gs pos="50000">
          <a:srgbClr val="4F81BD">
            <a:tint val="44500"/>
            <a:satMod val="160000"/>
          </a:srgbClr>
        </a:gs>
        <a:gs pos="100000">
          <a:srgbClr val="4F81BD">
            <a:tint val="23500"/>
            <a:satMod val="160000"/>
          </a:srgbClr>
        </a:gs>
      </a:gsLst>
      <a:lin ang="5400000" scaled="0"/>
    </a:gradFill>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Bear Creek Site 15a Inflow Nitrate vs Total Nitrogen</a:t>
            </a:r>
          </a:p>
        </c:rich>
      </c:tx>
      <c:layout>
        <c:manualLayout>
          <c:xMode val="edge"/>
          <c:yMode val="edge"/>
          <c:x val="0.39035223810868092"/>
          <c:y val="5.6603773584905662E-2"/>
        </c:manualLayout>
      </c:layout>
      <c:overlay val="0"/>
    </c:title>
    <c:autoTitleDeleted val="0"/>
    <c:plotArea>
      <c:layout>
        <c:manualLayout>
          <c:layoutTarget val="inner"/>
          <c:xMode val="edge"/>
          <c:yMode val="edge"/>
          <c:x val="0.15538479507120193"/>
          <c:y val="0.15088570296637449"/>
          <c:w val="0.82854595336076864"/>
          <c:h val="0.66994527806666004"/>
        </c:manualLayout>
      </c:layout>
      <c:lineChart>
        <c:grouping val="standard"/>
        <c:varyColors val="0"/>
        <c:ser>
          <c:idx val="0"/>
          <c:order val="0"/>
          <c:tx>
            <c:strRef>
              <c:f>'Nitrate &amp; T Nitrogen'!$B$3:$N$3</c:f>
              <c:strCache>
                <c:ptCount val="13"/>
                <c:pt idx="0">
                  <c:v>Nitrate-Nitrogen (ug/l)</c:v>
                </c:pt>
              </c:strCache>
            </c:strRef>
          </c:tx>
          <c:marker>
            <c:symbol val="none"/>
          </c:marker>
          <c:cat>
            <c:strRef>
              <c:f>'Nitrate &amp; T Nitrogen'!$B$29:$M$29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'Nitrate &amp; T Nitrogen'!$B$14:$M$14</c:f>
              <c:numCache>
                <c:formatCode>0</c:formatCode>
                <c:ptCount val="12"/>
                <c:pt idx="0">
                  <c:v>2637</c:v>
                </c:pt>
                <c:pt idx="1">
                  <c:v>2411</c:v>
                </c:pt>
                <c:pt idx="2">
                  <c:v>2087</c:v>
                </c:pt>
                <c:pt idx="3">
                  <c:v>544</c:v>
                </c:pt>
                <c:pt idx="4">
                  <c:v>240</c:v>
                </c:pt>
                <c:pt idx="5">
                  <c:v>456</c:v>
                </c:pt>
                <c:pt idx="6">
                  <c:v>425.5</c:v>
                </c:pt>
                <c:pt idx="7">
                  <c:v>290.5</c:v>
                </c:pt>
                <c:pt idx="8">
                  <c:v>311</c:v>
                </c:pt>
                <c:pt idx="9">
                  <c:v>125</c:v>
                </c:pt>
                <c:pt idx="10">
                  <c:v>514</c:v>
                </c:pt>
                <c:pt idx="11">
                  <c:v>472</c:v>
                </c:pt>
              </c:numCache>
            </c:numRef>
          </c:val>
          <c:smooth val="0"/>
          <c:extLst>
            <c:ext xmlns:c16="http://schemas.microsoft.com/office/drawing/2014/chart" uri="{C3380CC4-5D6E-409C-BE32-E72D297353CC}">
              <c16:uniqueId val="{00000000-F73A-4CB1-9E06-2F2AD1893BB1}"/>
            </c:ext>
          </c:extLst>
        </c:ser>
        <c:ser>
          <c:idx val="1"/>
          <c:order val="1"/>
          <c:tx>
            <c:strRef>
              <c:f>'Nitrate &amp; T Nitrogen'!$G$20</c:f>
              <c:strCache>
                <c:ptCount val="1"/>
                <c:pt idx="0">
                  <c:v>Total Nitrogen</c:v>
                </c:pt>
              </c:strCache>
            </c:strRef>
          </c:tx>
          <c:marker>
            <c:symbol val="none"/>
          </c:marker>
          <c:cat>
            <c:strRef>
              <c:f>'Nitrate &amp; T Nitrogen'!$B$29:$M$29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'Nitrate &amp; T Nitrogen'!$B$31:$M$31</c:f>
              <c:numCache>
                <c:formatCode>0</c:formatCode>
                <c:ptCount val="12"/>
                <c:pt idx="0">
                  <c:v>3154</c:v>
                </c:pt>
                <c:pt idx="1">
                  <c:v>2634</c:v>
                </c:pt>
                <c:pt idx="2">
                  <c:v>2870</c:v>
                </c:pt>
                <c:pt idx="3">
                  <c:v>843</c:v>
                </c:pt>
                <c:pt idx="4">
                  <c:v>965</c:v>
                </c:pt>
                <c:pt idx="5">
                  <c:v>654</c:v>
                </c:pt>
                <c:pt idx="6">
                  <c:v>1153</c:v>
                </c:pt>
                <c:pt idx="7">
                  <c:v>923.5</c:v>
                </c:pt>
                <c:pt idx="8">
                  <c:v>601</c:v>
                </c:pt>
                <c:pt idx="9">
                  <c:v>203</c:v>
                </c:pt>
                <c:pt idx="10">
                  <c:v>406</c:v>
                </c:pt>
                <c:pt idx="11">
                  <c:v>683</c:v>
                </c:pt>
              </c:numCache>
            </c:numRef>
          </c:val>
          <c:smooth val="0"/>
          <c:extLst>
            <c:ext xmlns:c16="http://schemas.microsoft.com/office/drawing/2014/chart" uri="{C3380CC4-5D6E-409C-BE32-E72D297353CC}">
              <c16:uniqueId val="{00000001-F73A-4CB1-9E06-2F2AD1893BB1}"/>
            </c:ext>
          </c:extLst>
        </c:ser>
        <c:dLbls>
          <c:showLegendKey val="0"/>
          <c:showVal val="0"/>
          <c:showCatName val="0"/>
          <c:showSerName val="0"/>
          <c:showPercent val="0"/>
          <c:showBubbleSize val="0"/>
        </c:dLbls>
        <c:smooth val="0"/>
        <c:axId val="143419264"/>
        <c:axId val="143420800"/>
      </c:lineChart>
      <c:catAx>
        <c:axId val="143419264"/>
        <c:scaling>
          <c:orientation val="minMax"/>
        </c:scaling>
        <c:delete val="0"/>
        <c:axPos val="b"/>
        <c:numFmt formatCode="General" sourceLinked="1"/>
        <c:majorTickMark val="none"/>
        <c:minorTickMark val="none"/>
        <c:tickLblPos val="nextTo"/>
        <c:crossAx val="143420800"/>
        <c:crosses val="autoZero"/>
        <c:auto val="1"/>
        <c:lblAlgn val="ctr"/>
        <c:lblOffset val="100"/>
        <c:tickLblSkip val="30"/>
        <c:noMultiLvlLbl val="0"/>
      </c:catAx>
      <c:valAx>
        <c:axId val="143420800"/>
        <c:scaling>
          <c:orientation val="minMax"/>
        </c:scaling>
        <c:delete val="0"/>
        <c:axPos val="l"/>
        <c:majorGridlines/>
        <c:title>
          <c:tx>
            <c:rich>
              <a:bodyPr/>
              <a:lstStyle/>
              <a:p>
                <a:pPr>
                  <a:defRPr sz="1200"/>
                </a:pPr>
                <a:r>
                  <a:rPr lang="en-US" sz="1200"/>
                  <a:t>Nitrogen, ug/l</a:t>
                </a:r>
              </a:p>
            </c:rich>
          </c:tx>
          <c:layout>
            <c:manualLayout>
              <c:xMode val="edge"/>
              <c:yMode val="edge"/>
              <c:x val="8.836582540903444E-2"/>
              <c:y val="0.29929381468825833"/>
            </c:manualLayout>
          </c:layout>
          <c:overlay val="0"/>
        </c:title>
        <c:numFmt formatCode="0" sourceLinked="1"/>
        <c:majorTickMark val="none"/>
        <c:minorTickMark val="none"/>
        <c:tickLblPos val="nextTo"/>
        <c:crossAx val="143419264"/>
        <c:crosses val="autoZero"/>
        <c:crossBetween val="between"/>
      </c:valAx>
      <c:dTable>
        <c:showHorzBorder val="1"/>
        <c:showVertBorder val="1"/>
        <c:showOutline val="1"/>
        <c:showKeys val="1"/>
        <c:txPr>
          <a:bodyPr/>
          <a:lstStyle/>
          <a:p>
            <a:pPr rtl="0">
              <a:defRPr sz="1100"/>
            </a:pPr>
            <a:endParaRPr lang="en-US"/>
          </a:p>
        </c:txPr>
      </c:dTable>
      <c:spPr>
        <a:gradFill>
          <a:gsLst>
            <a:gs pos="0">
              <a:srgbClr val="9BBB59">
                <a:lumMod val="75000"/>
              </a:srgbClr>
            </a:gs>
            <a:gs pos="50000">
              <a:srgbClr val="4F81BD">
                <a:tint val="44500"/>
                <a:satMod val="160000"/>
              </a:srgbClr>
            </a:gs>
            <a:gs pos="100000">
              <a:srgbClr val="4F81BD">
                <a:tint val="23500"/>
                <a:satMod val="160000"/>
              </a:srgbClr>
            </a:gs>
          </a:gsLst>
          <a:lin ang="5400000" scaled="0"/>
        </a:gradFill>
      </c:spPr>
    </c:plotArea>
    <c:plotVisOnly val="1"/>
    <c:dispBlanksAs val="gap"/>
    <c:showDLblsOverMax val="0"/>
  </c:chart>
  <c:spPr>
    <a:gradFill>
      <a:gsLst>
        <a:gs pos="0">
          <a:srgbClr val="4F81BD">
            <a:tint val="66000"/>
            <a:satMod val="160000"/>
            <a:alpha val="36000"/>
          </a:srgbClr>
        </a:gs>
        <a:gs pos="50000">
          <a:srgbClr val="4F81BD">
            <a:tint val="44500"/>
            <a:satMod val="160000"/>
          </a:srgbClr>
        </a:gs>
        <a:gs pos="100000">
          <a:srgbClr val="4F81BD">
            <a:tint val="23500"/>
            <a:satMod val="160000"/>
          </a:srgbClr>
        </a:gs>
      </a:gsLst>
      <a:lin ang="5400000" scaled="0"/>
    </a:gradFill>
  </c:spPr>
  <c:txPr>
    <a:bodyPr/>
    <a:lstStyle/>
    <a:p>
      <a:pPr>
        <a:defRPr sz="1050"/>
      </a:pPr>
      <a:endParaRPr lang="en-US"/>
    </a:p>
  </c:txPr>
  <c:printSettings>
    <c:headerFooter/>
    <c:pageMargins b="0.75000000000001465" l="0.70000000000000062" r="0.70000000000000062" t="0.75000000000001465" header="0.30000000000000032" footer="0.30000000000000032"/>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Bear Reservoir Nitrate vs Total Nitrogen, water column Average</a:t>
            </a:r>
          </a:p>
        </c:rich>
      </c:tx>
      <c:layout>
        <c:manualLayout>
          <c:xMode val="edge"/>
          <c:yMode val="edge"/>
          <c:x val="0.39304085574209058"/>
          <c:y val="7.0967741935484024E-2"/>
        </c:manualLayout>
      </c:layout>
      <c:overlay val="0"/>
    </c:title>
    <c:autoTitleDeleted val="0"/>
    <c:plotArea>
      <c:layout>
        <c:manualLayout>
          <c:layoutTarget val="inner"/>
          <c:xMode val="edge"/>
          <c:yMode val="edge"/>
          <c:x val="0.22716234652114844"/>
          <c:y val="0.13573406146812494"/>
          <c:w val="0.7527303624580618"/>
          <c:h val="0.6745626111252222"/>
        </c:manualLayout>
      </c:layout>
      <c:lineChart>
        <c:grouping val="standard"/>
        <c:varyColors val="0"/>
        <c:ser>
          <c:idx val="0"/>
          <c:order val="0"/>
          <c:tx>
            <c:strRef>
              <c:f>'Nitrate &amp; T Nitrogen'!$A$10</c:f>
              <c:strCache>
                <c:ptCount val="1"/>
                <c:pt idx="0">
                  <c:v>BCR Water Column Average NO3</c:v>
                </c:pt>
              </c:strCache>
            </c:strRef>
          </c:tx>
          <c:marker>
            <c:symbol val="none"/>
          </c:marker>
          <c:cat>
            <c:strRef>
              <c:f>'Nitrate &amp; T Nitrogen'!$B$29:$M$29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'Nitrate &amp; T Nitrogen'!$B$18:$M$18</c:f>
              <c:numCache>
                <c:formatCode>0</c:formatCode>
                <c:ptCount val="12"/>
                <c:pt idx="0">
                  <c:v>169.5</c:v>
                </c:pt>
                <c:pt idx="1">
                  <c:v>217.5</c:v>
                </c:pt>
                <c:pt idx="2">
                  <c:v>177.5</c:v>
                </c:pt>
                <c:pt idx="3">
                  <c:v>38.5</c:v>
                </c:pt>
                <c:pt idx="4">
                  <c:v>211</c:v>
                </c:pt>
                <c:pt idx="5">
                  <c:v>152.5</c:v>
                </c:pt>
                <c:pt idx="6">
                  <c:v>107</c:v>
                </c:pt>
                <c:pt idx="7">
                  <c:v>50.75</c:v>
                </c:pt>
                <c:pt idx="8">
                  <c:v>150</c:v>
                </c:pt>
                <c:pt idx="9">
                  <c:v>199.25</c:v>
                </c:pt>
                <c:pt idx="10">
                  <c:v>307</c:v>
                </c:pt>
                <c:pt idx="11">
                  <c:v>410</c:v>
                </c:pt>
              </c:numCache>
            </c:numRef>
          </c:val>
          <c:smooth val="0"/>
          <c:extLst>
            <c:ext xmlns:c16="http://schemas.microsoft.com/office/drawing/2014/chart" uri="{C3380CC4-5D6E-409C-BE32-E72D297353CC}">
              <c16:uniqueId val="{00000000-A3D2-4C94-BADA-0C0DF5D98EBE}"/>
            </c:ext>
          </c:extLst>
        </c:ser>
        <c:ser>
          <c:idx val="1"/>
          <c:order val="1"/>
          <c:tx>
            <c:strRef>
              <c:f>'Nitrate &amp; T Nitrogen'!$A$27</c:f>
              <c:strCache>
                <c:ptCount val="1"/>
                <c:pt idx="0">
                  <c:v>BCR Water Column Average TN</c:v>
                </c:pt>
              </c:strCache>
            </c:strRef>
          </c:tx>
          <c:marker>
            <c:symbol val="none"/>
          </c:marker>
          <c:cat>
            <c:strRef>
              <c:f>'Nitrate &amp; T Nitrogen'!$B$29:$M$29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'Nitrate &amp; T Nitrogen'!$B$35:$M$35</c:f>
              <c:numCache>
                <c:formatCode>0</c:formatCode>
                <c:ptCount val="12"/>
                <c:pt idx="0">
                  <c:v>673.5</c:v>
                </c:pt>
                <c:pt idx="1">
                  <c:v>693</c:v>
                </c:pt>
                <c:pt idx="2">
                  <c:v>688</c:v>
                </c:pt>
                <c:pt idx="3">
                  <c:v>503</c:v>
                </c:pt>
                <c:pt idx="4">
                  <c:v>799</c:v>
                </c:pt>
                <c:pt idx="5">
                  <c:v>669</c:v>
                </c:pt>
                <c:pt idx="6">
                  <c:v>868</c:v>
                </c:pt>
                <c:pt idx="7">
                  <c:v>998.5</c:v>
                </c:pt>
                <c:pt idx="8">
                  <c:v>765.25</c:v>
                </c:pt>
                <c:pt idx="9">
                  <c:v>719</c:v>
                </c:pt>
                <c:pt idx="10">
                  <c:v>617.5</c:v>
                </c:pt>
                <c:pt idx="11">
                  <c:v>699.5</c:v>
                </c:pt>
              </c:numCache>
            </c:numRef>
          </c:val>
          <c:smooth val="0"/>
          <c:extLst>
            <c:ext xmlns:c16="http://schemas.microsoft.com/office/drawing/2014/chart" uri="{C3380CC4-5D6E-409C-BE32-E72D297353CC}">
              <c16:uniqueId val="{00000001-A3D2-4C94-BADA-0C0DF5D98EBE}"/>
            </c:ext>
          </c:extLst>
        </c:ser>
        <c:dLbls>
          <c:showLegendKey val="0"/>
          <c:showVal val="0"/>
          <c:showCatName val="0"/>
          <c:showSerName val="0"/>
          <c:showPercent val="0"/>
          <c:showBubbleSize val="0"/>
        </c:dLbls>
        <c:smooth val="0"/>
        <c:axId val="143603200"/>
        <c:axId val="143604736"/>
      </c:lineChart>
      <c:catAx>
        <c:axId val="143603200"/>
        <c:scaling>
          <c:orientation val="minMax"/>
        </c:scaling>
        <c:delete val="0"/>
        <c:axPos val="b"/>
        <c:numFmt formatCode="General" sourceLinked="1"/>
        <c:majorTickMark val="none"/>
        <c:minorTickMark val="none"/>
        <c:tickLblPos val="nextTo"/>
        <c:crossAx val="143604736"/>
        <c:crosses val="autoZero"/>
        <c:auto val="1"/>
        <c:lblAlgn val="ctr"/>
        <c:lblOffset val="100"/>
        <c:noMultiLvlLbl val="0"/>
      </c:catAx>
      <c:valAx>
        <c:axId val="143604736"/>
        <c:scaling>
          <c:orientation val="minMax"/>
        </c:scaling>
        <c:delete val="0"/>
        <c:axPos val="l"/>
        <c:majorGridlines/>
        <c:title>
          <c:tx>
            <c:rich>
              <a:bodyPr/>
              <a:lstStyle/>
              <a:p>
                <a:pPr>
                  <a:defRPr sz="1100">
                    <a:latin typeface="Arial" pitchFamily="34" charset="0"/>
                    <a:cs typeface="Arial" pitchFamily="34" charset="0"/>
                  </a:defRPr>
                </a:pPr>
                <a:r>
                  <a:rPr lang="en-US" sz="1100">
                    <a:latin typeface="Arial" pitchFamily="34" charset="0"/>
                    <a:cs typeface="Arial" pitchFamily="34" charset="0"/>
                  </a:rPr>
                  <a:t>Nitrogen, ug/l</a:t>
                </a:r>
              </a:p>
            </c:rich>
          </c:tx>
          <c:layout>
            <c:manualLayout>
              <c:xMode val="edge"/>
              <c:yMode val="edge"/>
              <c:x val="0.15849056603773662"/>
              <c:y val="0.27158801117602238"/>
            </c:manualLayout>
          </c:layout>
          <c:overlay val="0"/>
        </c:title>
        <c:numFmt formatCode="0" sourceLinked="1"/>
        <c:majorTickMark val="none"/>
        <c:minorTickMark val="none"/>
        <c:tickLblPos val="nextTo"/>
        <c:crossAx val="143603200"/>
        <c:crosses val="autoZero"/>
        <c:crossBetween val="between"/>
      </c:valAx>
      <c:dTable>
        <c:showHorzBorder val="1"/>
        <c:showVertBorder val="1"/>
        <c:showOutline val="1"/>
        <c:showKeys val="1"/>
        <c:txPr>
          <a:bodyPr/>
          <a:lstStyle/>
          <a:p>
            <a:pPr rtl="0">
              <a:defRPr sz="1100" b="1"/>
            </a:pPr>
            <a:endParaRPr lang="en-US"/>
          </a:p>
        </c:txPr>
      </c:dTable>
      <c:spPr>
        <a:gradFill>
          <a:gsLst>
            <a:gs pos="0">
              <a:srgbClr val="9BBB59">
                <a:lumMod val="75000"/>
              </a:srgbClr>
            </a:gs>
            <a:gs pos="50000">
              <a:srgbClr val="4F81BD">
                <a:tint val="44500"/>
                <a:satMod val="160000"/>
              </a:srgbClr>
            </a:gs>
            <a:gs pos="100000">
              <a:srgbClr val="4F81BD">
                <a:tint val="23500"/>
                <a:satMod val="160000"/>
              </a:srgbClr>
            </a:gs>
          </a:gsLst>
          <a:lin ang="5400000" scaled="0"/>
        </a:gradFill>
      </c:spPr>
    </c:plotArea>
    <c:plotVisOnly val="1"/>
    <c:dispBlanksAs val="gap"/>
    <c:showDLblsOverMax val="0"/>
  </c:chart>
  <c:spPr>
    <a:gradFill>
      <a:gsLst>
        <a:gs pos="0">
          <a:srgbClr val="4F81BD">
            <a:tint val="66000"/>
            <a:satMod val="160000"/>
            <a:alpha val="36000"/>
          </a:srgbClr>
        </a:gs>
        <a:gs pos="50000">
          <a:srgbClr val="4F81BD">
            <a:tint val="44500"/>
            <a:satMod val="160000"/>
          </a:srgbClr>
        </a:gs>
        <a:gs pos="100000">
          <a:srgbClr val="4F81BD">
            <a:tint val="23500"/>
            <a:satMod val="160000"/>
          </a:srgbClr>
        </a:gs>
      </a:gsLst>
      <a:lin ang="5400000" scaled="0"/>
    </a:gradFill>
  </c:spPr>
  <c:printSettings>
    <c:headerFooter/>
    <c:pageMargins b="0.75000000000001465" l="0.70000000000000062" r="0.70000000000000062" t="0.75000000000001465" header="0.30000000000000032" footer="0.30000000000000032"/>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5" b="1" i="0" u="none" strike="noStrike" baseline="0">
                <a:solidFill>
                  <a:srgbClr val="000000"/>
                </a:solidFill>
                <a:latin typeface="+mj-lt"/>
                <a:ea typeface="Arial"/>
                <a:cs typeface="Arial"/>
              </a:defRPr>
            </a:pPr>
            <a:r>
              <a:rPr lang="en-US" sz="1200">
                <a:latin typeface="+mj-lt"/>
              </a:rPr>
              <a:t>2013 Total Suspended Sediments</a:t>
            </a:r>
          </a:p>
        </c:rich>
      </c:tx>
      <c:layout>
        <c:manualLayout>
          <c:xMode val="edge"/>
          <c:yMode val="edge"/>
          <c:x val="0.47888741721854577"/>
          <c:y val="4.0624403081690262E-2"/>
        </c:manualLayout>
      </c:layout>
      <c:overlay val="0"/>
      <c:spPr>
        <a:noFill/>
        <a:ln w="25400">
          <a:noFill/>
        </a:ln>
      </c:spPr>
    </c:title>
    <c:autoTitleDeleted val="0"/>
    <c:plotArea>
      <c:layout>
        <c:manualLayout>
          <c:layoutTarget val="inner"/>
          <c:xMode val="edge"/>
          <c:yMode val="edge"/>
          <c:x val="0.22229403973510012"/>
          <c:y val="9.9831483328734857E-2"/>
          <c:w val="0.74905430463576161"/>
          <c:h val="0.68267610416622437"/>
        </c:manualLayout>
      </c:layout>
      <c:lineChart>
        <c:grouping val="standard"/>
        <c:varyColors val="0"/>
        <c:ser>
          <c:idx val="0"/>
          <c:order val="0"/>
          <c:tx>
            <c:strRef>
              <c:f>TSS!$A$16</c:f>
              <c:strCache>
                <c:ptCount val="1"/>
                <c:pt idx="0">
                  <c:v>Site 16a-Turkey Creek Inflow</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cat>
            <c:strRef>
              <c:f>TSS!$B$15:$M$15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TSS!$B$16:$M$16</c:f>
              <c:numCache>
                <c:formatCode>0.0</c:formatCode>
                <c:ptCount val="12"/>
                <c:pt idx="0">
                  <c:v>27.2</c:v>
                </c:pt>
                <c:pt idx="1">
                  <c:v>57</c:v>
                </c:pt>
                <c:pt idx="2">
                  <c:v>6.4</c:v>
                </c:pt>
                <c:pt idx="3">
                  <c:v>6.8</c:v>
                </c:pt>
                <c:pt idx="4">
                  <c:v>15</c:v>
                </c:pt>
                <c:pt idx="5">
                  <c:v>4</c:v>
                </c:pt>
                <c:pt idx="6">
                  <c:v>6.75</c:v>
                </c:pt>
                <c:pt idx="7">
                  <c:v>20.6</c:v>
                </c:pt>
                <c:pt idx="8">
                  <c:v>20.299999999999997</c:v>
                </c:pt>
                <c:pt idx="9">
                  <c:v>4</c:v>
                </c:pt>
                <c:pt idx="10">
                  <c:v>4</c:v>
                </c:pt>
                <c:pt idx="11">
                  <c:v>4</c:v>
                </c:pt>
              </c:numCache>
            </c:numRef>
          </c:val>
          <c:smooth val="0"/>
          <c:extLst>
            <c:ext xmlns:c16="http://schemas.microsoft.com/office/drawing/2014/chart" uri="{C3380CC4-5D6E-409C-BE32-E72D297353CC}">
              <c16:uniqueId val="{00000000-66F5-40AD-AE26-D9C9D450C55E}"/>
            </c:ext>
          </c:extLst>
        </c:ser>
        <c:ser>
          <c:idx val="1"/>
          <c:order val="1"/>
          <c:tx>
            <c:strRef>
              <c:f>TSS!$A$17</c:f>
              <c:strCache>
                <c:ptCount val="1"/>
                <c:pt idx="0">
                  <c:v>Site 15a-Bear Creek Inflow</c:v>
                </c:pt>
              </c:strCache>
            </c:strRef>
          </c:tx>
          <c:spPr>
            <a:ln w="25400">
              <a:solidFill>
                <a:srgbClr val="FF00FF"/>
              </a:solidFill>
              <a:prstDash val="solid"/>
            </a:ln>
          </c:spPr>
          <c:marker>
            <c:symbol val="square"/>
            <c:size val="7"/>
            <c:spPr>
              <a:solidFill>
                <a:srgbClr val="FF00FF"/>
              </a:solidFill>
              <a:ln>
                <a:solidFill>
                  <a:srgbClr val="FF00FF"/>
                </a:solidFill>
                <a:prstDash val="solid"/>
              </a:ln>
            </c:spPr>
          </c:marker>
          <c:cat>
            <c:strRef>
              <c:f>TSS!$B$15:$M$15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TSS!$B$17:$M$17</c:f>
              <c:numCache>
                <c:formatCode>0.0</c:formatCode>
                <c:ptCount val="12"/>
                <c:pt idx="0">
                  <c:v>5.8</c:v>
                </c:pt>
                <c:pt idx="1">
                  <c:v>6.6</c:v>
                </c:pt>
                <c:pt idx="2">
                  <c:v>12.4</c:v>
                </c:pt>
                <c:pt idx="3">
                  <c:v>8</c:v>
                </c:pt>
                <c:pt idx="4">
                  <c:v>14.6</c:v>
                </c:pt>
                <c:pt idx="5">
                  <c:v>12</c:v>
                </c:pt>
                <c:pt idx="6">
                  <c:v>14.899999999999999</c:v>
                </c:pt>
                <c:pt idx="7">
                  <c:v>26.65</c:v>
                </c:pt>
                <c:pt idx="8">
                  <c:v>15.3</c:v>
                </c:pt>
                <c:pt idx="9">
                  <c:v>4</c:v>
                </c:pt>
                <c:pt idx="10">
                  <c:v>4.8</c:v>
                </c:pt>
                <c:pt idx="11">
                  <c:v>4.5999999999999996</c:v>
                </c:pt>
              </c:numCache>
            </c:numRef>
          </c:val>
          <c:smooth val="0"/>
          <c:extLst>
            <c:ext xmlns:c16="http://schemas.microsoft.com/office/drawing/2014/chart" uri="{C3380CC4-5D6E-409C-BE32-E72D297353CC}">
              <c16:uniqueId val="{00000001-66F5-40AD-AE26-D9C9D450C55E}"/>
            </c:ext>
          </c:extLst>
        </c:ser>
        <c:ser>
          <c:idx val="2"/>
          <c:order val="2"/>
          <c:tx>
            <c:strRef>
              <c:f>TSS!$A$21</c:f>
              <c:strCache>
                <c:ptCount val="1"/>
                <c:pt idx="0">
                  <c:v>BCR Water Column Average </c:v>
                </c:pt>
              </c:strCache>
            </c:strRef>
          </c:tx>
          <c:spPr>
            <a:ln w="25400">
              <a:solidFill>
                <a:schemeClr val="tx1"/>
              </a:solidFill>
              <a:prstDash val="solid"/>
            </a:ln>
          </c:spPr>
          <c:marker>
            <c:symbol val="triangle"/>
            <c:size val="7"/>
            <c:spPr>
              <a:solidFill>
                <a:schemeClr val="tx1"/>
              </a:solidFill>
              <a:ln>
                <a:solidFill>
                  <a:srgbClr val="FFFF00"/>
                </a:solidFill>
                <a:prstDash val="solid"/>
              </a:ln>
            </c:spPr>
          </c:marker>
          <c:cat>
            <c:strRef>
              <c:f>TSS!$B$15:$M$15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TSS!$B$21:$M$21</c:f>
              <c:numCache>
                <c:formatCode>0.0</c:formatCode>
                <c:ptCount val="12"/>
                <c:pt idx="0">
                  <c:v>4</c:v>
                </c:pt>
                <c:pt idx="1">
                  <c:v>4</c:v>
                </c:pt>
                <c:pt idx="2">
                  <c:v>7.5</c:v>
                </c:pt>
                <c:pt idx="3">
                  <c:v>6.3999999999999995</c:v>
                </c:pt>
                <c:pt idx="4">
                  <c:v>5.1999999999999993</c:v>
                </c:pt>
                <c:pt idx="5">
                  <c:v>4.8</c:v>
                </c:pt>
                <c:pt idx="6">
                  <c:v>7.9</c:v>
                </c:pt>
                <c:pt idx="7">
                  <c:v>8.25</c:v>
                </c:pt>
                <c:pt idx="8">
                  <c:v>12.25</c:v>
                </c:pt>
                <c:pt idx="9">
                  <c:v>24.95</c:v>
                </c:pt>
                <c:pt idx="10">
                  <c:v>9.5</c:v>
                </c:pt>
                <c:pt idx="11">
                  <c:v>35.700000000000003</c:v>
                </c:pt>
              </c:numCache>
            </c:numRef>
          </c:val>
          <c:smooth val="0"/>
          <c:extLst>
            <c:ext xmlns:c16="http://schemas.microsoft.com/office/drawing/2014/chart" uri="{C3380CC4-5D6E-409C-BE32-E72D297353CC}">
              <c16:uniqueId val="{00000002-66F5-40AD-AE26-D9C9D450C55E}"/>
            </c:ext>
          </c:extLst>
        </c:ser>
        <c:ser>
          <c:idx val="3"/>
          <c:order val="3"/>
          <c:tx>
            <c:strRef>
              <c:f>TSS!$A$18</c:f>
              <c:strCache>
                <c:ptCount val="1"/>
                <c:pt idx="0">
                  <c:v>Site 45-Reservoir Discharge</c:v>
                </c:pt>
              </c:strCache>
            </c:strRef>
          </c:tx>
          <c:val>
            <c:numRef>
              <c:f>TSS!$B$18:$M$18</c:f>
              <c:numCache>
                <c:formatCode>0.0</c:formatCode>
                <c:ptCount val="12"/>
                <c:pt idx="0">
                  <c:v>7.6</c:v>
                </c:pt>
                <c:pt idx="1">
                  <c:v>7</c:v>
                </c:pt>
                <c:pt idx="2">
                  <c:v>8.1999999999999993</c:v>
                </c:pt>
                <c:pt idx="3">
                  <c:v>5.6</c:v>
                </c:pt>
                <c:pt idx="4">
                  <c:v>5.4</c:v>
                </c:pt>
                <c:pt idx="5">
                  <c:v>9.1999999999999993</c:v>
                </c:pt>
                <c:pt idx="6">
                  <c:v>16.600000000000001</c:v>
                </c:pt>
                <c:pt idx="7">
                  <c:v>16.600000000000001</c:v>
                </c:pt>
                <c:pt idx="8">
                  <c:v>14.2</c:v>
                </c:pt>
                <c:pt idx="9">
                  <c:v>19.8</c:v>
                </c:pt>
                <c:pt idx="10">
                  <c:v>4</c:v>
                </c:pt>
                <c:pt idx="11">
                  <c:v>4</c:v>
                </c:pt>
              </c:numCache>
            </c:numRef>
          </c:val>
          <c:smooth val="0"/>
          <c:extLst>
            <c:ext xmlns:c16="http://schemas.microsoft.com/office/drawing/2014/chart" uri="{C3380CC4-5D6E-409C-BE32-E72D297353CC}">
              <c16:uniqueId val="{00000003-66F5-40AD-AE26-D9C9D450C55E}"/>
            </c:ext>
          </c:extLst>
        </c:ser>
        <c:dLbls>
          <c:showLegendKey val="0"/>
          <c:showVal val="0"/>
          <c:showCatName val="0"/>
          <c:showSerName val="0"/>
          <c:showPercent val="0"/>
          <c:showBubbleSize val="0"/>
        </c:dLbls>
        <c:marker val="1"/>
        <c:smooth val="0"/>
        <c:axId val="143776768"/>
        <c:axId val="145261312"/>
      </c:lineChart>
      <c:catAx>
        <c:axId val="14377676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1" i="0" u="none" strike="noStrike" baseline="0">
                <a:solidFill>
                  <a:srgbClr val="000000"/>
                </a:solidFill>
                <a:latin typeface="Arial"/>
                <a:ea typeface="Arial"/>
                <a:cs typeface="Arial"/>
              </a:defRPr>
            </a:pPr>
            <a:endParaRPr lang="en-US"/>
          </a:p>
        </c:txPr>
        <c:crossAx val="145261312"/>
        <c:crosses val="autoZero"/>
        <c:auto val="1"/>
        <c:lblAlgn val="ctr"/>
        <c:lblOffset val="100"/>
        <c:tickLblSkip val="1"/>
        <c:tickMarkSkip val="1"/>
        <c:noMultiLvlLbl val="0"/>
      </c:catAx>
      <c:valAx>
        <c:axId val="145261312"/>
        <c:scaling>
          <c:orientation val="minMax"/>
        </c:scaling>
        <c:delete val="0"/>
        <c:axPos val="l"/>
        <c:majorGridlines>
          <c:spPr>
            <a:ln w="3175">
              <a:solidFill>
                <a:srgbClr val="000000"/>
              </a:solidFill>
              <a:prstDash val="solid"/>
            </a:ln>
          </c:spPr>
        </c:majorGridlines>
        <c:minorGridlines/>
        <c:title>
          <c:tx>
            <c:rich>
              <a:bodyPr/>
              <a:lstStyle/>
              <a:p>
                <a:pPr>
                  <a:defRPr sz="1200" b="1" i="0" u="none" strike="noStrike" baseline="0">
                    <a:solidFill>
                      <a:srgbClr val="000000"/>
                    </a:solidFill>
                    <a:latin typeface="Arial"/>
                    <a:ea typeface="Arial"/>
                    <a:cs typeface="Arial"/>
                  </a:defRPr>
                </a:pPr>
                <a:r>
                  <a:rPr lang="en-US" sz="1200"/>
                  <a:t>TSS mg/l</a:t>
                </a:r>
              </a:p>
            </c:rich>
          </c:tx>
          <c:layout>
            <c:manualLayout>
              <c:xMode val="edge"/>
              <c:yMode val="edge"/>
              <c:x val="0.13774834437086225"/>
              <c:y val="0.38390283761699756"/>
            </c:manualLayout>
          </c:layout>
          <c:overlay val="0"/>
          <c:spPr>
            <a:noFill/>
            <a:ln w="25400">
              <a:noFill/>
            </a:ln>
          </c:spPr>
        </c:title>
        <c:numFmt formatCode="0.0" sourceLinked="1"/>
        <c:majorTickMark val="none"/>
        <c:minorTickMark val="none"/>
        <c:tickLblPos val="nextTo"/>
        <c:spPr>
          <a:ln w="3175">
            <a:solidFill>
              <a:srgbClr val="000000"/>
            </a:solidFill>
            <a:prstDash val="solid"/>
          </a:ln>
        </c:spPr>
        <c:txPr>
          <a:bodyPr rot="0" vert="horz"/>
          <a:lstStyle/>
          <a:p>
            <a:pPr>
              <a:defRPr sz="1050" b="1" i="0" u="none" strike="noStrike" baseline="0">
                <a:solidFill>
                  <a:srgbClr val="000000"/>
                </a:solidFill>
                <a:latin typeface="Arial"/>
                <a:ea typeface="Arial"/>
                <a:cs typeface="Arial"/>
              </a:defRPr>
            </a:pPr>
            <a:endParaRPr lang="en-US"/>
          </a:p>
        </c:txPr>
        <c:crossAx val="143776768"/>
        <c:crosses val="autoZero"/>
        <c:crossBetween val="between"/>
      </c:valAx>
      <c:dTable>
        <c:showHorzBorder val="1"/>
        <c:showVertBorder val="1"/>
        <c:showOutline val="1"/>
        <c:showKeys val="1"/>
        <c:txPr>
          <a:bodyPr/>
          <a:lstStyle/>
          <a:p>
            <a:pPr rtl="0">
              <a:defRPr sz="1100" b="1">
                <a:latin typeface="+mj-lt"/>
              </a:defRPr>
            </a:pPr>
            <a:endParaRPr lang="en-US"/>
          </a:p>
        </c:txPr>
      </c:dTable>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12700">
          <a:solidFill>
            <a:srgbClr val="808080"/>
          </a:solidFill>
          <a:prstDash val="solid"/>
        </a:ln>
      </c:spPr>
    </c:plotArea>
    <c:plotVisOnly val="1"/>
    <c:dispBlanksAs val="gap"/>
    <c:showDLblsOverMax val="0"/>
  </c:chart>
  <c:spPr>
    <a:gradFill>
      <a:gsLst>
        <a:gs pos="0">
          <a:srgbClr val="92D050"/>
        </a:gs>
        <a:gs pos="50000">
          <a:srgbClr val="4F81BD">
            <a:tint val="44500"/>
            <a:satMod val="160000"/>
          </a:srgbClr>
        </a:gs>
        <a:gs pos="100000">
          <a:srgbClr val="4F81BD">
            <a:tint val="23500"/>
            <a:satMod val="160000"/>
          </a:srgbClr>
        </a:gs>
      </a:gsLst>
      <a:lin ang="5400000" scaled="0"/>
    </a:gra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n-US" sz="900"/>
              <a:t>Bear Creek Reservoir Total </a:t>
            </a:r>
            <a:r>
              <a:rPr lang="en-US" sz="1000"/>
              <a:t>Suspended</a:t>
            </a:r>
            <a:r>
              <a:rPr lang="en-US" sz="900"/>
              <a:t> Sediments [mg/l] Trend</a:t>
            </a:r>
          </a:p>
        </c:rich>
      </c:tx>
      <c:layout>
        <c:manualLayout>
          <c:xMode val="edge"/>
          <c:yMode val="edge"/>
          <c:x val="0.22063492063492063"/>
          <c:y val="4.065040650406504E-2"/>
        </c:manualLayout>
      </c:layout>
      <c:overlay val="0"/>
      <c:spPr>
        <a:noFill/>
        <a:ln w="25400">
          <a:noFill/>
        </a:ln>
      </c:spPr>
    </c:title>
    <c:autoTitleDeleted val="0"/>
    <c:plotArea>
      <c:layout>
        <c:manualLayout>
          <c:layoutTarget val="inner"/>
          <c:xMode val="edge"/>
          <c:yMode val="edge"/>
          <c:x val="6.2184924981063934E-2"/>
          <c:y val="0.14769733051663092"/>
          <c:w val="0.92268983282716865"/>
          <c:h val="0.68157437637371165"/>
        </c:manualLayout>
      </c:layout>
      <c:barChart>
        <c:barDir val="col"/>
        <c:grouping val="clustered"/>
        <c:varyColors val="0"/>
        <c:ser>
          <c:idx val="0"/>
          <c:order val="0"/>
          <c:tx>
            <c:strRef>
              <c:f>'Annual Reservoir Trends'!$B$18</c:f>
              <c:strCache>
                <c:ptCount val="1"/>
                <c:pt idx="0">
                  <c:v>Top</c:v>
                </c:pt>
              </c:strCache>
            </c:strRef>
          </c:tx>
          <c:spPr>
            <a:solidFill>
              <a:srgbClr val="9999FF"/>
            </a:solidFill>
            <a:ln w="12700">
              <a:solidFill>
                <a:srgbClr val="000000"/>
              </a:solidFill>
              <a:prstDash val="solid"/>
            </a:ln>
          </c:spPr>
          <c:invertIfNegative val="0"/>
          <c:cat>
            <c:numRef>
              <c:f>'Annual Reservoir Trends'!$C$3:$Y$3</c:f>
              <c:numCache>
                <c:formatCode>[$-409]d\-mmm;@</c:formatCode>
                <c:ptCount val="2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numCache>
            </c:numRef>
          </c:cat>
          <c:val>
            <c:numRef>
              <c:f>'Annual Reservoir Trends'!$C$18:$Y$18</c:f>
              <c:numCache>
                <c:formatCode>0.0</c:formatCode>
                <c:ptCount val="23"/>
                <c:pt idx="0">
                  <c:v>6</c:v>
                </c:pt>
                <c:pt idx="1">
                  <c:v>7</c:v>
                </c:pt>
                <c:pt idx="2">
                  <c:v>4</c:v>
                </c:pt>
                <c:pt idx="3">
                  <c:v>9</c:v>
                </c:pt>
                <c:pt idx="4">
                  <c:v>6</c:v>
                </c:pt>
                <c:pt idx="5">
                  <c:v>4</c:v>
                </c:pt>
                <c:pt idx="6">
                  <c:v>12</c:v>
                </c:pt>
                <c:pt idx="7">
                  <c:v>6</c:v>
                </c:pt>
                <c:pt idx="8">
                  <c:v>7</c:v>
                </c:pt>
                <c:pt idx="9">
                  <c:v>6</c:v>
                </c:pt>
                <c:pt idx="10">
                  <c:v>7</c:v>
                </c:pt>
                <c:pt idx="11">
                  <c:v>5</c:v>
                </c:pt>
                <c:pt idx="12">
                  <c:v>7</c:v>
                </c:pt>
                <c:pt idx="13">
                  <c:v>3</c:v>
                </c:pt>
                <c:pt idx="14">
                  <c:v>5.4026666666666667</c:v>
                </c:pt>
                <c:pt idx="15">
                  <c:v>6.2935111111111111</c:v>
                </c:pt>
                <c:pt idx="16">
                  <c:v>5.7373968253968224</c:v>
                </c:pt>
                <c:pt idx="17">
                  <c:v>11.2</c:v>
                </c:pt>
                <c:pt idx="18">
                  <c:v>6.9</c:v>
                </c:pt>
                <c:pt idx="19">
                  <c:v>7.3</c:v>
                </c:pt>
                <c:pt idx="20">
                  <c:v>6.2</c:v>
                </c:pt>
                <c:pt idx="21">
                  <c:v>6.4</c:v>
                </c:pt>
                <c:pt idx="22">
                  <c:v>7.1</c:v>
                </c:pt>
              </c:numCache>
            </c:numRef>
          </c:val>
          <c:extLst>
            <c:ext xmlns:c16="http://schemas.microsoft.com/office/drawing/2014/chart" uri="{C3380CC4-5D6E-409C-BE32-E72D297353CC}">
              <c16:uniqueId val="{00000000-DBB0-41DC-B46B-E6D65925E9F5}"/>
            </c:ext>
          </c:extLst>
        </c:ser>
        <c:ser>
          <c:idx val="3"/>
          <c:order val="1"/>
          <c:tx>
            <c:strRef>
              <c:f>'Annual Reservoir Trends'!$B$20</c:f>
              <c:strCache>
                <c:ptCount val="1"/>
                <c:pt idx="0">
                  <c:v>Bottom</c:v>
                </c:pt>
              </c:strCache>
            </c:strRef>
          </c:tx>
          <c:spPr>
            <a:solidFill>
              <a:srgbClr val="CCFFFF"/>
            </a:solidFill>
            <a:ln w="12700">
              <a:solidFill>
                <a:srgbClr val="000000"/>
              </a:solidFill>
              <a:prstDash val="solid"/>
            </a:ln>
          </c:spPr>
          <c:invertIfNegative val="0"/>
          <c:trendline>
            <c:spPr>
              <a:ln w="25400">
                <a:solidFill>
                  <a:srgbClr val="000000"/>
                </a:solidFill>
                <a:prstDash val="solid"/>
              </a:ln>
            </c:spPr>
            <c:trendlineType val="linear"/>
            <c:dispRSqr val="0"/>
            <c:dispEq val="0"/>
          </c:trendline>
          <c:cat>
            <c:numRef>
              <c:f>'Annual Reservoir Trends'!$C$3:$Y$3</c:f>
              <c:numCache>
                <c:formatCode>[$-409]d\-mmm;@</c:formatCode>
                <c:ptCount val="2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numCache>
            </c:numRef>
          </c:cat>
          <c:val>
            <c:numRef>
              <c:f>'Annual Reservoir Trends'!$C$20:$Y$20</c:f>
              <c:numCache>
                <c:formatCode>0.0</c:formatCode>
                <c:ptCount val="23"/>
                <c:pt idx="0">
                  <c:v>19</c:v>
                </c:pt>
                <c:pt idx="1">
                  <c:v>8</c:v>
                </c:pt>
                <c:pt idx="2">
                  <c:v>5</c:v>
                </c:pt>
                <c:pt idx="3">
                  <c:v>9</c:v>
                </c:pt>
                <c:pt idx="4">
                  <c:v>13</c:v>
                </c:pt>
                <c:pt idx="5">
                  <c:v>7</c:v>
                </c:pt>
                <c:pt idx="6">
                  <c:v>22</c:v>
                </c:pt>
                <c:pt idx="7">
                  <c:v>12</c:v>
                </c:pt>
                <c:pt idx="8">
                  <c:v>12</c:v>
                </c:pt>
                <c:pt idx="9">
                  <c:v>8</c:v>
                </c:pt>
                <c:pt idx="10">
                  <c:v>10</c:v>
                </c:pt>
                <c:pt idx="11">
                  <c:v>5</c:v>
                </c:pt>
                <c:pt idx="12">
                  <c:v>8</c:v>
                </c:pt>
                <c:pt idx="13">
                  <c:v>9</c:v>
                </c:pt>
                <c:pt idx="14">
                  <c:v>7.4459215686274529</c:v>
                </c:pt>
                <c:pt idx="15">
                  <c:v>10.296394771241831</c:v>
                </c:pt>
                <c:pt idx="16">
                  <c:v>6.033309794757165</c:v>
                </c:pt>
                <c:pt idx="17">
                  <c:v>20.9</c:v>
                </c:pt>
                <c:pt idx="18">
                  <c:v>10</c:v>
                </c:pt>
                <c:pt idx="19">
                  <c:v>8.9</c:v>
                </c:pt>
                <c:pt idx="20">
                  <c:v>10.5</c:v>
                </c:pt>
                <c:pt idx="21">
                  <c:v>13.4</c:v>
                </c:pt>
                <c:pt idx="22">
                  <c:v>10.7</c:v>
                </c:pt>
              </c:numCache>
            </c:numRef>
          </c:val>
          <c:extLst>
            <c:ext xmlns:c16="http://schemas.microsoft.com/office/drawing/2014/chart" uri="{C3380CC4-5D6E-409C-BE32-E72D297353CC}">
              <c16:uniqueId val="{00000002-DBB0-41DC-B46B-E6D65925E9F5}"/>
            </c:ext>
          </c:extLst>
        </c:ser>
        <c:dLbls>
          <c:showLegendKey val="0"/>
          <c:showVal val="0"/>
          <c:showCatName val="0"/>
          <c:showSerName val="0"/>
          <c:showPercent val="0"/>
          <c:showBubbleSize val="0"/>
        </c:dLbls>
        <c:gapWidth val="150"/>
        <c:axId val="104118912"/>
        <c:axId val="104153472"/>
      </c:barChart>
      <c:dateAx>
        <c:axId val="104118912"/>
        <c:scaling>
          <c:orientation val="minMax"/>
        </c:scaling>
        <c:delete val="0"/>
        <c:axPos val="b"/>
        <c:numFmt formatCode="[$-409]d\-mmm;@"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04153472"/>
        <c:crosses val="autoZero"/>
        <c:auto val="1"/>
        <c:lblOffset val="100"/>
        <c:baseTimeUnit val="days"/>
        <c:majorUnit val="1"/>
        <c:minorUnit val="1"/>
      </c:dateAx>
      <c:valAx>
        <c:axId val="104153472"/>
        <c:scaling>
          <c:orientation val="minMax"/>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04118912"/>
        <c:crosses val="autoZero"/>
        <c:crossBetween val="between"/>
      </c:valAx>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12700">
          <a:solidFill>
            <a:srgbClr val="808080"/>
          </a:solidFill>
          <a:prstDash val="solid"/>
        </a:ln>
      </c:spPr>
    </c:plotArea>
    <c:legend>
      <c:legendPos val="r"/>
      <c:layout>
        <c:manualLayout>
          <c:xMode val="edge"/>
          <c:yMode val="edge"/>
          <c:x val="0.40041751939598053"/>
          <c:y val="0.16149833122711624"/>
          <c:w val="0.32548787679073393"/>
          <c:h val="0.1082012896536086"/>
        </c:manualLayout>
      </c:layout>
      <c:overlay val="0"/>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horizontalDpi="-2"/>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US" sz="1600"/>
              <a:t>Chlorophyll-a Bear Creek Reservoir </a:t>
            </a:r>
          </a:p>
        </c:rich>
      </c:tx>
      <c:layout>
        <c:manualLayout>
          <c:xMode val="edge"/>
          <c:yMode val="edge"/>
          <c:x val="0.36678717682692585"/>
          <c:y val="8.8092385531085768E-2"/>
        </c:manualLayout>
      </c:layout>
      <c:overlay val="0"/>
      <c:spPr>
        <a:noFill/>
        <a:ln w="25400">
          <a:noFill/>
        </a:ln>
      </c:spPr>
    </c:title>
    <c:autoTitleDeleted val="0"/>
    <c:plotArea>
      <c:layout>
        <c:manualLayout>
          <c:layoutTarget val="inner"/>
          <c:xMode val="edge"/>
          <c:yMode val="edge"/>
          <c:x val="0.11184951188043998"/>
          <c:y val="0.23954372623574138"/>
          <c:w val="0.83167310319021581"/>
          <c:h val="0.56273764258560965"/>
        </c:manualLayout>
      </c:layout>
      <c:areaChart>
        <c:grouping val="stacked"/>
        <c:varyColors val="0"/>
        <c:ser>
          <c:idx val="0"/>
          <c:order val="0"/>
          <c:tx>
            <c:strRef>
              <c:f>Chlsecchi!$A$3</c:f>
              <c:strCache>
                <c:ptCount val="1"/>
                <c:pt idx="0">
                  <c:v>Chlorophyll, ug/L</c:v>
                </c:pt>
              </c:strCache>
            </c:strRef>
          </c:tx>
          <c:spPr>
            <a:gradFill>
              <a:gsLst>
                <a:gs pos="50000">
                  <a:srgbClr val="00B050">
                    <a:alpha val="83000"/>
                  </a:srgbClr>
                </a:gs>
                <a:gs pos="50000">
                  <a:srgbClr val="4F81BD">
                    <a:tint val="44500"/>
                    <a:satMod val="160000"/>
                  </a:srgbClr>
                </a:gs>
                <a:gs pos="100000">
                  <a:srgbClr val="4F81BD">
                    <a:tint val="23500"/>
                    <a:satMod val="160000"/>
                  </a:srgbClr>
                </a:gs>
              </a:gsLst>
              <a:lin ang="5400000" scaled="0"/>
            </a:gradFill>
            <a:ln w="12700">
              <a:solidFill>
                <a:srgbClr val="000000"/>
              </a:solidFill>
              <a:prstDash val="solid"/>
            </a:ln>
          </c:spPr>
          <c:cat>
            <c:strRef>
              <c:f>Chlsecchi!$B$19:$M$19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Chlsecchi!$B$20:$M$20</c:f>
              <c:numCache>
                <c:formatCode>0.0</c:formatCode>
                <c:ptCount val="12"/>
                <c:pt idx="0">
                  <c:v>1.2</c:v>
                </c:pt>
                <c:pt idx="1">
                  <c:v>0.1</c:v>
                </c:pt>
                <c:pt idx="2">
                  <c:v>20.2</c:v>
                </c:pt>
                <c:pt idx="3">
                  <c:v>8.15</c:v>
                </c:pt>
                <c:pt idx="4">
                  <c:v>1.2</c:v>
                </c:pt>
                <c:pt idx="5">
                  <c:v>3.7</c:v>
                </c:pt>
                <c:pt idx="6">
                  <c:v>32.450000000000003</c:v>
                </c:pt>
                <c:pt idx="7">
                  <c:v>17.375</c:v>
                </c:pt>
                <c:pt idx="8">
                  <c:v>29.45</c:v>
                </c:pt>
                <c:pt idx="9">
                  <c:v>12.3</c:v>
                </c:pt>
                <c:pt idx="10">
                  <c:v>1.5</c:v>
                </c:pt>
                <c:pt idx="11">
                  <c:v>2.8</c:v>
                </c:pt>
              </c:numCache>
            </c:numRef>
          </c:val>
          <c:extLst>
            <c:ext xmlns:c16="http://schemas.microsoft.com/office/drawing/2014/chart" uri="{C3380CC4-5D6E-409C-BE32-E72D297353CC}">
              <c16:uniqueId val="{00000000-0177-4B9E-9F11-4AE5256883B9}"/>
            </c:ext>
          </c:extLst>
        </c:ser>
        <c:dLbls>
          <c:showLegendKey val="0"/>
          <c:showVal val="0"/>
          <c:showCatName val="0"/>
          <c:showSerName val="0"/>
          <c:showPercent val="0"/>
          <c:showBubbleSize val="0"/>
        </c:dLbls>
        <c:axId val="145283328"/>
        <c:axId val="145293312"/>
      </c:areaChart>
      <c:catAx>
        <c:axId val="1452833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45293312"/>
        <c:crosses val="autoZero"/>
        <c:auto val="1"/>
        <c:lblAlgn val="ctr"/>
        <c:lblOffset val="100"/>
        <c:tickLblSkip val="1"/>
        <c:tickMarkSkip val="1"/>
        <c:noMultiLvlLbl val="0"/>
      </c:catAx>
      <c:valAx>
        <c:axId val="145293312"/>
        <c:scaling>
          <c:orientation val="minMax"/>
        </c:scaling>
        <c:delete val="0"/>
        <c:axPos val="l"/>
        <c:majorGridlines>
          <c:spPr>
            <a:ln w="3175">
              <a:solidFill>
                <a:srgbClr val="000000"/>
              </a:solidFill>
              <a:prstDash val="solid"/>
            </a:ln>
          </c:spPr>
        </c:majorGridlines>
        <c:minorGridlines/>
        <c:title>
          <c:tx>
            <c:rich>
              <a:bodyPr/>
              <a:lstStyle/>
              <a:p>
                <a:pPr>
                  <a:defRPr sz="1400" b="1" i="0" u="none" strike="noStrike" baseline="0">
                    <a:solidFill>
                      <a:srgbClr val="000000"/>
                    </a:solidFill>
                    <a:latin typeface="Arial"/>
                    <a:ea typeface="Arial"/>
                    <a:cs typeface="Arial"/>
                  </a:defRPr>
                </a:pPr>
                <a:r>
                  <a:rPr lang="en-US" sz="1400"/>
                  <a:t>Chlorophyll-a (ug/l)</a:t>
                </a:r>
              </a:p>
            </c:rich>
          </c:tx>
          <c:layout>
            <c:manualLayout>
              <c:xMode val="edge"/>
              <c:yMode val="edge"/>
              <c:x val="2.6827370110100526E-2"/>
              <c:y val="0.35810607471006484"/>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45283328"/>
        <c:crosses val="autoZero"/>
        <c:crossBetween val="midCat"/>
      </c:valAx>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12700">
          <a:solidFill>
            <a:srgbClr val="FFFFFF"/>
          </a:solidFill>
          <a:prstDash val="solid"/>
        </a:ln>
      </c:spPr>
    </c:plotArea>
    <c:plotVisOnly val="1"/>
    <c:dispBlanksAs val="zero"/>
    <c:showDLblsOverMax val="0"/>
  </c:chart>
  <c:spPr>
    <a:gradFill>
      <a:gsLst>
        <a:gs pos="0">
          <a:srgbClr val="92D050"/>
        </a:gs>
        <a:gs pos="50000">
          <a:srgbClr val="4F81BD">
            <a:tint val="44500"/>
            <a:satMod val="160000"/>
          </a:srgbClr>
        </a:gs>
        <a:gs pos="100000">
          <a:srgbClr val="4F81BD">
            <a:tint val="23500"/>
            <a:satMod val="160000"/>
          </a:srgbClr>
        </a:gs>
      </a:gsLst>
      <a:lin ang="5400000" scaled="0"/>
    </a:gradFill>
    <a:ln w="3175">
      <a:solidFill>
        <a:srgbClr val="000000"/>
      </a:solidFill>
      <a:prstDash val="solid"/>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horizontalDpi="-3"/>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US" sz="1600"/>
              <a:t>Secchi Depth Bear Creek Reservoir</a:t>
            </a:r>
          </a:p>
        </c:rich>
      </c:tx>
      <c:layout>
        <c:manualLayout>
          <c:xMode val="edge"/>
          <c:yMode val="edge"/>
          <c:x val="0.27333133137562948"/>
          <c:y val="5.0935390888639014E-2"/>
        </c:manualLayout>
      </c:layout>
      <c:overlay val="0"/>
      <c:spPr>
        <a:noFill/>
        <a:ln w="25400">
          <a:noFill/>
        </a:ln>
      </c:spPr>
    </c:title>
    <c:autoTitleDeleted val="0"/>
    <c:plotArea>
      <c:layout>
        <c:manualLayout>
          <c:layoutTarget val="inner"/>
          <c:xMode val="edge"/>
          <c:yMode val="edge"/>
          <c:x val="0.11353717842584651"/>
          <c:y val="0.25547415268743578"/>
          <c:w val="0.85262054183255886"/>
          <c:h val="0.62165889798897866"/>
        </c:manualLayout>
      </c:layout>
      <c:barChart>
        <c:barDir val="col"/>
        <c:grouping val="clustered"/>
        <c:varyColors val="0"/>
        <c:ser>
          <c:idx val="0"/>
          <c:order val="0"/>
          <c:tx>
            <c:strRef>
              <c:f>Chlsecchi!$A$21</c:f>
              <c:strCache>
                <c:ptCount val="1"/>
                <c:pt idx="0">
                  <c:v>Secchi (ft)</c:v>
                </c:pt>
              </c:strCache>
            </c:strRef>
          </c:tx>
          <c:spPr>
            <a:solidFill>
              <a:srgbClr val="9999FF"/>
            </a:solidFill>
            <a:ln w="12700">
              <a:solidFill>
                <a:srgbClr val="000000"/>
              </a:solidFill>
              <a:prstDash val="solid"/>
            </a:ln>
          </c:spPr>
          <c:invertIfNegative val="0"/>
          <c:cat>
            <c:strRef>
              <c:f>Chlsecchi!$B$19:$M$19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Chlsecchi!$B$21:$M$21</c:f>
              <c:numCache>
                <c:formatCode>0.0</c:formatCode>
                <c:ptCount val="12"/>
                <c:pt idx="0">
                  <c:v>14.582879999999998</c:v>
                </c:pt>
                <c:pt idx="1">
                  <c:v>11.086399999999999</c:v>
                </c:pt>
                <c:pt idx="2">
                  <c:v>5.0643199999999995</c:v>
                </c:pt>
                <c:pt idx="3">
                  <c:v>6.56</c:v>
                </c:pt>
                <c:pt idx="4">
                  <c:v>6.4091199999999997</c:v>
                </c:pt>
                <c:pt idx="5">
                  <c:v>6.8027200000000008</c:v>
                </c:pt>
                <c:pt idx="6">
                  <c:v>4.80192</c:v>
                </c:pt>
                <c:pt idx="7">
                  <c:v>4.51</c:v>
                </c:pt>
                <c:pt idx="8">
                  <c:v>1.9056799999999998</c:v>
                </c:pt>
                <c:pt idx="9">
                  <c:v>2.8699999999999997</c:v>
                </c:pt>
                <c:pt idx="10">
                  <c:v>7.4718399999999994</c:v>
                </c:pt>
                <c:pt idx="11">
                  <c:v>9.7853333333333321</c:v>
                </c:pt>
              </c:numCache>
            </c:numRef>
          </c:val>
          <c:extLst>
            <c:ext xmlns:c16="http://schemas.microsoft.com/office/drawing/2014/chart" uri="{C3380CC4-5D6E-409C-BE32-E72D297353CC}">
              <c16:uniqueId val="{00000000-8459-4B19-A04C-8964E6188599}"/>
            </c:ext>
          </c:extLst>
        </c:ser>
        <c:dLbls>
          <c:showLegendKey val="0"/>
          <c:showVal val="0"/>
          <c:showCatName val="0"/>
          <c:showSerName val="0"/>
          <c:showPercent val="0"/>
          <c:showBubbleSize val="0"/>
        </c:dLbls>
        <c:gapWidth val="150"/>
        <c:axId val="145313152"/>
        <c:axId val="145347712"/>
      </c:barChart>
      <c:catAx>
        <c:axId val="145313152"/>
        <c:scaling>
          <c:orientation val="minMax"/>
        </c:scaling>
        <c:delete val="0"/>
        <c:axPos val="t"/>
        <c:numFmt formatCode="General" sourceLinked="1"/>
        <c:majorTickMark val="out"/>
        <c:minorTickMark val="none"/>
        <c:tickLblPos val="nextTo"/>
        <c:spPr>
          <a:ln w="3175">
            <a:solidFill>
              <a:srgbClr val="000000"/>
            </a:solidFill>
            <a:prstDash val="solid"/>
          </a:ln>
        </c:spPr>
        <c:txPr>
          <a:bodyPr rot="0" vert="horz"/>
          <a:lstStyle/>
          <a:p>
            <a:pPr>
              <a:defRPr sz="1400" b="1" i="0" u="none" strike="noStrike" baseline="0">
                <a:solidFill>
                  <a:srgbClr val="000000"/>
                </a:solidFill>
                <a:latin typeface="Arial"/>
                <a:ea typeface="Arial"/>
                <a:cs typeface="Arial"/>
              </a:defRPr>
            </a:pPr>
            <a:endParaRPr lang="en-US"/>
          </a:p>
        </c:txPr>
        <c:crossAx val="145347712"/>
        <c:crosses val="autoZero"/>
        <c:auto val="1"/>
        <c:lblAlgn val="ctr"/>
        <c:lblOffset val="100"/>
        <c:tickLblSkip val="1"/>
        <c:tickMarkSkip val="1"/>
        <c:noMultiLvlLbl val="0"/>
      </c:catAx>
      <c:valAx>
        <c:axId val="145347712"/>
        <c:scaling>
          <c:orientation val="maxMin"/>
        </c:scaling>
        <c:delete val="0"/>
        <c:axPos val="l"/>
        <c:majorGridlines>
          <c:spPr>
            <a:ln w="3175">
              <a:solidFill>
                <a:srgbClr val="000000"/>
              </a:solidFill>
              <a:prstDash val="solid"/>
            </a:ln>
          </c:spPr>
        </c:majorGridlines>
        <c:minorGridlines/>
        <c:title>
          <c:tx>
            <c:rich>
              <a:bodyPr/>
              <a:lstStyle/>
              <a:p>
                <a:pPr>
                  <a:defRPr sz="1400" b="1" i="0" u="none" strike="noStrike" baseline="0">
                    <a:solidFill>
                      <a:srgbClr val="000000"/>
                    </a:solidFill>
                    <a:latin typeface="Arial"/>
                    <a:ea typeface="Arial"/>
                    <a:cs typeface="Arial"/>
                  </a:defRPr>
                </a:pPr>
                <a:r>
                  <a:rPr lang="en-US" sz="1400"/>
                  <a:t>Secchi Depth (feet)</a:t>
                </a:r>
              </a:p>
            </c:rich>
          </c:tx>
          <c:layout>
            <c:manualLayout>
              <c:xMode val="edge"/>
              <c:yMode val="edge"/>
              <c:x val="2.0885649567778049E-2"/>
              <c:y val="0.37306038837833538"/>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350" b="1" i="0" u="none" strike="noStrike" baseline="0">
                <a:solidFill>
                  <a:srgbClr val="000000"/>
                </a:solidFill>
                <a:latin typeface="Arial"/>
                <a:ea typeface="Arial"/>
                <a:cs typeface="Arial"/>
              </a:defRPr>
            </a:pPr>
            <a:endParaRPr lang="en-US"/>
          </a:p>
        </c:txPr>
        <c:crossAx val="145313152"/>
        <c:crosses val="autoZero"/>
        <c:crossBetween val="between"/>
      </c:valAx>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12700">
          <a:solidFill>
            <a:srgbClr val="808080"/>
          </a:solidFill>
          <a:prstDash val="solid"/>
        </a:ln>
      </c:spPr>
    </c:plotArea>
    <c:plotVisOnly val="1"/>
    <c:dispBlanksAs val="gap"/>
    <c:showDLblsOverMax val="0"/>
  </c:chart>
  <c:spPr>
    <a:gradFill>
      <a:gsLst>
        <a:gs pos="0">
          <a:srgbClr val="92D050"/>
        </a:gs>
        <a:gs pos="50000">
          <a:srgbClr val="4F81BD">
            <a:tint val="44500"/>
            <a:satMod val="160000"/>
          </a:srgbClr>
        </a:gs>
        <a:gs pos="100000">
          <a:srgbClr val="4F81BD">
            <a:tint val="23500"/>
            <a:satMod val="160000"/>
          </a:srgbClr>
        </a:gs>
      </a:gsLst>
      <a:lin ang="5400000" scaled="0"/>
    </a:gra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horizontalDpi="-2" verticalDpi="0"/>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en-US" sz="1050"/>
              <a:t>Phytoplankton Average Total Density (#/mL): </a:t>
            </a:r>
          </a:p>
        </c:rich>
      </c:tx>
      <c:layout>
        <c:manualLayout>
          <c:xMode val="edge"/>
          <c:yMode val="edge"/>
          <c:x val="0.20610407992194688"/>
          <c:y val="6.5040650406504072E-2"/>
        </c:manualLayout>
      </c:layout>
      <c:overlay val="0"/>
    </c:title>
    <c:autoTitleDeleted val="0"/>
    <c:plotArea>
      <c:layout/>
      <c:areaChart>
        <c:grouping val="stacked"/>
        <c:varyColors val="0"/>
        <c:ser>
          <c:idx val="0"/>
          <c:order val="0"/>
          <c:tx>
            <c:strRef>
              <c:f>Phytoplankton!$A$8</c:f>
              <c:strCache>
                <c:ptCount val="1"/>
                <c:pt idx="0">
                  <c:v>Total Density (#/mL): </c:v>
                </c:pt>
              </c:strCache>
            </c:strRef>
          </c:tx>
          <c:cat>
            <c:numRef>
              <c:f>Phytoplankton!$B$7:$G$7</c:f>
              <c:numCache>
                <c:formatCode>d\-mmm\-yy</c:formatCode>
                <c:ptCount val="6"/>
                <c:pt idx="0" formatCode="d\-mmm">
                  <c:v>41463</c:v>
                </c:pt>
                <c:pt idx="1">
                  <c:v>41477</c:v>
                </c:pt>
                <c:pt idx="2">
                  <c:v>41491</c:v>
                </c:pt>
                <c:pt idx="3" formatCode="[$-409]d\-mmm;@">
                  <c:v>41512</c:v>
                </c:pt>
                <c:pt idx="4" formatCode="[$-409]d\-mmm;@">
                  <c:v>41526</c:v>
                </c:pt>
                <c:pt idx="5" formatCode="[$-409]d\-mmm;@">
                  <c:v>41540</c:v>
                </c:pt>
              </c:numCache>
            </c:numRef>
          </c:cat>
          <c:val>
            <c:numRef>
              <c:f>Phytoplankton!$B$8:$G$8</c:f>
              <c:numCache>
                <c:formatCode>#,##0</c:formatCode>
                <c:ptCount val="6"/>
                <c:pt idx="0">
                  <c:v>2581.3658799777063</c:v>
                </c:pt>
                <c:pt idx="1">
                  <c:v>4035.6692834138412</c:v>
                </c:pt>
                <c:pt idx="2">
                  <c:v>2445.5097306813768</c:v>
                </c:pt>
                <c:pt idx="3">
                  <c:v>173.01845741451817</c:v>
                </c:pt>
                <c:pt idx="4">
                  <c:v>17656.849499447002</c:v>
                </c:pt>
                <c:pt idx="5">
                  <c:v>460.86619861619687</c:v>
                </c:pt>
              </c:numCache>
            </c:numRef>
          </c:val>
          <c:extLst>
            <c:ext xmlns:c16="http://schemas.microsoft.com/office/drawing/2014/chart" uri="{C3380CC4-5D6E-409C-BE32-E72D297353CC}">
              <c16:uniqueId val="{00000000-5910-415A-853C-618A96A17591}"/>
            </c:ext>
          </c:extLst>
        </c:ser>
        <c:dLbls>
          <c:showLegendKey val="0"/>
          <c:showVal val="0"/>
          <c:showCatName val="0"/>
          <c:showSerName val="0"/>
          <c:showPercent val="0"/>
          <c:showBubbleSize val="0"/>
        </c:dLbls>
        <c:axId val="145557376"/>
        <c:axId val="145555840"/>
      </c:areaChart>
      <c:valAx>
        <c:axId val="145555840"/>
        <c:scaling>
          <c:orientation val="minMax"/>
        </c:scaling>
        <c:delete val="0"/>
        <c:axPos val="l"/>
        <c:majorGridlines/>
        <c:minorGridlines/>
        <c:numFmt formatCode="#,##0" sourceLinked="1"/>
        <c:majorTickMark val="out"/>
        <c:minorTickMark val="none"/>
        <c:tickLblPos val="nextTo"/>
        <c:crossAx val="145557376"/>
        <c:crosses val="autoZero"/>
        <c:crossBetween val="midCat"/>
      </c:valAx>
      <c:dateAx>
        <c:axId val="145557376"/>
        <c:scaling>
          <c:orientation val="minMax"/>
        </c:scaling>
        <c:delete val="0"/>
        <c:axPos val="b"/>
        <c:numFmt formatCode="d\-mmm" sourceLinked="1"/>
        <c:majorTickMark val="out"/>
        <c:minorTickMark val="none"/>
        <c:tickLblPos val="nextTo"/>
        <c:crossAx val="145555840"/>
        <c:crosses val="autoZero"/>
        <c:auto val="1"/>
        <c:lblOffset val="100"/>
        <c:baseTimeUnit val="days"/>
        <c:majorUnit val="15"/>
        <c:majorTimeUnit val="days"/>
        <c:minorUnit val="1"/>
        <c:minorTimeUnit val="days"/>
      </c:dateAx>
    </c:plotArea>
    <c:plotVisOnly val="1"/>
    <c:dispBlanksAs val="zero"/>
    <c:showDLblsOverMax val="0"/>
  </c:chart>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c:spPr>
  <c:printSettings>
    <c:headerFooter/>
    <c:pageMargins b="0.75000000000001465" l="0.70000000000000062" r="0.70000000000000062" t="0.75000000000001465" header="0.30000000000000032" footer="0.30000000000000032"/>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areaChart>
        <c:grouping val="standard"/>
        <c:varyColors val="0"/>
        <c:ser>
          <c:idx val="1"/>
          <c:order val="0"/>
          <c:tx>
            <c:strRef>
              <c:f>Phytoplankton!$A$9</c:f>
              <c:strCache>
                <c:ptCount val="1"/>
                <c:pt idx="0">
                  <c:v>Total Biovolume (um3/mL):              </c:v>
                </c:pt>
              </c:strCache>
            </c:strRef>
          </c:tx>
          <c:spPr>
            <a:gradFill>
              <a:gsLst>
                <a:gs pos="0">
                  <a:schemeClr val="accent3">
                    <a:lumMod val="75000"/>
                  </a:schemeClr>
                </a:gs>
                <a:gs pos="50000">
                  <a:srgbClr val="4F81BD">
                    <a:tint val="44500"/>
                    <a:satMod val="160000"/>
                  </a:srgbClr>
                </a:gs>
                <a:gs pos="100000">
                  <a:srgbClr val="4F81BD">
                    <a:tint val="23500"/>
                    <a:satMod val="160000"/>
                  </a:srgbClr>
                </a:gs>
              </a:gsLst>
              <a:lin ang="5400000" scaled="0"/>
            </a:gradFill>
          </c:spPr>
          <c:cat>
            <c:numRef>
              <c:f>Phytoplankton!$B$7:$G$7</c:f>
              <c:numCache>
                <c:formatCode>d\-mmm\-yy</c:formatCode>
                <c:ptCount val="6"/>
                <c:pt idx="0" formatCode="d\-mmm">
                  <c:v>41463</c:v>
                </c:pt>
                <c:pt idx="1">
                  <c:v>41477</c:v>
                </c:pt>
                <c:pt idx="2">
                  <c:v>41491</c:v>
                </c:pt>
                <c:pt idx="3" formatCode="[$-409]d\-mmm;@">
                  <c:v>41512</c:v>
                </c:pt>
                <c:pt idx="4" formatCode="[$-409]d\-mmm;@">
                  <c:v>41526</c:v>
                </c:pt>
                <c:pt idx="5" formatCode="[$-409]d\-mmm;@">
                  <c:v>41540</c:v>
                </c:pt>
              </c:numCache>
            </c:numRef>
          </c:cat>
          <c:val>
            <c:numRef>
              <c:f>Phytoplankton!$B$9:$G$9</c:f>
              <c:numCache>
                <c:formatCode>#,##0</c:formatCode>
                <c:ptCount val="6"/>
                <c:pt idx="0">
                  <c:v>3512070.7002749848</c:v>
                </c:pt>
                <c:pt idx="1">
                  <c:v>6140359.3261875957</c:v>
                </c:pt>
                <c:pt idx="2">
                  <c:v>3224163.9346212419</c:v>
                </c:pt>
                <c:pt idx="3">
                  <c:v>310382.94194719574</c:v>
                </c:pt>
                <c:pt idx="4">
                  <c:v>3580368.1289287615</c:v>
                </c:pt>
                <c:pt idx="5">
                  <c:v>1136297.8269739549</c:v>
                </c:pt>
              </c:numCache>
            </c:numRef>
          </c:val>
          <c:extLst>
            <c:ext xmlns:c16="http://schemas.microsoft.com/office/drawing/2014/chart" uri="{C3380CC4-5D6E-409C-BE32-E72D297353CC}">
              <c16:uniqueId val="{00000000-70C5-48D7-BF0A-5A10FD37CEB4}"/>
            </c:ext>
          </c:extLst>
        </c:ser>
        <c:dLbls>
          <c:showLegendKey val="0"/>
          <c:showVal val="0"/>
          <c:showCatName val="0"/>
          <c:showSerName val="0"/>
          <c:showPercent val="0"/>
          <c:showBubbleSize val="0"/>
        </c:dLbls>
        <c:axId val="145593472"/>
        <c:axId val="145595008"/>
      </c:areaChart>
      <c:dateAx>
        <c:axId val="145593472"/>
        <c:scaling>
          <c:orientation val="minMax"/>
        </c:scaling>
        <c:delete val="0"/>
        <c:axPos val="b"/>
        <c:numFmt formatCode="d\-mmm" sourceLinked="1"/>
        <c:majorTickMark val="none"/>
        <c:minorTickMark val="none"/>
        <c:tickLblPos val="nextTo"/>
        <c:spPr>
          <a:noFill/>
        </c:spPr>
        <c:crossAx val="145595008"/>
        <c:crosses val="autoZero"/>
        <c:auto val="1"/>
        <c:lblOffset val="100"/>
        <c:baseTimeUnit val="days"/>
        <c:majorUnit val="15"/>
        <c:majorTimeUnit val="days"/>
        <c:minorUnit val="1"/>
        <c:minorTimeUnit val="days"/>
      </c:dateAx>
      <c:valAx>
        <c:axId val="145595008"/>
        <c:scaling>
          <c:orientation val="minMax"/>
        </c:scaling>
        <c:delete val="0"/>
        <c:axPos val="l"/>
        <c:majorGridlines/>
        <c:minorGridlines/>
        <c:numFmt formatCode="#,##0" sourceLinked="1"/>
        <c:majorTickMark val="none"/>
        <c:minorTickMark val="none"/>
        <c:tickLblPos val="nextTo"/>
        <c:crossAx val="145593472"/>
        <c:crosses val="autoZero"/>
        <c:crossBetween val="midCat"/>
      </c:valAx>
    </c:plotArea>
    <c:plotVisOnly val="1"/>
    <c:dispBlanksAs val="gap"/>
    <c:showDLblsOverMax val="0"/>
  </c:chart>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c:spPr>
  <c:printSettings>
    <c:headerFooter/>
    <c:pageMargins b="0.75000000000001388" l="0.70000000000000062" r="0.70000000000000062" t="0.75000000000001388" header="0.30000000000000032" footer="0.30000000000000032"/>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en-US" sz="1050"/>
              <a:t>Phytoplankton Average</a:t>
            </a:r>
            <a:r>
              <a:rPr lang="en-US" sz="1050" baseline="0"/>
              <a:t> </a:t>
            </a:r>
            <a:r>
              <a:rPr lang="en-US" sz="1050"/>
              <a:t>Biovolume, um3/mL</a:t>
            </a:r>
          </a:p>
        </c:rich>
      </c:tx>
      <c:overlay val="0"/>
    </c:title>
    <c:autoTitleDeleted val="0"/>
    <c:view3D>
      <c:rotX val="75"/>
      <c:rotY val="0"/>
      <c:rAngAx val="0"/>
    </c:view3D>
    <c:floor>
      <c:thickness val="0"/>
    </c:floor>
    <c:sideWall>
      <c:thickness val="0"/>
    </c:sideWall>
    <c:backWall>
      <c:thickness val="0"/>
    </c:backWall>
    <c:plotArea>
      <c:layout>
        <c:manualLayout>
          <c:layoutTarget val="inner"/>
          <c:xMode val="edge"/>
          <c:yMode val="edge"/>
          <c:x val="1.7323392577307223E-2"/>
          <c:y val="7.004334807649637E-2"/>
          <c:w val="0.77501628461260097"/>
          <c:h val="0.90158885442350234"/>
        </c:manualLayout>
      </c:layout>
      <c:pie3DChart>
        <c:varyColors val="1"/>
        <c:ser>
          <c:idx val="0"/>
          <c:order val="0"/>
          <c:tx>
            <c:strRef>
              <c:f>Phytoplankton!$G$23</c:f>
              <c:strCache>
                <c:ptCount val="1"/>
                <c:pt idx="0">
                  <c:v>Functional Group</c:v>
                </c:pt>
              </c:strCache>
            </c:strRef>
          </c:tx>
          <c:explosion val="38"/>
          <c:dPt>
            <c:idx val="0"/>
            <c:bubble3D val="0"/>
            <c:explosion val="16"/>
            <c:extLst>
              <c:ext xmlns:c16="http://schemas.microsoft.com/office/drawing/2014/chart" uri="{C3380CC4-5D6E-409C-BE32-E72D297353CC}">
                <c16:uniqueId val="{00000000-8B65-4C14-ACDA-86B53B8B3572}"/>
              </c:ext>
            </c:extLst>
          </c:dPt>
          <c:dPt>
            <c:idx val="1"/>
            <c:bubble3D val="0"/>
            <c:explosion val="17"/>
            <c:extLst>
              <c:ext xmlns:c16="http://schemas.microsoft.com/office/drawing/2014/chart" uri="{C3380CC4-5D6E-409C-BE32-E72D297353CC}">
                <c16:uniqueId val="{00000001-8B65-4C14-ACDA-86B53B8B3572}"/>
              </c:ext>
            </c:extLst>
          </c:dPt>
          <c:dPt>
            <c:idx val="2"/>
            <c:bubble3D val="0"/>
            <c:explosion val="14"/>
            <c:extLst>
              <c:ext xmlns:c16="http://schemas.microsoft.com/office/drawing/2014/chart" uri="{C3380CC4-5D6E-409C-BE32-E72D297353CC}">
                <c16:uniqueId val="{00000002-8B65-4C14-ACDA-86B53B8B3572}"/>
              </c:ext>
            </c:extLst>
          </c:dPt>
          <c:dPt>
            <c:idx val="3"/>
            <c:bubble3D val="0"/>
            <c:explosion val="24"/>
            <c:extLst>
              <c:ext xmlns:c16="http://schemas.microsoft.com/office/drawing/2014/chart" uri="{C3380CC4-5D6E-409C-BE32-E72D297353CC}">
                <c16:uniqueId val="{00000003-8B65-4C14-ACDA-86B53B8B3572}"/>
              </c:ext>
            </c:extLst>
          </c:dPt>
          <c:dPt>
            <c:idx val="4"/>
            <c:bubble3D val="0"/>
            <c:explosion val="13"/>
            <c:extLst>
              <c:ext xmlns:c16="http://schemas.microsoft.com/office/drawing/2014/chart" uri="{C3380CC4-5D6E-409C-BE32-E72D297353CC}">
                <c16:uniqueId val="{00000004-8B65-4C14-ACDA-86B53B8B3572}"/>
              </c:ext>
            </c:extLst>
          </c:dPt>
          <c:dLbls>
            <c:dLbl>
              <c:idx val="0"/>
              <c:layout>
                <c:manualLayout>
                  <c:x val="-0.14752652748834288"/>
                  <c:y val="-4.9466316710411511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B65-4C14-ACDA-86B53B8B3572}"/>
                </c:ext>
              </c:extLst>
            </c:dLbl>
            <c:dLbl>
              <c:idx val="1"/>
              <c:layout>
                <c:manualLayout>
                  <c:x val="-1.0190215921900394E-2"/>
                  <c:y val="-5.6700336700336834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B65-4C14-ACDA-86B53B8B3572}"/>
                </c:ext>
              </c:extLst>
            </c:dLbl>
            <c:dLbl>
              <c:idx val="2"/>
              <c:layout>
                <c:manualLayout>
                  <c:x val="0.13182341906152381"/>
                  <c:y val="3.0890532622816221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B65-4C14-ACDA-86B53B8B3572}"/>
                </c:ext>
              </c:extLst>
            </c:dLbl>
            <c:dLbl>
              <c:idx val="3"/>
              <c:layout>
                <c:manualLayout>
                  <c:x val="-4.9994717379820586E-2"/>
                  <c:y val="8.9568122166547942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B65-4C14-ACDA-86B53B8B3572}"/>
                </c:ext>
              </c:extLst>
            </c:dLbl>
            <c:dLbl>
              <c:idx val="4"/>
              <c:layout>
                <c:manualLayout>
                  <c:x val="5.0262591977904524E-2"/>
                  <c:y val="8.1150613749038966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8B65-4C14-ACDA-86B53B8B3572}"/>
                </c:ext>
              </c:extLst>
            </c:dLbl>
            <c:spPr>
              <a:noFill/>
              <a:ln>
                <a:noFill/>
              </a:ln>
              <a:effectLst/>
            </c:spPr>
            <c:txPr>
              <a:bodyPr/>
              <a:lstStyle/>
              <a:p>
                <a:pPr>
                  <a:defRPr sz="900"/>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Phytoplankton!$G$24:$G$28</c:f>
              <c:strCache>
                <c:ptCount val="5"/>
                <c:pt idx="0">
                  <c:v>bluegreen</c:v>
                </c:pt>
                <c:pt idx="1">
                  <c:v>chrysophyte</c:v>
                </c:pt>
                <c:pt idx="2">
                  <c:v>diatom</c:v>
                </c:pt>
                <c:pt idx="3">
                  <c:v>dinoflagellate</c:v>
                </c:pt>
                <c:pt idx="4">
                  <c:v>green</c:v>
                </c:pt>
              </c:strCache>
            </c:strRef>
          </c:cat>
          <c:val>
            <c:numRef>
              <c:f>Phytoplankton!$J$24:$J$28</c:f>
              <c:numCache>
                <c:formatCode>#,##0</c:formatCode>
                <c:ptCount val="5"/>
                <c:pt idx="0">
                  <c:v>2132807.7052079714</c:v>
                </c:pt>
                <c:pt idx="1">
                  <c:v>26254.980423663554</c:v>
                </c:pt>
                <c:pt idx="2">
                  <c:v>769070.82018507307</c:v>
                </c:pt>
                <c:pt idx="3">
                  <c:v>46273.568603037136</c:v>
                </c:pt>
                <c:pt idx="4">
                  <c:v>48491.997236067888</c:v>
                </c:pt>
              </c:numCache>
            </c:numRef>
          </c:val>
          <c:extLst>
            <c:ext xmlns:c16="http://schemas.microsoft.com/office/drawing/2014/chart" uri="{C3380CC4-5D6E-409C-BE32-E72D297353CC}">
              <c16:uniqueId val="{00000005-8B65-4C14-ACDA-86B53B8B3572}"/>
            </c:ext>
          </c:extLst>
        </c:ser>
        <c:dLbls>
          <c:showLegendKey val="0"/>
          <c:showVal val="0"/>
          <c:showCatName val="0"/>
          <c:showSerName val="0"/>
          <c:showPercent val="0"/>
          <c:showBubbleSize val="0"/>
          <c:showLeaderLines val="0"/>
        </c:dLbls>
      </c:pie3DChart>
    </c:plotArea>
    <c:legend>
      <c:legendPos val="r"/>
      <c:layout>
        <c:manualLayout>
          <c:xMode val="edge"/>
          <c:yMode val="edge"/>
          <c:x val="0.69367431176334571"/>
          <c:y val="0.1279027043480801"/>
          <c:w val="0.19054207035625553"/>
          <c:h val="0.33359801333700279"/>
        </c:manualLayout>
      </c:layout>
      <c:overlay val="0"/>
      <c:txPr>
        <a:bodyPr/>
        <a:lstStyle/>
        <a:p>
          <a:pPr rtl="0">
            <a:defRPr sz="1050"/>
          </a:pPr>
          <a:endParaRPr lang="en-US"/>
        </a:p>
      </c:txPr>
    </c:legend>
    <c:plotVisOnly val="1"/>
    <c:dispBlanksAs val="gap"/>
    <c:showDLblsOverMax val="0"/>
  </c:chart>
  <c:printSettings>
    <c:headerFooter/>
    <c:pageMargins b="0.75000000000000533" l="0.70000000000000062" r="0.70000000000000062" t="0.75000000000000533" header="0.30000000000000032" footer="0.30000000000000032"/>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en-US" sz="1050"/>
              <a:t>Phytoplankton Density Number/ml</a:t>
            </a:r>
          </a:p>
        </c:rich>
      </c:tx>
      <c:layout>
        <c:manualLayout>
          <c:xMode val="edge"/>
          <c:yMode val="edge"/>
          <c:x val="0.2227318176306568"/>
          <c:y val="1.2577179648340745E-2"/>
        </c:manualLayout>
      </c:layout>
      <c:overlay val="0"/>
    </c:title>
    <c:autoTitleDeleted val="0"/>
    <c:plotArea>
      <c:layout>
        <c:manualLayout>
          <c:layoutTarget val="inner"/>
          <c:xMode val="edge"/>
          <c:yMode val="edge"/>
          <c:x val="0.12923699644417616"/>
          <c:y val="7.9286078349557129E-2"/>
          <c:w val="0.71463985327555035"/>
          <c:h val="0.92071392165044286"/>
        </c:manualLayout>
      </c:layout>
      <c:pieChart>
        <c:varyColors val="1"/>
        <c:ser>
          <c:idx val="0"/>
          <c:order val="0"/>
          <c:tx>
            <c:strRef>
              <c:f>Phytoplankton!$G$23</c:f>
              <c:strCache>
                <c:ptCount val="1"/>
                <c:pt idx="0">
                  <c:v>Functional Group</c:v>
                </c:pt>
              </c:strCache>
            </c:strRef>
          </c:tx>
          <c:explosion val="22"/>
          <c:dPt>
            <c:idx val="0"/>
            <c:bubble3D val="0"/>
            <c:explosion val="39"/>
            <c:extLst>
              <c:ext xmlns:c16="http://schemas.microsoft.com/office/drawing/2014/chart" uri="{C3380CC4-5D6E-409C-BE32-E72D297353CC}">
                <c16:uniqueId val="{00000000-D07D-47C5-88E1-BDAF451D6206}"/>
              </c:ext>
            </c:extLst>
          </c:dPt>
          <c:dPt>
            <c:idx val="1"/>
            <c:bubble3D val="0"/>
            <c:explosion val="9"/>
            <c:extLst>
              <c:ext xmlns:c16="http://schemas.microsoft.com/office/drawing/2014/chart" uri="{C3380CC4-5D6E-409C-BE32-E72D297353CC}">
                <c16:uniqueId val="{00000001-D07D-47C5-88E1-BDAF451D6206}"/>
              </c:ext>
            </c:extLst>
          </c:dPt>
          <c:dPt>
            <c:idx val="3"/>
            <c:bubble3D val="0"/>
            <c:explosion val="19"/>
            <c:extLst>
              <c:ext xmlns:c16="http://schemas.microsoft.com/office/drawing/2014/chart" uri="{C3380CC4-5D6E-409C-BE32-E72D297353CC}">
                <c16:uniqueId val="{00000002-D07D-47C5-88E1-BDAF451D6206}"/>
              </c:ext>
            </c:extLst>
          </c:dPt>
          <c:dPt>
            <c:idx val="4"/>
            <c:bubble3D val="0"/>
            <c:explosion val="3"/>
            <c:extLst>
              <c:ext xmlns:c16="http://schemas.microsoft.com/office/drawing/2014/chart" uri="{C3380CC4-5D6E-409C-BE32-E72D297353CC}">
                <c16:uniqueId val="{00000003-D07D-47C5-88E1-BDAF451D6206}"/>
              </c:ext>
            </c:extLst>
          </c:dPt>
          <c:dLbls>
            <c:dLbl>
              <c:idx val="0"/>
              <c:layout>
                <c:manualLayout>
                  <c:x val="-0.17906697873759092"/>
                  <c:y val="-5.4625233057449707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07D-47C5-88E1-BDAF451D6206}"/>
                </c:ext>
              </c:extLst>
            </c:dLbl>
            <c:dLbl>
              <c:idx val="2"/>
              <c:layout>
                <c:manualLayout>
                  <c:x val="0.21635317698948636"/>
                  <c:y val="-3.5218413783268454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D07D-47C5-88E1-BDAF451D6206}"/>
                </c:ext>
              </c:extLst>
            </c:dLbl>
            <c:spPr>
              <a:noFill/>
              <a:ln>
                <a:noFill/>
              </a:ln>
              <a:effectLst/>
            </c:spPr>
            <c:txPr>
              <a:bodyPr/>
              <a:lstStyle/>
              <a:p>
                <a:pPr>
                  <a:defRPr sz="900"/>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Phytoplankton!$G$24:$G$28</c:f>
              <c:strCache>
                <c:ptCount val="5"/>
                <c:pt idx="0">
                  <c:v>bluegreen</c:v>
                </c:pt>
                <c:pt idx="1">
                  <c:v>chrysophyte</c:v>
                </c:pt>
                <c:pt idx="2">
                  <c:v>diatom</c:v>
                </c:pt>
                <c:pt idx="3">
                  <c:v>dinoflagellate</c:v>
                </c:pt>
                <c:pt idx="4">
                  <c:v>green</c:v>
                </c:pt>
              </c:strCache>
            </c:strRef>
          </c:cat>
          <c:val>
            <c:numRef>
              <c:f>Phytoplankton!$I$24:$I$28</c:f>
              <c:numCache>
                <c:formatCode>#,##0</c:formatCode>
                <c:ptCount val="5"/>
                <c:pt idx="0">
                  <c:v>1379.9102398140831</c:v>
                </c:pt>
                <c:pt idx="1">
                  <c:v>33.84138464335615</c:v>
                </c:pt>
                <c:pt idx="2">
                  <c:v>622.16492068442017</c:v>
                </c:pt>
                <c:pt idx="3">
                  <c:v>20.523310277170609</c:v>
                </c:pt>
                <c:pt idx="4">
                  <c:v>328.87758408375242</c:v>
                </c:pt>
              </c:numCache>
            </c:numRef>
          </c:val>
          <c:extLst>
            <c:ext xmlns:c16="http://schemas.microsoft.com/office/drawing/2014/chart" uri="{C3380CC4-5D6E-409C-BE32-E72D297353CC}">
              <c16:uniqueId val="{00000005-D07D-47C5-88E1-BDAF451D6206}"/>
            </c:ext>
          </c:extLst>
        </c:ser>
        <c:dLbls>
          <c:showLegendKey val="0"/>
          <c:showVal val="0"/>
          <c:showCatName val="0"/>
          <c:showSerName val="0"/>
          <c:showPercent val="0"/>
          <c:showBubbleSize val="0"/>
          <c:showLeaderLines val="0"/>
        </c:dLbls>
        <c:firstSliceAng val="0"/>
      </c:pieChart>
    </c:plotArea>
    <c:plotVisOnly val="1"/>
    <c:dispBlanksAs val="gap"/>
    <c:showDLblsOverMax val="0"/>
  </c:chart>
  <c:printSettings>
    <c:headerFooter/>
    <c:pageMargins b="0.75000000000000211" l="0.70000000000000062" r="0.70000000000000062" t="0.75000000000000211" header="0.30000000000000032" footer="0.30000000000000032"/>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Species Diversity</a:t>
            </a:r>
          </a:p>
        </c:rich>
      </c:tx>
      <c:layout>
        <c:manualLayout>
          <c:xMode val="edge"/>
          <c:yMode val="edge"/>
          <c:x val="0.3441080562906384"/>
          <c:y val="0"/>
        </c:manualLayout>
      </c:layout>
      <c:overlay val="0"/>
    </c:title>
    <c:autoTitleDeleted val="0"/>
    <c:plotArea>
      <c:layout>
        <c:manualLayout>
          <c:layoutTarget val="inner"/>
          <c:xMode val="edge"/>
          <c:yMode val="edge"/>
          <c:x val="0.10836283491827672"/>
          <c:y val="0.13219994412712102"/>
          <c:w val="0.71230003719410573"/>
          <c:h val="0.86780005587287945"/>
        </c:manualLayout>
      </c:layout>
      <c:pieChart>
        <c:varyColors val="1"/>
        <c:ser>
          <c:idx val="0"/>
          <c:order val="0"/>
          <c:tx>
            <c:strRef>
              <c:f>Phytoplankton!$H$23</c:f>
              <c:strCache>
                <c:ptCount val="1"/>
                <c:pt idx="0">
                  <c:v>Species</c:v>
                </c:pt>
              </c:strCache>
            </c:strRef>
          </c:tx>
          <c:explosion val="29"/>
          <c:dPt>
            <c:idx val="0"/>
            <c:bubble3D val="0"/>
            <c:explosion val="0"/>
            <c:extLst>
              <c:ext xmlns:c16="http://schemas.microsoft.com/office/drawing/2014/chart" uri="{C3380CC4-5D6E-409C-BE32-E72D297353CC}">
                <c16:uniqueId val="{00000000-23DB-48A0-A6C8-5960B3371FF1}"/>
              </c:ext>
            </c:extLst>
          </c:dPt>
          <c:dPt>
            <c:idx val="1"/>
            <c:bubble3D val="0"/>
            <c:explosion val="10"/>
            <c:extLst>
              <c:ext xmlns:c16="http://schemas.microsoft.com/office/drawing/2014/chart" uri="{C3380CC4-5D6E-409C-BE32-E72D297353CC}">
                <c16:uniqueId val="{00000001-23DB-48A0-A6C8-5960B3371FF1}"/>
              </c:ext>
            </c:extLst>
          </c:dPt>
          <c:dPt>
            <c:idx val="3"/>
            <c:bubble3D val="0"/>
            <c:explosion val="15"/>
            <c:extLst>
              <c:ext xmlns:c16="http://schemas.microsoft.com/office/drawing/2014/chart" uri="{C3380CC4-5D6E-409C-BE32-E72D297353CC}">
                <c16:uniqueId val="{00000002-23DB-48A0-A6C8-5960B3371FF1}"/>
              </c:ext>
            </c:extLst>
          </c:dPt>
          <c:dLbls>
            <c:dLbl>
              <c:idx val="0"/>
              <c:layout>
                <c:manualLayout>
                  <c:x val="-4.9090286762398509E-2"/>
                  <c:y val="1.494319029651895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23DB-48A0-A6C8-5960B3371FF1}"/>
                </c:ext>
              </c:extLst>
            </c:dLbl>
            <c:dLbl>
              <c:idx val="1"/>
              <c:layout>
                <c:manualLayout>
                  <c:x val="2.9083773344936472E-2"/>
                  <c:y val="0.22382249029236784"/>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3DB-48A0-A6C8-5960B3371FF1}"/>
                </c:ext>
              </c:extLst>
            </c:dLbl>
            <c:dLbl>
              <c:idx val="2"/>
              <c:layout>
                <c:manualLayout>
                  <c:x val="-3.069284846931726E-2"/>
                  <c:y val="-0.11927440215363418"/>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3DB-48A0-A6C8-5960B3371FF1}"/>
                </c:ext>
              </c:extLst>
            </c:dLbl>
            <c:dLbl>
              <c:idx val="3"/>
              <c:layout>
                <c:manualLayout>
                  <c:x val="3.3689880652599369E-2"/>
                  <c:y val="3.3790750458034195E-2"/>
                </c:manualLayout>
              </c:layout>
              <c:tx>
                <c:rich>
                  <a:bodyPr/>
                  <a:lstStyle/>
                  <a:p>
                    <a:r>
                      <a:rPr lang="en-US" sz="800"/>
                      <a:t>dinoflagellate</a:t>
                    </a:r>
                    <a:r>
                      <a:rPr lang="en-US"/>
                      <a:t>
5%</a:t>
                    </a:r>
                  </a:p>
                </c:rich>
              </c:tx>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23DB-48A0-A6C8-5960B3371FF1}"/>
                </c:ext>
              </c:extLst>
            </c:dLbl>
            <c:spPr>
              <a:noFill/>
              <a:ln>
                <a:noFill/>
              </a:ln>
              <a:effectLst/>
            </c:spPr>
            <c:txPr>
              <a:bodyPr/>
              <a:lstStyle/>
              <a:p>
                <a:pPr>
                  <a:defRPr sz="900"/>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Phytoplankton!$G$24:$G$28</c:f>
              <c:strCache>
                <c:ptCount val="5"/>
                <c:pt idx="0">
                  <c:v>bluegreen</c:v>
                </c:pt>
                <c:pt idx="1">
                  <c:v>chrysophyte</c:v>
                </c:pt>
                <c:pt idx="2">
                  <c:v>diatom</c:v>
                </c:pt>
                <c:pt idx="3">
                  <c:v>dinoflagellate</c:v>
                </c:pt>
                <c:pt idx="4">
                  <c:v>green</c:v>
                </c:pt>
              </c:strCache>
            </c:strRef>
          </c:cat>
          <c:val>
            <c:numRef>
              <c:f>Phytoplankton!$H$24:$H$28</c:f>
              <c:numCache>
                <c:formatCode>0</c:formatCode>
                <c:ptCount val="5"/>
                <c:pt idx="0">
                  <c:v>4</c:v>
                </c:pt>
                <c:pt idx="1">
                  <c:v>3</c:v>
                </c:pt>
                <c:pt idx="2">
                  <c:v>41</c:v>
                </c:pt>
                <c:pt idx="3">
                  <c:v>3</c:v>
                </c:pt>
                <c:pt idx="4">
                  <c:v>6</c:v>
                </c:pt>
              </c:numCache>
            </c:numRef>
          </c:val>
          <c:extLst>
            <c:ext xmlns:c16="http://schemas.microsoft.com/office/drawing/2014/chart" uri="{C3380CC4-5D6E-409C-BE32-E72D297353CC}">
              <c16:uniqueId val="{00000004-23DB-48A0-A6C8-5960B3371FF1}"/>
            </c:ext>
          </c:extLst>
        </c:ser>
        <c:dLbls>
          <c:showLegendKey val="0"/>
          <c:showVal val="0"/>
          <c:showCatName val="0"/>
          <c:showSerName val="0"/>
          <c:showPercent val="0"/>
          <c:showBubbleSize val="0"/>
          <c:showLeaderLines val="0"/>
        </c:dLbls>
        <c:firstSliceAng val="0"/>
      </c:pieChart>
    </c:plotArea>
    <c:plotVisOnly val="1"/>
    <c:dispBlanksAs val="gap"/>
    <c:showDLblsOverMax val="0"/>
  </c:chart>
  <c:printSettings>
    <c:headerFooter/>
    <c:pageMargins b="0.750000000000002" l="0.70000000000000062" r="0.70000000000000062" t="0.750000000000002" header="0.30000000000000032" footer="0.30000000000000032"/>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Reservoir Phosphorus</a:t>
            </a:r>
          </a:p>
        </c:rich>
      </c:tx>
      <c:layout>
        <c:manualLayout>
          <c:xMode val="edge"/>
          <c:yMode val="edge"/>
          <c:x val="0.36699860401432982"/>
          <c:y val="0.87175758391156188"/>
        </c:manualLayout>
      </c:layout>
      <c:overlay val="1"/>
    </c:title>
    <c:autoTitleDeleted val="0"/>
    <c:plotArea>
      <c:layout>
        <c:manualLayout>
          <c:layoutTarget val="inner"/>
          <c:xMode val="edge"/>
          <c:yMode val="edge"/>
          <c:x val="9.8571741032371027E-2"/>
          <c:y val="5.1400554097404488E-2"/>
          <c:w val="0.84895100612427499"/>
          <c:h val="0.70651574803149608"/>
        </c:manualLayout>
      </c:layout>
      <c:lineChart>
        <c:grouping val="standard"/>
        <c:varyColors val="0"/>
        <c:ser>
          <c:idx val="0"/>
          <c:order val="0"/>
          <c:tx>
            <c:strRef>
              <c:f>'Monthly Chemistry'!$B$19</c:f>
              <c:strCache>
                <c:ptCount val="1"/>
                <c:pt idx="0">
                  <c:v>Phosphorus, total</c:v>
                </c:pt>
              </c:strCache>
            </c:strRef>
          </c:tx>
          <c:cat>
            <c:numRef>
              <c:f>'Monthly Chemistry'!$C$2:$R$2</c:f>
              <c:numCache>
                <c:formatCode>[$-409]d\-mmm;@</c:formatCode>
                <c:ptCount val="16"/>
                <c:pt idx="0">
                  <c:v>41296</c:v>
                </c:pt>
                <c:pt idx="1">
                  <c:v>41324</c:v>
                </c:pt>
                <c:pt idx="2">
                  <c:v>41358</c:v>
                </c:pt>
                <c:pt idx="3">
                  <c:v>41386</c:v>
                </c:pt>
                <c:pt idx="4">
                  <c:v>41414</c:v>
                </c:pt>
                <c:pt idx="5">
                  <c:v>41442</c:v>
                </c:pt>
                <c:pt idx="6">
                  <c:v>41463</c:v>
                </c:pt>
                <c:pt idx="7">
                  <c:v>41477</c:v>
                </c:pt>
                <c:pt idx="8">
                  <c:v>41491</c:v>
                </c:pt>
                <c:pt idx="9">
                  <c:v>41512</c:v>
                </c:pt>
                <c:pt idx="10">
                  <c:v>41526</c:v>
                </c:pt>
                <c:pt idx="11">
                  <c:v>41540</c:v>
                </c:pt>
                <c:pt idx="12">
                  <c:v>41558</c:v>
                </c:pt>
                <c:pt idx="13">
                  <c:v>41568</c:v>
                </c:pt>
                <c:pt idx="14">
                  <c:v>41596</c:v>
                </c:pt>
                <c:pt idx="15">
                  <c:v>41624</c:v>
                </c:pt>
              </c:numCache>
            </c:numRef>
          </c:cat>
          <c:val>
            <c:numRef>
              <c:f>'Monthly Chemistry'!$C$19:$R$19</c:f>
              <c:numCache>
                <c:formatCode>0</c:formatCode>
                <c:ptCount val="16"/>
                <c:pt idx="0">
                  <c:v>22</c:v>
                </c:pt>
                <c:pt idx="1">
                  <c:v>15</c:v>
                </c:pt>
                <c:pt idx="2">
                  <c:v>25</c:v>
                </c:pt>
                <c:pt idx="3">
                  <c:v>14</c:v>
                </c:pt>
                <c:pt idx="4">
                  <c:v>35</c:v>
                </c:pt>
                <c:pt idx="5">
                  <c:v>61</c:v>
                </c:pt>
                <c:pt idx="6">
                  <c:v>132</c:v>
                </c:pt>
                <c:pt idx="7">
                  <c:v>86</c:v>
                </c:pt>
                <c:pt idx="8">
                  <c:v>128</c:v>
                </c:pt>
                <c:pt idx="9">
                  <c:v>123</c:v>
                </c:pt>
                <c:pt idx="10">
                  <c:v>138</c:v>
                </c:pt>
                <c:pt idx="11">
                  <c:v>166</c:v>
                </c:pt>
                <c:pt idx="12">
                  <c:v>53</c:v>
                </c:pt>
                <c:pt idx="13">
                  <c:v>26</c:v>
                </c:pt>
                <c:pt idx="14">
                  <c:v>47</c:v>
                </c:pt>
                <c:pt idx="15">
                  <c:v>16</c:v>
                </c:pt>
              </c:numCache>
            </c:numRef>
          </c:val>
          <c:smooth val="0"/>
          <c:extLst>
            <c:ext xmlns:c16="http://schemas.microsoft.com/office/drawing/2014/chart" uri="{C3380CC4-5D6E-409C-BE32-E72D297353CC}">
              <c16:uniqueId val="{00000000-771B-4B91-88A3-24C76D7A6EAD}"/>
            </c:ext>
          </c:extLst>
        </c:ser>
        <c:ser>
          <c:idx val="1"/>
          <c:order val="1"/>
          <c:tx>
            <c:strRef>
              <c:f>'Monthly Chemistry'!$B$20</c:f>
              <c:strCache>
                <c:ptCount val="1"/>
                <c:pt idx="0">
                  <c:v>Total Dissolved Phosphorus</c:v>
                </c:pt>
              </c:strCache>
            </c:strRef>
          </c:tx>
          <c:cat>
            <c:numRef>
              <c:f>'Monthly Chemistry'!$C$2:$R$2</c:f>
              <c:numCache>
                <c:formatCode>[$-409]d\-mmm;@</c:formatCode>
                <c:ptCount val="16"/>
                <c:pt idx="0">
                  <c:v>41296</c:v>
                </c:pt>
                <c:pt idx="1">
                  <c:v>41324</c:v>
                </c:pt>
                <c:pt idx="2">
                  <c:v>41358</c:v>
                </c:pt>
                <c:pt idx="3">
                  <c:v>41386</c:v>
                </c:pt>
                <c:pt idx="4">
                  <c:v>41414</c:v>
                </c:pt>
                <c:pt idx="5">
                  <c:v>41442</c:v>
                </c:pt>
                <c:pt idx="6">
                  <c:v>41463</c:v>
                </c:pt>
                <c:pt idx="7">
                  <c:v>41477</c:v>
                </c:pt>
                <c:pt idx="8">
                  <c:v>41491</c:v>
                </c:pt>
                <c:pt idx="9">
                  <c:v>41512</c:v>
                </c:pt>
                <c:pt idx="10">
                  <c:v>41526</c:v>
                </c:pt>
                <c:pt idx="11">
                  <c:v>41540</c:v>
                </c:pt>
                <c:pt idx="12">
                  <c:v>41558</c:v>
                </c:pt>
                <c:pt idx="13">
                  <c:v>41568</c:v>
                </c:pt>
                <c:pt idx="14">
                  <c:v>41596</c:v>
                </c:pt>
                <c:pt idx="15">
                  <c:v>41624</c:v>
                </c:pt>
              </c:numCache>
            </c:numRef>
          </c:cat>
          <c:val>
            <c:numRef>
              <c:f>'Monthly Chemistry'!$C$20:$R$20</c:f>
              <c:numCache>
                <c:formatCode>0</c:formatCode>
                <c:ptCount val="16"/>
                <c:pt idx="0">
                  <c:v>13</c:v>
                </c:pt>
                <c:pt idx="1">
                  <c:v>3</c:v>
                </c:pt>
                <c:pt idx="2">
                  <c:v>4</c:v>
                </c:pt>
                <c:pt idx="3">
                  <c:v>3</c:v>
                </c:pt>
                <c:pt idx="4">
                  <c:v>10</c:v>
                </c:pt>
                <c:pt idx="5">
                  <c:v>27</c:v>
                </c:pt>
                <c:pt idx="6">
                  <c:v>61</c:v>
                </c:pt>
                <c:pt idx="7">
                  <c:v>25</c:v>
                </c:pt>
                <c:pt idx="8">
                  <c:v>88</c:v>
                </c:pt>
                <c:pt idx="9">
                  <c:v>99</c:v>
                </c:pt>
                <c:pt idx="10">
                  <c:v>60</c:v>
                </c:pt>
                <c:pt idx="11">
                  <c:v>30</c:v>
                </c:pt>
                <c:pt idx="12">
                  <c:v>26</c:v>
                </c:pt>
                <c:pt idx="13">
                  <c:v>3</c:v>
                </c:pt>
                <c:pt idx="14">
                  <c:v>18</c:v>
                </c:pt>
                <c:pt idx="15">
                  <c:v>5</c:v>
                </c:pt>
              </c:numCache>
            </c:numRef>
          </c:val>
          <c:smooth val="0"/>
          <c:extLst>
            <c:ext xmlns:c16="http://schemas.microsoft.com/office/drawing/2014/chart" uri="{C3380CC4-5D6E-409C-BE32-E72D297353CC}">
              <c16:uniqueId val="{00000001-771B-4B91-88A3-24C76D7A6EAD}"/>
            </c:ext>
          </c:extLst>
        </c:ser>
        <c:dLbls>
          <c:showLegendKey val="0"/>
          <c:showVal val="0"/>
          <c:showCatName val="0"/>
          <c:showSerName val="0"/>
          <c:showPercent val="0"/>
          <c:showBubbleSize val="0"/>
        </c:dLbls>
        <c:marker val="1"/>
        <c:smooth val="0"/>
        <c:axId val="148026880"/>
        <c:axId val="148028416"/>
      </c:lineChart>
      <c:dateAx>
        <c:axId val="148026880"/>
        <c:scaling>
          <c:orientation val="minMax"/>
        </c:scaling>
        <c:delete val="0"/>
        <c:axPos val="b"/>
        <c:numFmt formatCode="[$-409]mmmmm;@" sourceLinked="0"/>
        <c:majorTickMark val="out"/>
        <c:minorTickMark val="none"/>
        <c:tickLblPos val="nextTo"/>
        <c:crossAx val="148028416"/>
        <c:crosses val="autoZero"/>
        <c:auto val="1"/>
        <c:lblOffset val="100"/>
        <c:baseTimeUnit val="days"/>
        <c:majorUnit val="1"/>
        <c:majorTimeUnit val="months"/>
        <c:minorUnit val="15"/>
        <c:minorTimeUnit val="days"/>
      </c:dateAx>
      <c:valAx>
        <c:axId val="148028416"/>
        <c:scaling>
          <c:orientation val="minMax"/>
        </c:scaling>
        <c:delete val="0"/>
        <c:axPos val="l"/>
        <c:majorGridlines/>
        <c:minorGridlines/>
        <c:numFmt formatCode="0" sourceLinked="1"/>
        <c:majorTickMark val="out"/>
        <c:minorTickMark val="none"/>
        <c:tickLblPos val="nextTo"/>
        <c:crossAx val="148026880"/>
        <c:crossesAt val="40203"/>
        <c:crossBetween val="midCat"/>
      </c:valAx>
    </c:plotArea>
    <c:legend>
      <c:legendPos val="r"/>
      <c:layout>
        <c:manualLayout>
          <c:xMode val="edge"/>
          <c:yMode val="edge"/>
          <c:x val="0.15286015198811684"/>
          <c:y val="7.8599557658631414E-2"/>
          <c:w val="0.27492920997639886"/>
          <c:h val="0.15587857939340585"/>
        </c:manualLayout>
      </c:layout>
      <c:overlay val="0"/>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c:spPr>
      <c:txPr>
        <a:bodyPr/>
        <a:lstStyle/>
        <a:p>
          <a:pPr>
            <a:defRPr sz="1100"/>
          </a:pPr>
          <a:endParaRPr lang="en-US"/>
        </a:p>
      </c:txPr>
    </c:legend>
    <c:plotVisOnly val="1"/>
    <c:dispBlanksAs val="gap"/>
    <c:showDLblsOverMax val="0"/>
  </c:chart>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c:spPr>
  <c:printSettings>
    <c:headerFooter/>
    <c:pageMargins b="0.75000000000001465" l="0.70000000000000062" r="0.70000000000000062" t="0.75000000000001465" header="0.30000000000000032" footer="0.30000000000000032"/>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Reservoir Nitrate/Nitrite  </a:t>
            </a:r>
          </a:p>
        </c:rich>
      </c:tx>
      <c:layout>
        <c:manualLayout>
          <c:xMode val="edge"/>
          <c:yMode val="edge"/>
          <c:x val="0.36757028526436197"/>
          <c:y val="0.86236910640510922"/>
        </c:manualLayout>
      </c:layout>
      <c:overlay val="0"/>
    </c:title>
    <c:autoTitleDeleted val="0"/>
    <c:plotArea>
      <c:layout>
        <c:manualLayout>
          <c:layoutTarget val="inner"/>
          <c:xMode val="edge"/>
          <c:yMode val="edge"/>
          <c:x val="0.15747462817148244"/>
          <c:y val="0.19480351414406533"/>
          <c:w val="0.78925131698963169"/>
          <c:h val="0.57160776902889165"/>
        </c:manualLayout>
      </c:layout>
      <c:lineChart>
        <c:grouping val="standard"/>
        <c:varyColors val="0"/>
        <c:ser>
          <c:idx val="0"/>
          <c:order val="0"/>
          <c:tx>
            <c:strRef>
              <c:f>'Monthly Chemistry'!$A$15:$A$21</c:f>
              <c:strCache>
                <c:ptCount val="1"/>
                <c:pt idx="0">
                  <c:v>BCR Top, Site 40a</c:v>
                </c:pt>
              </c:strCache>
            </c:strRef>
          </c:tx>
          <c:cat>
            <c:numRef>
              <c:f>'Monthly Chemistry'!$C$2:$R$2</c:f>
              <c:numCache>
                <c:formatCode>[$-409]d\-mmm;@</c:formatCode>
                <c:ptCount val="16"/>
                <c:pt idx="0">
                  <c:v>41296</c:v>
                </c:pt>
                <c:pt idx="1">
                  <c:v>41324</c:v>
                </c:pt>
                <c:pt idx="2">
                  <c:v>41358</c:v>
                </c:pt>
                <c:pt idx="3">
                  <c:v>41386</c:v>
                </c:pt>
                <c:pt idx="4">
                  <c:v>41414</c:v>
                </c:pt>
                <c:pt idx="5">
                  <c:v>41442</c:v>
                </c:pt>
                <c:pt idx="6">
                  <c:v>41463</c:v>
                </c:pt>
                <c:pt idx="7">
                  <c:v>41477</c:v>
                </c:pt>
                <c:pt idx="8">
                  <c:v>41491</c:v>
                </c:pt>
                <c:pt idx="9">
                  <c:v>41512</c:v>
                </c:pt>
                <c:pt idx="10">
                  <c:v>41526</c:v>
                </c:pt>
                <c:pt idx="11">
                  <c:v>41540</c:v>
                </c:pt>
                <c:pt idx="12">
                  <c:v>41558</c:v>
                </c:pt>
                <c:pt idx="13">
                  <c:v>41568</c:v>
                </c:pt>
                <c:pt idx="14">
                  <c:v>41596</c:v>
                </c:pt>
                <c:pt idx="15">
                  <c:v>41624</c:v>
                </c:pt>
              </c:numCache>
            </c:numRef>
          </c:cat>
          <c:val>
            <c:numRef>
              <c:f>'Monthly Chemistry'!$C$17:$R$17</c:f>
              <c:numCache>
                <c:formatCode>0</c:formatCode>
                <c:ptCount val="16"/>
                <c:pt idx="0">
                  <c:v>183</c:v>
                </c:pt>
                <c:pt idx="1">
                  <c:v>279</c:v>
                </c:pt>
                <c:pt idx="2">
                  <c:v>174</c:v>
                </c:pt>
                <c:pt idx="3">
                  <c:v>40</c:v>
                </c:pt>
                <c:pt idx="4">
                  <c:v>293</c:v>
                </c:pt>
                <c:pt idx="5">
                  <c:v>151</c:v>
                </c:pt>
                <c:pt idx="6">
                  <c:v>159</c:v>
                </c:pt>
                <c:pt idx="7">
                  <c:v>44</c:v>
                </c:pt>
                <c:pt idx="8">
                  <c:v>36</c:v>
                </c:pt>
                <c:pt idx="9">
                  <c:v>57</c:v>
                </c:pt>
                <c:pt idx="10">
                  <c:v>75</c:v>
                </c:pt>
                <c:pt idx="11">
                  <c:v>209</c:v>
                </c:pt>
                <c:pt idx="12">
                  <c:v>173</c:v>
                </c:pt>
                <c:pt idx="13">
                  <c:v>225</c:v>
                </c:pt>
                <c:pt idx="14">
                  <c:v>316</c:v>
                </c:pt>
                <c:pt idx="15">
                  <c:v>426</c:v>
                </c:pt>
              </c:numCache>
            </c:numRef>
          </c:val>
          <c:smooth val="0"/>
          <c:extLst>
            <c:ext xmlns:c16="http://schemas.microsoft.com/office/drawing/2014/chart" uri="{C3380CC4-5D6E-409C-BE32-E72D297353CC}">
              <c16:uniqueId val="{00000000-F55F-4B62-A1C1-B9F2ED644FCE}"/>
            </c:ext>
          </c:extLst>
        </c:ser>
        <c:ser>
          <c:idx val="1"/>
          <c:order val="1"/>
          <c:tx>
            <c:strRef>
              <c:f>'Monthly Chemistry'!$A$22:$A$27</c:f>
              <c:strCache>
                <c:ptCount val="1"/>
                <c:pt idx="0">
                  <c:v>BCR  -10m, Site 40c</c:v>
                </c:pt>
              </c:strCache>
            </c:strRef>
          </c:tx>
          <c:cat>
            <c:numRef>
              <c:f>'Monthly Chemistry'!$C$2:$R$2</c:f>
              <c:numCache>
                <c:formatCode>[$-409]d\-mmm;@</c:formatCode>
                <c:ptCount val="16"/>
                <c:pt idx="0">
                  <c:v>41296</c:v>
                </c:pt>
                <c:pt idx="1">
                  <c:v>41324</c:v>
                </c:pt>
                <c:pt idx="2">
                  <c:v>41358</c:v>
                </c:pt>
                <c:pt idx="3">
                  <c:v>41386</c:v>
                </c:pt>
                <c:pt idx="4">
                  <c:v>41414</c:v>
                </c:pt>
                <c:pt idx="5">
                  <c:v>41442</c:v>
                </c:pt>
                <c:pt idx="6">
                  <c:v>41463</c:v>
                </c:pt>
                <c:pt idx="7">
                  <c:v>41477</c:v>
                </c:pt>
                <c:pt idx="8">
                  <c:v>41491</c:v>
                </c:pt>
                <c:pt idx="9">
                  <c:v>41512</c:v>
                </c:pt>
                <c:pt idx="10">
                  <c:v>41526</c:v>
                </c:pt>
                <c:pt idx="11">
                  <c:v>41540</c:v>
                </c:pt>
                <c:pt idx="12">
                  <c:v>41558</c:v>
                </c:pt>
                <c:pt idx="13">
                  <c:v>41568</c:v>
                </c:pt>
                <c:pt idx="14">
                  <c:v>41596</c:v>
                </c:pt>
                <c:pt idx="15">
                  <c:v>41624</c:v>
                </c:pt>
              </c:numCache>
            </c:numRef>
          </c:cat>
          <c:val>
            <c:numRef>
              <c:f>'Monthly Chemistry'!$C$22:$R$22</c:f>
              <c:numCache>
                <c:formatCode>0</c:formatCode>
                <c:ptCount val="16"/>
                <c:pt idx="0">
                  <c:v>736</c:v>
                </c:pt>
                <c:pt idx="1">
                  <c:v>808</c:v>
                </c:pt>
                <c:pt idx="2">
                  <c:v>673</c:v>
                </c:pt>
                <c:pt idx="3">
                  <c:v>495</c:v>
                </c:pt>
                <c:pt idx="4">
                  <c:v>760</c:v>
                </c:pt>
                <c:pt idx="5">
                  <c:v>637</c:v>
                </c:pt>
                <c:pt idx="6">
                  <c:v>713</c:v>
                </c:pt>
                <c:pt idx="7">
                  <c:v>1049</c:v>
                </c:pt>
                <c:pt idx="8">
                  <c:v>978</c:v>
                </c:pt>
                <c:pt idx="9">
                  <c:v>861</c:v>
                </c:pt>
                <c:pt idx="10">
                  <c:v>453</c:v>
                </c:pt>
                <c:pt idx="11">
                  <c:v>676</c:v>
                </c:pt>
                <c:pt idx="12">
                  <c:v>723</c:v>
                </c:pt>
                <c:pt idx="13">
                  <c:v>633</c:v>
                </c:pt>
                <c:pt idx="14">
                  <c:v>625</c:v>
                </c:pt>
                <c:pt idx="15">
                  <c:v>748</c:v>
                </c:pt>
              </c:numCache>
            </c:numRef>
          </c:val>
          <c:smooth val="0"/>
          <c:extLst>
            <c:ext xmlns:c16="http://schemas.microsoft.com/office/drawing/2014/chart" uri="{C3380CC4-5D6E-409C-BE32-E72D297353CC}">
              <c16:uniqueId val="{00000001-F55F-4B62-A1C1-B9F2ED644FCE}"/>
            </c:ext>
          </c:extLst>
        </c:ser>
        <c:dLbls>
          <c:showLegendKey val="0"/>
          <c:showVal val="0"/>
          <c:showCatName val="0"/>
          <c:showSerName val="0"/>
          <c:showPercent val="0"/>
          <c:showBubbleSize val="0"/>
        </c:dLbls>
        <c:hiLowLines/>
        <c:marker val="1"/>
        <c:smooth val="0"/>
        <c:axId val="150568960"/>
        <c:axId val="150570496"/>
      </c:lineChart>
      <c:dateAx>
        <c:axId val="150568960"/>
        <c:scaling>
          <c:orientation val="minMax"/>
        </c:scaling>
        <c:delete val="0"/>
        <c:axPos val="t"/>
        <c:numFmt formatCode="[$-409]mmmmm;@" sourceLinked="0"/>
        <c:majorTickMark val="in"/>
        <c:minorTickMark val="out"/>
        <c:tickLblPos val="low"/>
        <c:crossAx val="150570496"/>
        <c:crosses val="autoZero"/>
        <c:auto val="0"/>
        <c:lblOffset val="100"/>
        <c:baseTimeUnit val="days"/>
        <c:majorUnit val="1"/>
        <c:majorTimeUnit val="months"/>
        <c:minorUnit val="15"/>
        <c:minorTimeUnit val="months"/>
      </c:dateAx>
      <c:valAx>
        <c:axId val="150570496"/>
        <c:scaling>
          <c:orientation val="maxMin"/>
        </c:scaling>
        <c:delete val="0"/>
        <c:axPos val="l"/>
        <c:majorGridlines/>
        <c:minorGridlines/>
        <c:title>
          <c:tx>
            <c:rich>
              <a:bodyPr/>
              <a:lstStyle/>
              <a:p>
                <a:pPr>
                  <a:defRPr/>
                </a:pPr>
                <a:r>
                  <a:rPr lang="en-US"/>
                  <a:t>ug/l</a:t>
                </a:r>
              </a:p>
            </c:rich>
          </c:tx>
          <c:overlay val="0"/>
        </c:title>
        <c:numFmt formatCode="0" sourceLinked="1"/>
        <c:majorTickMark val="out"/>
        <c:minorTickMark val="none"/>
        <c:tickLblPos val="nextTo"/>
        <c:crossAx val="150568960"/>
        <c:crossesAt val="40203"/>
        <c:crossBetween val="between"/>
      </c:valAx>
    </c:plotArea>
    <c:legend>
      <c:legendPos val="r"/>
      <c:layout>
        <c:manualLayout>
          <c:xMode val="edge"/>
          <c:yMode val="edge"/>
          <c:x val="0.30069479674883531"/>
          <c:y val="0.78295537320311326"/>
          <c:w val="0.50457199542273956"/>
          <c:h val="9.9838583398990266E-2"/>
        </c:manualLayout>
      </c:layout>
      <c:overlay val="0"/>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c:spPr>
      <c:txPr>
        <a:bodyPr/>
        <a:lstStyle/>
        <a:p>
          <a:pPr>
            <a:defRPr sz="1050"/>
          </a:pPr>
          <a:endParaRPr lang="en-US"/>
        </a:p>
      </c:txPr>
    </c:legend>
    <c:plotVisOnly val="1"/>
    <c:dispBlanksAs val="gap"/>
    <c:showDLblsOverMax val="0"/>
  </c:chart>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c:spPr>
  <c:printSettings>
    <c:headerFooter/>
    <c:pageMargins b="0.75000000000001465" l="0.70000000000000062" r="0.70000000000000062" t="0.75000000000001465" header="0.30000000000000032" footer="0.30000000000000032"/>
    <c:pageSetup orientation="landscape"/>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manualLayout>
          <c:layoutTarget val="inner"/>
          <c:xMode val="edge"/>
          <c:yMode val="edge"/>
          <c:x val="7.2469791943988365E-2"/>
          <c:y val="0.18707900550190903"/>
          <c:w val="0.88561418763856581"/>
          <c:h val="0.69728613399573536"/>
        </c:manualLayout>
      </c:layout>
      <c:areaChart>
        <c:grouping val="standard"/>
        <c:varyColors val="0"/>
        <c:ser>
          <c:idx val="0"/>
          <c:order val="0"/>
          <c:tx>
            <c:strRef>
              <c:f>'Monthly Chemistry'!$B$15</c:f>
              <c:strCache>
                <c:ptCount val="1"/>
                <c:pt idx="0">
                  <c:v>Chlorophyll a</c:v>
                </c:pt>
              </c:strCache>
            </c:strRef>
          </c:tx>
          <c:spPr>
            <a:solidFill>
              <a:schemeClr val="accent1"/>
            </a:solidFill>
          </c:spPr>
          <c:cat>
            <c:numRef>
              <c:f>'Monthly Chemistry'!$C$2:$R$2</c:f>
              <c:numCache>
                <c:formatCode>[$-409]d\-mmm;@</c:formatCode>
                <c:ptCount val="16"/>
                <c:pt idx="0">
                  <c:v>41296</c:v>
                </c:pt>
                <c:pt idx="1">
                  <c:v>41324</c:v>
                </c:pt>
                <c:pt idx="2">
                  <c:v>41358</c:v>
                </c:pt>
                <c:pt idx="3">
                  <c:v>41386</c:v>
                </c:pt>
                <c:pt idx="4">
                  <c:v>41414</c:v>
                </c:pt>
                <c:pt idx="5">
                  <c:v>41442</c:v>
                </c:pt>
                <c:pt idx="6">
                  <c:v>41463</c:v>
                </c:pt>
                <c:pt idx="7">
                  <c:v>41477</c:v>
                </c:pt>
                <c:pt idx="8">
                  <c:v>41491</c:v>
                </c:pt>
                <c:pt idx="9">
                  <c:v>41512</c:v>
                </c:pt>
                <c:pt idx="10">
                  <c:v>41526</c:v>
                </c:pt>
                <c:pt idx="11">
                  <c:v>41540</c:v>
                </c:pt>
                <c:pt idx="12">
                  <c:v>41558</c:v>
                </c:pt>
                <c:pt idx="13">
                  <c:v>41568</c:v>
                </c:pt>
                <c:pt idx="14">
                  <c:v>41596</c:v>
                </c:pt>
                <c:pt idx="15">
                  <c:v>41624</c:v>
                </c:pt>
              </c:numCache>
            </c:numRef>
          </c:cat>
          <c:val>
            <c:numRef>
              <c:f>'Monthly Chemistry'!$C$15:$R$15</c:f>
              <c:numCache>
                <c:formatCode>0</c:formatCode>
                <c:ptCount val="16"/>
                <c:pt idx="0">
                  <c:v>1.2</c:v>
                </c:pt>
                <c:pt idx="1">
                  <c:v>0.1</c:v>
                </c:pt>
                <c:pt idx="2">
                  <c:v>20.2</c:v>
                </c:pt>
                <c:pt idx="3">
                  <c:v>8.15</c:v>
                </c:pt>
                <c:pt idx="4">
                  <c:v>1.2</c:v>
                </c:pt>
                <c:pt idx="5">
                  <c:v>3.7</c:v>
                </c:pt>
                <c:pt idx="6">
                  <c:v>31.400000000000002</c:v>
                </c:pt>
                <c:pt idx="7">
                  <c:v>33.5</c:v>
                </c:pt>
                <c:pt idx="8">
                  <c:v>26.55</c:v>
                </c:pt>
                <c:pt idx="9">
                  <c:v>8.1999999999999993</c:v>
                </c:pt>
                <c:pt idx="10">
                  <c:v>54.3</c:v>
                </c:pt>
                <c:pt idx="11">
                  <c:v>4.5999999999999996</c:v>
                </c:pt>
                <c:pt idx="12">
                  <c:v>12.3</c:v>
                </c:pt>
                <c:pt idx="13">
                  <c:v>11.7</c:v>
                </c:pt>
                <c:pt idx="14">
                  <c:v>1.5</c:v>
                </c:pt>
                <c:pt idx="15">
                  <c:v>2.8</c:v>
                </c:pt>
              </c:numCache>
            </c:numRef>
          </c:val>
          <c:extLst>
            <c:ext xmlns:c16="http://schemas.microsoft.com/office/drawing/2014/chart" uri="{C3380CC4-5D6E-409C-BE32-E72D297353CC}">
              <c16:uniqueId val="{00000000-1BAD-492A-90BB-41EF8DC56CD5}"/>
            </c:ext>
          </c:extLst>
        </c:ser>
        <c:dLbls>
          <c:showLegendKey val="0"/>
          <c:showVal val="0"/>
          <c:showCatName val="0"/>
          <c:showSerName val="0"/>
          <c:showPercent val="0"/>
          <c:showBubbleSize val="0"/>
        </c:dLbls>
        <c:axId val="150598016"/>
        <c:axId val="150599552"/>
      </c:areaChart>
      <c:dateAx>
        <c:axId val="150598016"/>
        <c:scaling>
          <c:orientation val="minMax"/>
        </c:scaling>
        <c:delete val="0"/>
        <c:axPos val="b"/>
        <c:numFmt formatCode="[$-409]mmmmm;@" sourceLinked="0"/>
        <c:majorTickMark val="out"/>
        <c:minorTickMark val="none"/>
        <c:tickLblPos val="nextTo"/>
        <c:crossAx val="150599552"/>
        <c:crosses val="autoZero"/>
        <c:auto val="1"/>
        <c:lblOffset val="100"/>
        <c:baseTimeUnit val="days"/>
        <c:majorUnit val="30"/>
        <c:majorTimeUnit val="days"/>
        <c:minorUnit val="15"/>
        <c:minorTimeUnit val="days"/>
      </c:dateAx>
      <c:valAx>
        <c:axId val="150599552"/>
        <c:scaling>
          <c:orientation val="minMax"/>
        </c:scaling>
        <c:delete val="0"/>
        <c:axPos val="l"/>
        <c:majorGridlines/>
        <c:numFmt formatCode="0" sourceLinked="1"/>
        <c:majorTickMark val="out"/>
        <c:minorTickMark val="none"/>
        <c:tickLblPos val="nextTo"/>
        <c:crossAx val="150598016"/>
        <c:crossesAt val="40179"/>
        <c:crossBetween val="midCat"/>
      </c:valAx>
    </c:plotArea>
    <c:plotVisOnly val="1"/>
    <c:dispBlanksAs val="gap"/>
    <c:showDLblsOverMax val="0"/>
  </c:chart>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sz="1000"/>
              <a:t>Secchi Depth [meter] Trend</a:t>
            </a:r>
          </a:p>
        </c:rich>
      </c:tx>
      <c:layout>
        <c:manualLayout>
          <c:xMode val="edge"/>
          <c:yMode val="edge"/>
          <c:x val="0.35785126859142607"/>
          <c:y val="1.782777963108375E-2"/>
        </c:manualLayout>
      </c:layout>
      <c:overlay val="0"/>
      <c:spPr>
        <a:noFill/>
        <a:ln w="25400">
          <a:noFill/>
        </a:ln>
      </c:spPr>
    </c:title>
    <c:autoTitleDeleted val="0"/>
    <c:plotArea>
      <c:layout>
        <c:manualLayout>
          <c:layoutTarget val="inner"/>
          <c:xMode val="edge"/>
          <c:yMode val="edge"/>
          <c:x val="7.968135240420389E-2"/>
          <c:y val="0.26157560376571282"/>
          <c:w val="0.89243114692708359"/>
          <c:h val="0.69369769401452974"/>
        </c:manualLayout>
      </c:layout>
      <c:barChart>
        <c:barDir val="col"/>
        <c:grouping val="clustered"/>
        <c:varyColors val="0"/>
        <c:ser>
          <c:idx val="0"/>
          <c:order val="0"/>
          <c:tx>
            <c:strRef>
              <c:f>'Annual Reservoir Trends'!$A$22</c:f>
              <c:strCache>
                <c:ptCount val="1"/>
                <c:pt idx="0">
                  <c:v>Secchi Depth (m)</c:v>
                </c:pt>
              </c:strCache>
            </c:strRef>
          </c:tx>
          <c:spPr>
            <a:solidFill>
              <a:srgbClr val="9999FF"/>
            </a:solidFill>
            <a:ln w="12700">
              <a:solidFill>
                <a:srgbClr val="000000"/>
              </a:solidFill>
              <a:prstDash val="solid"/>
            </a:ln>
          </c:spPr>
          <c:invertIfNegative val="0"/>
          <c:trendline>
            <c:spPr>
              <a:ln w="25400">
                <a:solidFill>
                  <a:srgbClr val="000000"/>
                </a:solidFill>
                <a:prstDash val="solid"/>
              </a:ln>
            </c:spPr>
            <c:trendlineType val="poly"/>
            <c:order val="3"/>
            <c:dispRSqr val="0"/>
            <c:dispEq val="0"/>
          </c:trendline>
          <c:cat>
            <c:numRef>
              <c:f>'Annual Reservoir Trends'!$C$3:$Y$3</c:f>
              <c:numCache>
                <c:formatCode>[$-409]d\-mmm;@</c:formatCode>
                <c:ptCount val="2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numCache>
            </c:numRef>
          </c:cat>
          <c:val>
            <c:numRef>
              <c:f>'Annual Reservoir Trends'!$C$22:$Y$22</c:f>
              <c:numCache>
                <c:formatCode>0.0</c:formatCode>
                <c:ptCount val="23"/>
                <c:pt idx="0">
                  <c:v>2.17</c:v>
                </c:pt>
                <c:pt idx="1">
                  <c:v>2.1</c:v>
                </c:pt>
                <c:pt idx="2">
                  <c:v>2.84</c:v>
                </c:pt>
                <c:pt idx="3">
                  <c:v>1.79</c:v>
                </c:pt>
                <c:pt idx="4">
                  <c:v>2.14</c:v>
                </c:pt>
                <c:pt idx="5">
                  <c:v>2.5099999999999998</c:v>
                </c:pt>
                <c:pt idx="6">
                  <c:v>1.7</c:v>
                </c:pt>
                <c:pt idx="7">
                  <c:v>1.8</c:v>
                </c:pt>
                <c:pt idx="8">
                  <c:v>1.8</c:v>
                </c:pt>
                <c:pt idx="9">
                  <c:v>2.4</c:v>
                </c:pt>
                <c:pt idx="10">
                  <c:v>2.2999999999999998</c:v>
                </c:pt>
                <c:pt idx="11">
                  <c:v>3</c:v>
                </c:pt>
                <c:pt idx="12">
                  <c:v>1.7</c:v>
                </c:pt>
                <c:pt idx="13">
                  <c:v>2.6</c:v>
                </c:pt>
                <c:pt idx="14">
                  <c:v>2.0656249999999998</c:v>
                </c:pt>
                <c:pt idx="15">
                  <c:v>2.4</c:v>
                </c:pt>
                <c:pt idx="16">
                  <c:v>1.7</c:v>
                </c:pt>
                <c:pt idx="17">
                  <c:v>2.4</c:v>
                </c:pt>
                <c:pt idx="18">
                  <c:v>2.7</c:v>
                </c:pt>
                <c:pt idx="19">
                  <c:v>1.7</c:v>
                </c:pt>
                <c:pt idx="20">
                  <c:v>2.2000000000000002</c:v>
                </c:pt>
                <c:pt idx="21">
                  <c:v>2.1800000000000002</c:v>
                </c:pt>
                <c:pt idx="22">
                  <c:v>1.86</c:v>
                </c:pt>
              </c:numCache>
            </c:numRef>
          </c:val>
          <c:extLst>
            <c:ext xmlns:c16="http://schemas.microsoft.com/office/drawing/2014/chart" uri="{C3380CC4-5D6E-409C-BE32-E72D297353CC}">
              <c16:uniqueId val="{00000001-3563-4700-B84A-DFE9A1632968}"/>
            </c:ext>
          </c:extLst>
        </c:ser>
        <c:dLbls>
          <c:showLegendKey val="0"/>
          <c:showVal val="0"/>
          <c:showCatName val="0"/>
          <c:showSerName val="0"/>
          <c:showPercent val="0"/>
          <c:showBubbleSize val="0"/>
        </c:dLbls>
        <c:gapWidth val="150"/>
        <c:axId val="104161280"/>
        <c:axId val="104162816"/>
      </c:barChart>
      <c:dateAx>
        <c:axId val="104161280"/>
        <c:scaling>
          <c:orientation val="minMax"/>
        </c:scaling>
        <c:delete val="0"/>
        <c:axPos val="t"/>
        <c:numFmt formatCode="[$-409]d\-mmm;@"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04162816"/>
        <c:crosses val="autoZero"/>
        <c:auto val="1"/>
        <c:lblOffset val="100"/>
        <c:baseTimeUnit val="days"/>
        <c:majorUnit val="1"/>
        <c:minorUnit val="1"/>
      </c:dateAx>
      <c:valAx>
        <c:axId val="104162816"/>
        <c:scaling>
          <c:orientation val="maxMin"/>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04161280"/>
        <c:crosses val="autoZero"/>
        <c:crossBetween val="between"/>
      </c:valAx>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horizontalDpi="-2"/>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Bear Creek Reservoir </a:t>
            </a:r>
          </a:p>
        </c:rich>
      </c:tx>
      <c:layout>
        <c:manualLayout>
          <c:xMode val="edge"/>
          <c:yMode val="edge"/>
          <c:x val="0.32243051349350582"/>
          <c:y val="4.6413502109704664E-2"/>
        </c:manualLayout>
      </c:layout>
      <c:overlay val="1"/>
    </c:title>
    <c:autoTitleDeleted val="0"/>
    <c:plotArea>
      <c:layout>
        <c:manualLayout>
          <c:layoutTarget val="inner"/>
          <c:xMode val="edge"/>
          <c:yMode val="edge"/>
          <c:x val="8.3890765843411708E-2"/>
          <c:y val="0.14127731596469484"/>
          <c:w val="0.84541017479197456"/>
          <c:h val="0.70652297021584776"/>
        </c:manualLayout>
      </c:layout>
      <c:lineChart>
        <c:grouping val="standard"/>
        <c:varyColors val="0"/>
        <c:ser>
          <c:idx val="0"/>
          <c:order val="0"/>
          <c:tx>
            <c:strRef>
              <c:f>'Monthly Chemistry'!$B$15</c:f>
              <c:strCache>
                <c:ptCount val="1"/>
                <c:pt idx="0">
                  <c:v>Chlorophyll a</c:v>
                </c:pt>
              </c:strCache>
            </c:strRef>
          </c:tx>
          <c:marker>
            <c:symbol val="none"/>
          </c:marker>
          <c:cat>
            <c:numRef>
              <c:f>'Monthly Chemistry'!$C$2:$R$2</c:f>
              <c:numCache>
                <c:formatCode>[$-409]d\-mmm;@</c:formatCode>
                <c:ptCount val="16"/>
                <c:pt idx="0">
                  <c:v>41296</c:v>
                </c:pt>
                <c:pt idx="1">
                  <c:v>41324</c:v>
                </c:pt>
                <c:pt idx="2">
                  <c:v>41358</c:v>
                </c:pt>
                <c:pt idx="3">
                  <c:v>41386</c:v>
                </c:pt>
                <c:pt idx="4">
                  <c:v>41414</c:v>
                </c:pt>
                <c:pt idx="5">
                  <c:v>41442</c:v>
                </c:pt>
                <c:pt idx="6">
                  <c:v>41463</c:v>
                </c:pt>
                <c:pt idx="7">
                  <c:v>41477</c:v>
                </c:pt>
                <c:pt idx="8">
                  <c:v>41491</c:v>
                </c:pt>
                <c:pt idx="9">
                  <c:v>41512</c:v>
                </c:pt>
                <c:pt idx="10">
                  <c:v>41526</c:v>
                </c:pt>
                <c:pt idx="11">
                  <c:v>41540</c:v>
                </c:pt>
                <c:pt idx="12">
                  <c:v>41558</c:v>
                </c:pt>
                <c:pt idx="13">
                  <c:v>41568</c:v>
                </c:pt>
                <c:pt idx="14">
                  <c:v>41596</c:v>
                </c:pt>
                <c:pt idx="15">
                  <c:v>41624</c:v>
                </c:pt>
              </c:numCache>
            </c:numRef>
          </c:cat>
          <c:val>
            <c:numRef>
              <c:f>'Monthly Chemistry'!$C$15:$R$15</c:f>
              <c:numCache>
                <c:formatCode>0</c:formatCode>
                <c:ptCount val="16"/>
                <c:pt idx="0">
                  <c:v>1.2</c:v>
                </c:pt>
                <c:pt idx="1">
                  <c:v>0.1</c:v>
                </c:pt>
                <c:pt idx="2">
                  <c:v>20.2</c:v>
                </c:pt>
                <c:pt idx="3">
                  <c:v>8.15</c:v>
                </c:pt>
                <c:pt idx="4">
                  <c:v>1.2</c:v>
                </c:pt>
                <c:pt idx="5">
                  <c:v>3.7</c:v>
                </c:pt>
                <c:pt idx="6">
                  <c:v>31.400000000000002</c:v>
                </c:pt>
                <c:pt idx="7">
                  <c:v>33.5</c:v>
                </c:pt>
                <c:pt idx="8">
                  <c:v>26.55</c:v>
                </c:pt>
                <c:pt idx="9">
                  <c:v>8.1999999999999993</c:v>
                </c:pt>
                <c:pt idx="10">
                  <c:v>54.3</c:v>
                </c:pt>
                <c:pt idx="11">
                  <c:v>4.5999999999999996</c:v>
                </c:pt>
                <c:pt idx="12">
                  <c:v>12.3</c:v>
                </c:pt>
                <c:pt idx="13">
                  <c:v>11.7</c:v>
                </c:pt>
                <c:pt idx="14">
                  <c:v>1.5</c:v>
                </c:pt>
                <c:pt idx="15">
                  <c:v>2.8</c:v>
                </c:pt>
              </c:numCache>
            </c:numRef>
          </c:val>
          <c:smooth val="0"/>
          <c:extLst>
            <c:ext xmlns:c16="http://schemas.microsoft.com/office/drawing/2014/chart" uri="{C3380CC4-5D6E-409C-BE32-E72D297353CC}">
              <c16:uniqueId val="{00000000-8B6B-4858-92DB-6744C5848366}"/>
            </c:ext>
          </c:extLst>
        </c:ser>
        <c:ser>
          <c:idx val="1"/>
          <c:order val="1"/>
          <c:tx>
            <c:strRef>
              <c:f>'Monthly Chemistry'!$B$19</c:f>
              <c:strCache>
                <c:ptCount val="1"/>
                <c:pt idx="0">
                  <c:v>Phosphorus, total</c:v>
                </c:pt>
              </c:strCache>
            </c:strRef>
          </c:tx>
          <c:spPr>
            <a:ln w="34925"/>
          </c:spPr>
          <c:marker>
            <c:symbol val="none"/>
          </c:marker>
          <c:cat>
            <c:numRef>
              <c:f>'Monthly Chemistry'!$C$2:$R$2</c:f>
              <c:numCache>
                <c:formatCode>[$-409]d\-mmm;@</c:formatCode>
                <c:ptCount val="16"/>
                <c:pt idx="0">
                  <c:v>41296</c:v>
                </c:pt>
                <c:pt idx="1">
                  <c:v>41324</c:v>
                </c:pt>
                <c:pt idx="2">
                  <c:v>41358</c:v>
                </c:pt>
                <c:pt idx="3">
                  <c:v>41386</c:v>
                </c:pt>
                <c:pt idx="4">
                  <c:v>41414</c:v>
                </c:pt>
                <c:pt idx="5">
                  <c:v>41442</c:v>
                </c:pt>
                <c:pt idx="6">
                  <c:v>41463</c:v>
                </c:pt>
                <c:pt idx="7">
                  <c:v>41477</c:v>
                </c:pt>
                <c:pt idx="8">
                  <c:v>41491</c:v>
                </c:pt>
                <c:pt idx="9">
                  <c:v>41512</c:v>
                </c:pt>
                <c:pt idx="10">
                  <c:v>41526</c:v>
                </c:pt>
                <c:pt idx="11">
                  <c:v>41540</c:v>
                </c:pt>
                <c:pt idx="12">
                  <c:v>41558</c:v>
                </c:pt>
                <c:pt idx="13">
                  <c:v>41568</c:v>
                </c:pt>
                <c:pt idx="14">
                  <c:v>41596</c:v>
                </c:pt>
                <c:pt idx="15">
                  <c:v>41624</c:v>
                </c:pt>
              </c:numCache>
            </c:numRef>
          </c:cat>
          <c:val>
            <c:numRef>
              <c:f>'Monthly Chemistry'!$C$19:$R$19</c:f>
              <c:numCache>
                <c:formatCode>0</c:formatCode>
                <c:ptCount val="16"/>
                <c:pt idx="0">
                  <c:v>22</c:v>
                </c:pt>
                <c:pt idx="1">
                  <c:v>15</c:v>
                </c:pt>
                <c:pt idx="2">
                  <c:v>25</c:v>
                </c:pt>
                <c:pt idx="3">
                  <c:v>14</c:v>
                </c:pt>
                <c:pt idx="4">
                  <c:v>35</c:v>
                </c:pt>
                <c:pt idx="5">
                  <c:v>61</c:v>
                </c:pt>
                <c:pt idx="6">
                  <c:v>132</c:v>
                </c:pt>
                <c:pt idx="7">
                  <c:v>86</c:v>
                </c:pt>
                <c:pt idx="8">
                  <c:v>128</c:v>
                </c:pt>
                <c:pt idx="9">
                  <c:v>123</c:v>
                </c:pt>
                <c:pt idx="10">
                  <c:v>138</c:v>
                </c:pt>
                <c:pt idx="11">
                  <c:v>166</c:v>
                </c:pt>
                <c:pt idx="12">
                  <c:v>53</c:v>
                </c:pt>
                <c:pt idx="13">
                  <c:v>26</c:v>
                </c:pt>
                <c:pt idx="14">
                  <c:v>47</c:v>
                </c:pt>
                <c:pt idx="15">
                  <c:v>16</c:v>
                </c:pt>
              </c:numCache>
            </c:numRef>
          </c:val>
          <c:smooth val="0"/>
          <c:extLst>
            <c:ext xmlns:c16="http://schemas.microsoft.com/office/drawing/2014/chart" uri="{C3380CC4-5D6E-409C-BE32-E72D297353CC}">
              <c16:uniqueId val="{00000001-8B6B-4858-92DB-6744C5848366}"/>
            </c:ext>
          </c:extLst>
        </c:ser>
        <c:ser>
          <c:idx val="2"/>
          <c:order val="2"/>
          <c:tx>
            <c:strRef>
              <c:f>'Monthly Chemistry'!$B$20</c:f>
              <c:strCache>
                <c:ptCount val="1"/>
                <c:pt idx="0">
                  <c:v>Total Dissolved Phosphorus</c:v>
                </c:pt>
              </c:strCache>
            </c:strRef>
          </c:tx>
          <c:marker>
            <c:symbol val="none"/>
          </c:marker>
          <c:cat>
            <c:numRef>
              <c:f>'Monthly Chemistry'!$C$2:$R$2</c:f>
              <c:numCache>
                <c:formatCode>[$-409]d\-mmm;@</c:formatCode>
                <c:ptCount val="16"/>
                <c:pt idx="0">
                  <c:v>41296</c:v>
                </c:pt>
                <c:pt idx="1">
                  <c:v>41324</c:v>
                </c:pt>
                <c:pt idx="2">
                  <c:v>41358</c:v>
                </c:pt>
                <c:pt idx="3">
                  <c:v>41386</c:v>
                </c:pt>
                <c:pt idx="4">
                  <c:v>41414</c:v>
                </c:pt>
                <c:pt idx="5">
                  <c:v>41442</c:v>
                </c:pt>
                <c:pt idx="6">
                  <c:v>41463</c:v>
                </c:pt>
                <c:pt idx="7">
                  <c:v>41477</c:v>
                </c:pt>
                <c:pt idx="8">
                  <c:v>41491</c:v>
                </c:pt>
                <c:pt idx="9">
                  <c:v>41512</c:v>
                </c:pt>
                <c:pt idx="10">
                  <c:v>41526</c:v>
                </c:pt>
                <c:pt idx="11">
                  <c:v>41540</c:v>
                </c:pt>
                <c:pt idx="12">
                  <c:v>41558</c:v>
                </c:pt>
                <c:pt idx="13">
                  <c:v>41568</c:v>
                </c:pt>
                <c:pt idx="14">
                  <c:v>41596</c:v>
                </c:pt>
                <c:pt idx="15">
                  <c:v>41624</c:v>
                </c:pt>
              </c:numCache>
            </c:numRef>
          </c:cat>
          <c:val>
            <c:numRef>
              <c:f>'Monthly Chemistry'!$C$20:$R$20</c:f>
              <c:numCache>
                <c:formatCode>0</c:formatCode>
                <c:ptCount val="16"/>
                <c:pt idx="0">
                  <c:v>13</c:v>
                </c:pt>
                <c:pt idx="1">
                  <c:v>3</c:v>
                </c:pt>
                <c:pt idx="2">
                  <c:v>4</c:v>
                </c:pt>
                <c:pt idx="3">
                  <c:v>3</c:v>
                </c:pt>
                <c:pt idx="4">
                  <c:v>10</c:v>
                </c:pt>
                <c:pt idx="5">
                  <c:v>27</c:v>
                </c:pt>
                <c:pt idx="6">
                  <c:v>61</c:v>
                </c:pt>
                <c:pt idx="7">
                  <c:v>25</c:v>
                </c:pt>
                <c:pt idx="8">
                  <c:v>88</c:v>
                </c:pt>
                <c:pt idx="9">
                  <c:v>99</c:v>
                </c:pt>
                <c:pt idx="10">
                  <c:v>60</c:v>
                </c:pt>
                <c:pt idx="11">
                  <c:v>30</c:v>
                </c:pt>
                <c:pt idx="12">
                  <c:v>26</c:v>
                </c:pt>
                <c:pt idx="13">
                  <c:v>3</c:v>
                </c:pt>
                <c:pt idx="14">
                  <c:v>18</c:v>
                </c:pt>
                <c:pt idx="15">
                  <c:v>5</c:v>
                </c:pt>
              </c:numCache>
            </c:numRef>
          </c:val>
          <c:smooth val="0"/>
          <c:extLst>
            <c:ext xmlns:c16="http://schemas.microsoft.com/office/drawing/2014/chart" uri="{C3380CC4-5D6E-409C-BE32-E72D297353CC}">
              <c16:uniqueId val="{00000002-8B6B-4858-92DB-6744C5848366}"/>
            </c:ext>
          </c:extLst>
        </c:ser>
        <c:dLbls>
          <c:showLegendKey val="0"/>
          <c:showVal val="0"/>
          <c:showCatName val="0"/>
          <c:showSerName val="0"/>
          <c:showPercent val="0"/>
          <c:showBubbleSize val="0"/>
        </c:dLbls>
        <c:smooth val="0"/>
        <c:axId val="150970368"/>
        <c:axId val="150971904"/>
      </c:lineChart>
      <c:dateAx>
        <c:axId val="150970368"/>
        <c:scaling>
          <c:orientation val="minMax"/>
        </c:scaling>
        <c:delete val="0"/>
        <c:axPos val="b"/>
        <c:numFmt formatCode="[$-409]mmmmm;@" sourceLinked="0"/>
        <c:majorTickMark val="out"/>
        <c:minorTickMark val="none"/>
        <c:tickLblPos val="nextTo"/>
        <c:crossAx val="150971904"/>
        <c:crosses val="autoZero"/>
        <c:auto val="1"/>
        <c:lblOffset val="100"/>
        <c:baseTimeUnit val="days"/>
        <c:majorUnit val="30"/>
        <c:majorTimeUnit val="days"/>
        <c:minorUnit val="15"/>
        <c:minorTimeUnit val="days"/>
      </c:dateAx>
      <c:valAx>
        <c:axId val="150971904"/>
        <c:scaling>
          <c:orientation val="minMax"/>
        </c:scaling>
        <c:delete val="0"/>
        <c:axPos val="l"/>
        <c:majorGridlines/>
        <c:minorGridlines/>
        <c:numFmt formatCode="0" sourceLinked="1"/>
        <c:majorTickMark val="out"/>
        <c:minorTickMark val="none"/>
        <c:tickLblPos val="nextTo"/>
        <c:crossAx val="150970368"/>
        <c:crossesAt val="40544"/>
        <c:crossBetween val="between"/>
      </c:valAx>
    </c:plotArea>
    <c:legend>
      <c:legendPos val="r"/>
      <c:layout>
        <c:manualLayout>
          <c:xMode val="edge"/>
          <c:yMode val="edge"/>
          <c:x val="0.11450662380708462"/>
          <c:y val="0.17120971580190991"/>
          <c:w val="0.2908536431119943"/>
          <c:h val="0.21149603510737805"/>
        </c:manualLayout>
      </c:layout>
      <c:overlay val="0"/>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c:spPr>
      <c:txPr>
        <a:bodyPr/>
        <a:lstStyle/>
        <a:p>
          <a:pPr>
            <a:defRPr sz="1200"/>
          </a:pPr>
          <a:endParaRPr lang="en-US"/>
        </a:p>
      </c:txPr>
    </c:legend>
    <c:plotVisOnly val="1"/>
    <c:dispBlanksAs val="gap"/>
    <c:showDLblsOverMax val="0"/>
  </c:chart>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c:spPr>
  <c:printSettings>
    <c:headerFooter/>
    <c:pageMargins b="0.75000000000001465" l="0.70000000000000062" r="0.70000000000000062" t="0.75000000000001465" header="0.30000000000000032" footer="0.30000000000000032"/>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Total Nitrogen </a:t>
            </a:r>
          </a:p>
        </c:rich>
      </c:tx>
      <c:overlay val="0"/>
    </c:title>
    <c:autoTitleDeleted val="0"/>
    <c:plotArea>
      <c:layout>
        <c:manualLayout>
          <c:layoutTarget val="inner"/>
          <c:xMode val="edge"/>
          <c:yMode val="edge"/>
          <c:x val="9.1978090089321424E-2"/>
          <c:y val="0.13490922025886434"/>
          <c:w val="0.88123154893333056"/>
          <c:h val="0.78477007859743064"/>
        </c:manualLayout>
      </c:layout>
      <c:lineChart>
        <c:grouping val="standard"/>
        <c:varyColors val="0"/>
        <c:ser>
          <c:idx val="0"/>
          <c:order val="0"/>
          <c:tx>
            <c:strRef>
              <c:f>'Monthly Chemistry'!$A$3:$A$8</c:f>
              <c:strCache>
                <c:ptCount val="1"/>
                <c:pt idx="0">
                  <c:v>Bear Creek Inflow, Site 15a</c:v>
                </c:pt>
              </c:strCache>
            </c:strRef>
          </c:tx>
          <c:marker>
            <c:symbol val="none"/>
          </c:marker>
          <c:cat>
            <c:numRef>
              <c:f>'Monthly Chemistry'!$C$2:$R$2</c:f>
              <c:numCache>
                <c:formatCode>[$-409]d\-mmm;@</c:formatCode>
                <c:ptCount val="16"/>
                <c:pt idx="0">
                  <c:v>41296</c:v>
                </c:pt>
                <c:pt idx="1">
                  <c:v>41324</c:v>
                </c:pt>
                <c:pt idx="2">
                  <c:v>41358</c:v>
                </c:pt>
                <c:pt idx="3">
                  <c:v>41386</c:v>
                </c:pt>
                <c:pt idx="4">
                  <c:v>41414</c:v>
                </c:pt>
                <c:pt idx="5">
                  <c:v>41442</c:v>
                </c:pt>
                <c:pt idx="6">
                  <c:v>41463</c:v>
                </c:pt>
                <c:pt idx="7">
                  <c:v>41477</c:v>
                </c:pt>
                <c:pt idx="8">
                  <c:v>41491</c:v>
                </c:pt>
                <c:pt idx="9">
                  <c:v>41512</c:v>
                </c:pt>
                <c:pt idx="10">
                  <c:v>41526</c:v>
                </c:pt>
                <c:pt idx="11">
                  <c:v>41540</c:v>
                </c:pt>
                <c:pt idx="12">
                  <c:v>41558</c:v>
                </c:pt>
                <c:pt idx="13">
                  <c:v>41568</c:v>
                </c:pt>
                <c:pt idx="14">
                  <c:v>41596</c:v>
                </c:pt>
                <c:pt idx="15">
                  <c:v>41624</c:v>
                </c:pt>
              </c:numCache>
            </c:numRef>
          </c:cat>
          <c:val>
            <c:numRef>
              <c:f>'Monthly Chemistry'!$C$3:$R$3</c:f>
              <c:numCache>
                <c:formatCode>0</c:formatCode>
                <c:ptCount val="16"/>
                <c:pt idx="0">
                  <c:v>3154</c:v>
                </c:pt>
                <c:pt idx="1">
                  <c:v>2634</c:v>
                </c:pt>
                <c:pt idx="2">
                  <c:v>2870</c:v>
                </c:pt>
                <c:pt idx="3">
                  <c:v>843</c:v>
                </c:pt>
                <c:pt idx="4">
                  <c:v>965</c:v>
                </c:pt>
                <c:pt idx="5">
                  <c:v>654</c:v>
                </c:pt>
                <c:pt idx="6">
                  <c:v>1118</c:v>
                </c:pt>
                <c:pt idx="7">
                  <c:v>1188</c:v>
                </c:pt>
                <c:pt idx="8">
                  <c:v>1078</c:v>
                </c:pt>
                <c:pt idx="9">
                  <c:v>769</c:v>
                </c:pt>
                <c:pt idx="10">
                  <c:v>592</c:v>
                </c:pt>
                <c:pt idx="11">
                  <c:v>610</c:v>
                </c:pt>
                <c:pt idx="13">
                  <c:v>406</c:v>
                </c:pt>
                <c:pt idx="14">
                  <c:v>683</c:v>
                </c:pt>
                <c:pt idx="15">
                  <c:v>693</c:v>
                </c:pt>
              </c:numCache>
            </c:numRef>
          </c:val>
          <c:smooth val="0"/>
          <c:extLst>
            <c:ext xmlns:c16="http://schemas.microsoft.com/office/drawing/2014/chart" uri="{C3380CC4-5D6E-409C-BE32-E72D297353CC}">
              <c16:uniqueId val="{00000000-F928-4BD8-957A-8BDF7A456946}"/>
            </c:ext>
          </c:extLst>
        </c:ser>
        <c:ser>
          <c:idx val="1"/>
          <c:order val="1"/>
          <c:tx>
            <c:strRef>
              <c:f>'Monthly Chemistry'!$A$9:$A$14</c:f>
              <c:strCache>
                <c:ptCount val="1"/>
                <c:pt idx="0">
                  <c:v>Turkey Creek Inflow, Site 16a</c:v>
                </c:pt>
              </c:strCache>
            </c:strRef>
          </c:tx>
          <c:marker>
            <c:symbol val="none"/>
          </c:marker>
          <c:cat>
            <c:numRef>
              <c:f>'Monthly Chemistry'!$C$2:$R$2</c:f>
              <c:numCache>
                <c:formatCode>[$-409]d\-mmm;@</c:formatCode>
                <c:ptCount val="16"/>
                <c:pt idx="0">
                  <c:v>41296</c:v>
                </c:pt>
                <c:pt idx="1">
                  <c:v>41324</c:v>
                </c:pt>
                <c:pt idx="2">
                  <c:v>41358</c:v>
                </c:pt>
                <c:pt idx="3">
                  <c:v>41386</c:v>
                </c:pt>
                <c:pt idx="4">
                  <c:v>41414</c:v>
                </c:pt>
                <c:pt idx="5">
                  <c:v>41442</c:v>
                </c:pt>
                <c:pt idx="6">
                  <c:v>41463</c:v>
                </c:pt>
                <c:pt idx="7">
                  <c:v>41477</c:v>
                </c:pt>
                <c:pt idx="8">
                  <c:v>41491</c:v>
                </c:pt>
                <c:pt idx="9">
                  <c:v>41512</c:v>
                </c:pt>
                <c:pt idx="10">
                  <c:v>41526</c:v>
                </c:pt>
                <c:pt idx="11">
                  <c:v>41540</c:v>
                </c:pt>
                <c:pt idx="12">
                  <c:v>41558</c:v>
                </c:pt>
                <c:pt idx="13">
                  <c:v>41568</c:v>
                </c:pt>
                <c:pt idx="14">
                  <c:v>41596</c:v>
                </c:pt>
                <c:pt idx="15">
                  <c:v>41624</c:v>
                </c:pt>
              </c:numCache>
            </c:numRef>
          </c:cat>
          <c:val>
            <c:numRef>
              <c:f>'Monthly Chemistry'!$C$9:$R$9</c:f>
              <c:numCache>
                <c:formatCode>0</c:formatCode>
                <c:ptCount val="16"/>
                <c:pt idx="0">
                  <c:v>1207</c:v>
                </c:pt>
                <c:pt idx="1">
                  <c:v>947</c:v>
                </c:pt>
                <c:pt idx="2">
                  <c:v>684</c:v>
                </c:pt>
                <c:pt idx="3">
                  <c:v>446</c:v>
                </c:pt>
                <c:pt idx="4">
                  <c:v>529</c:v>
                </c:pt>
                <c:pt idx="5">
                  <c:v>512</c:v>
                </c:pt>
                <c:pt idx="6">
                  <c:v>896</c:v>
                </c:pt>
                <c:pt idx="7">
                  <c:v>577</c:v>
                </c:pt>
                <c:pt idx="8">
                  <c:v>1049</c:v>
                </c:pt>
                <c:pt idx="9">
                  <c:v>1250</c:v>
                </c:pt>
                <c:pt idx="10">
                  <c:v>962</c:v>
                </c:pt>
                <c:pt idx="11">
                  <c:v>712</c:v>
                </c:pt>
                <c:pt idx="13">
                  <c:v>367</c:v>
                </c:pt>
                <c:pt idx="14">
                  <c:v>398</c:v>
                </c:pt>
                <c:pt idx="15">
                  <c:v>735</c:v>
                </c:pt>
              </c:numCache>
            </c:numRef>
          </c:val>
          <c:smooth val="0"/>
          <c:extLst>
            <c:ext xmlns:c16="http://schemas.microsoft.com/office/drawing/2014/chart" uri="{C3380CC4-5D6E-409C-BE32-E72D297353CC}">
              <c16:uniqueId val="{00000001-F928-4BD8-957A-8BDF7A456946}"/>
            </c:ext>
          </c:extLst>
        </c:ser>
        <c:ser>
          <c:idx val="2"/>
          <c:order val="2"/>
          <c:tx>
            <c:strRef>
              <c:f>'Monthly Chemistry'!$A$15:$A$21</c:f>
              <c:strCache>
                <c:ptCount val="1"/>
                <c:pt idx="0">
                  <c:v>BCR Top, Site 40a</c:v>
                </c:pt>
              </c:strCache>
            </c:strRef>
          </c:tx>
          <c:marker>
            <c:symbol val="none"/>
          </c:marker>
          <c:cat>
            <c:numRef>
              <c:f>'Monthly Chemistry'!$C$2:$R$2</c:f>
              <c:numCache>
                <c:formatCode>[$-409]d\-mmm;@</c:formatCode>
                <c:ptCount val="16"/>
                <c:pt idx="0">
                  <c:v>41296</c:v>
                </c:pt>
                <c:pt idx="1">
                  <c:v>41324</c:v>
                </c:pt>
                <c:pt idx="2">
                  <c:v>41358</c:v>
                </c:pt>
                <c:pt idx="3">
                  <c:v>41386</c:v>
                </c:pt>
                <c:pt idx="4">
                  <c:v>41414</c:v>
                </c:pt>
                <c:pt idx="5">
                  <c:v>41442</c:v>
                </c:pt>
                <c:pt idx="6">
                  <c:v>41463</c:v>
                </c:pt>
                <c:pt idx="7">
                  <c:v>41477</c:v>
                </c:pt>
                <c:pt idx="8">
                  <c:v>41491</c:v>
                </c:pt>
                <c:pt idx="9">
                  <c:v>41512</c:v>
                </c:pt>
                <c:pt idx="10">
                  <c:v>41526</c:v>
                </c:pt>
                <c:pt idx="11">
                  <c:v>41540</c:v>
                </c:pt>
                <c:pt idx="12">
                  <c:v>41558</c:v>
                </c:pt>
                <c:pt idx="13">
                  <c:v>41568</c:v>
                </c:pt>
                <c:pt idx="14">
                  <c:v>41596</c:v>
                </c:pt>
                <c:pt idx="15">
                  <c:v>41624</c:v>
                </c:pt>
              </c:numCache>
            </c:numRef>
          </c:cat>
          <c:val>
            <c:numRef>
              <c:f>'Monthly Chemistry'!$C$16:$R$16</c:f>
              <c:numCache>
                <c:formatCode>0</c:formatCode>
                <c:ptCount val="16"/>
                <c:pt idx="0">
                  <c:v>611</c:v>
                </c:pt>
                <c:pt idx="1">
                  <c:v>578</c:v>
                </c:pt>
                <c:pt idx="2">
                  <c:v>703</c:v>
                </c:pt>
                <c:pt idx="3">
                  <c:v>511</c:v>
                </c:pt>
                <c:pt idx="4">
                  <c:v>838</c:v>
                </c:pt>
                <c:pt idx="5">
                  <c:v>701</c:v>
                </c:pt>
                <c:pt idx="6">
                  <c:v>902</c:v>
                </c:pt>
                <c:pt idx="7">
                  <c:v>808</c:v>
                </c:pt>
                <c:pt idx="8">
                  <c:v>1272</c:v>
                </c:pt>
                <c:pt idx="9">
                  <c:v>883</c:v>
                </c:pt>
                <c:pt idx="10">
                  <c:v>864</c:v>
                </c:pt>
                <c:pt idx="11">
                  <c:v>968</c:v>
                </c:pt>
                <c:pt idx="12">
                  <c:v>715</c:v>
                </c:pt>
                <c:pt idx="13">
                  <c:v>602</c:v>
                </c:pt>
                <c:pt idx="14">
                  <c:v>774</c:v>
                </c:pt>
                <c:pt idx="15">
                  <c:v>746</c:v>
                </c:pt>
              </c:numCache>
            </c:numRef>
          </c:val>
          <c:smooth val="0"/>
          <c:extLst>
            <c:ext xmlns:c16="http://schemas.microsoft.com/office/drawing/2014/chart" uri="{C3380CC4-5D6E-409C-BE32-E72D297353CC}">
              <c16:uniqueId val="{00000002-F928-4BD8-957A-8BDF7A456946}"/>
            </c:ext>
          </c:extLst>
        </c:ser>
        <c:ser>
          <c:idx val="3"/>
          <c:order val="3"/>
          <c:tx>
            <c:strRef>
              <c:f>'Monthly Chemistry'!$A$22:$A$27</c:f>
              <c:strCache>
                <c:ptCount val="1"/>
                <c:pt idx="0">
                  <c:v>BCR  -10m, Site 40c</c:v>
                </c:pt>
              </c:strCache>
            </c:strRef>
          </c:tx>
          <c:marker>
            <c:symbol val="none"/>
          </c:marker>
          <c:cat>
            <c:numRef>
              <c:f>'Monthly Chemistry'!$C$2:$R$2</c:f>
              <c:numCache>
                <c:formatCode>[$-409]d\-mmm;@</c:formatCode>
                <c:ptCount val="16"/>
                <c:pt idx="0">
                  <c:v>41296</c:v>
                </c:pt>
                <c:pt idx="1">
                  <c:v>41324</c:v>
                </c:pt>
                <c:pt idx="2">
                  <c:v>41358</c:v>
                </c:pt>
                <c:pt idx="3">
                  <c:v>41386</c:v>
                </c:pt>
                <c:pt idx="4">
                  <c:v>41414</c:v>
                </c:pt>
                <c:pt idx="5">
                  <c:v>41442</c:v>
                </c:pt>
                <c:pt idx="6">
                  <c:v>41463</c:v>
                </c:pt>
                <c:pt idx="7">
                  <c:v>41477</c:v>
                </c:pt>
                <c:pt idx="8">
                  <c:v>41491</c:v>
                </c:pt>
                <c:pt idx="9">
                  <c:v>41512</c:v>
                </c:pt>
                <c:pt idx="10">
                  <c:v>41526</c:v>
                </c:pt>
                <c:pt idx="11">
                  <c:v>41540</c:v>
                </c:pt>
                <c:pt idx="12">
                  <c:v>41558</c:v>
                </c:pt>
                <c:pt idx="13">
                  <c:v>41568</c:v>
                </c:pt>
                <c:pt idx="14">
                  <c:v>41596</c:v>
                </c:pt>
                <c:pt idx="15">
                  <c:v>41624</c:v>
                </c:pt>
              </c:numCache>
            </c:numRef>
          </c:cat>
          <c:val>
            <c:numRef>
              <c:f>'Monthly Chemistry'!$C$22:$R$22</c:f>
              <c:numCache>
                <c:formatCode>0</c:formatCode>
                <c:ptCount val="16"/>
                <c:pt idx="0">
                  <c:v>736</c:v>
                </c:pt>
                <c:pt idx="1">
                  <c:v>808</c:v>
                </c:pt>
                <c:pt idx="2">
                  <c:v>673</c:v>
                </c:pt>
                <c:pt idx="3">
                  <c:v>495</c:v>
                </c:pt>
                <c:pt idx="4">
                  <c:v>760</c:v>
                </c:pt>
                <c:pt idx="5">
                  <c:v>637</c:v>
                </c:pt>
                <c:pt idx="6">
                  <c:v>713</c:v>
                </c:pt>
                <c:pt idx="7">
                  <c:v>1049</c:v>
                </c:pt>
                <c:pt idx="8">
                  <c:v>978</c:v>
                </c:pt>
                <c:pt idx="9">
                  <c:v>861</c:v>
                </c:pt>
                <c:pt idx="10">
                  <c:v>453</c:v>
                </c:pt>
                <c:pt idx="11">
                  <c:v>676</c:v>
                </c:pt>
                <c:pt idx="12">
                  <c:v>723</c:v>
                </c:pt>
                <c:pt idx="13">
                  <c:v>633</c:v>
                </c:pt>
                <c:pt idx="14">
                  <c:v>625</c:v>
                </c:pt>
                <c:pt idx="15">
                  <c:v>748</c:v>
                </c:pt>
              </c:numCache>
            </c:numRef>
          </c:val>
          <c:smooth val="0"/>
          <c:extLst>
            <c:ext xmlns:c16="http://schemas.microsoft.com/office/drawing/2014/chart" uri="{C3380CC4-5D6E-409C-BE32-E72D297353CC}">
              <c16:uniqueId val="{00000003-F928-4BD8-957A-8BDF7A456946}"/>
            </c:ext>
          </c:extLst>
        </c:ser>
        <c:ser>
          <c:idx val="4"/>
          <c:order val="4"/>
          <c:tx>
            <c:strRef>
              <c:f>'Monthly Chemistry'!$A$28:$A$34</c:f>
              <c:strCache>
                <c:ptCount val="1"/>
                <c:pt idx="0">
                  <c:v>Lower Bear Creek Outflow, Site 45</c:v>
                </c:pt>
              </c:strCache>
            </c:strRef>
          </c:tx>
          <c:marker>
            <c:symbol val="none"/>
          </c:marker>
          <c:cat>
            <c:numRef>
              <c:f>'Monthly Chemistry'!$C$2:$R$2</c:f>
              <c:numCache>
                <c:formatCode>[$-409]d\-mmm;@</c:formatCode>
                <c:ptCount val="16"/>
                <c:pt idx="0">
                  <c:v>41296</c:v>
                </c:pt>
                <c:pt idx="1">
                  <c:v>41324</c:v>
                </c:pt>
                <c:pt idx="2">
                  <c:v>41358</c:v>
                </c:pt>
                <c:pt idx="3">
                  <c:v>41386</c:v>
                </c:pt>
                <c:pt idx="4">
                  <c:v>41414</c:v>
                </c:pt>
                <c:pt idx="5">
                  <c:v>41442</c:v>
                </c:pt>
                <c:pt idx="6">
                  <c:v>41463</c:v>
                </c:pt>
                <c:pt idx="7">
                  <c:v>41477</c:v>
                </c:pt>
                <c:pt idx="8">
                  <c:v>41491</c:v>
                </c:pt>
                <c:pt idx="9">
                  <c:v>41512</c:v>
                </c:pt>
                <c:pt idx="10">
                  <c:v>41526</c:v>
                </c:pt>
                <c:pt idx="11">
                  <c:v>41540</c:v>
                </c:pt>
                <c:pt idx="12">
                  <c:v>41558</c:v>
                </c:pt>
                <c:pt idx="13">
                  <c:v>41568</c:v>
                </c:pt>
                <c:pt idx="14">
                  <c:v>41596</c:v>
                </c:pt>
                <c:pt idx="15">
                  <c:v>41624</c:v>
                </c:pt>
              </c:numCache>
            </c:numRef>
          </c:cat>
          <c:val>
            <c:numRef>
              <c:f>'Monthly Chemistry'!$C$28:$R$28</c:f>
              <c:numCache>
                <c:formatCode>0</c:formatCode>
                <c:ptCount val="16"/>
                <c:pt idx="0">
                  <c:v>1050</c:v>
                </c:pt>
                <c:pt idx="1">
                  <c:v>713</c:v>
                </c:pt>
                <c:pt idx="2">
                  <c:v>621</c:v>
                </c:pt>
                <c:pt idx="3">
                  <c:v>450</c:v>
                </c:pt>
                <c:pt idx="4">
                  <c:v>865</c:v>
                </c:pt>
                <c:pt idx="5">
                  <c:v>697</c:v>
                </c:pt>
                <c:pt idx="6">
                  <c:v>1064</c:v>
                </c:pt>
                <c:pt idx="7">
                  <c:v>793</c:v>
                </c:pt>
                <c:pt idx="8">
                  <c:v>2241</c:v>
                </c:pt>
                <c:pt idx="9">
                  <c:v>1141</c:v>
                </c:pt>
                <c:pt idx="10">
                  <c:v>607</c:v>
                </c:pt>
                <c:pt idx="11">
                  <c:v>635</c:v>
                </c:pt>
                <c:pt idx="13">
                  <c:v>791</c:v>
                </c:pt>
                <c:pt idx="14">
                  <c:v>642</c:v>
                </c:pt>
                <c:pt idx="15">
                  <c:v>685</c:v>
                </c:pt>
              </c:numCache>
            </c:numRef>
          </c:val>
          <c:smooth val="0"/>
          <c:extLst>
            <c:ext xmlns:c16="http://schemas.microsoft.com/office/drawing/2014/chart" uri="{C3380CC4-5D6E-409C-BE32-E72D297353CC}">
              <c16:uniqueId val="{00000004-F928-4BD8-957A-8BDF7A456946}"/>
            </c:ext>
          </c:extLst>
        </c:ser>
        <c:dLbls>
          <c:showLegendKey val="0"/>
          <c:showVal val="0"/>
          <c:showCatName val="0"/>
          <c:showSerName val="0"/>
          <c:showPercent val="0"/>
          <c:showBubbleSize val="0"/>
        </c:dLbls>
        <c:smooth val="0"/>
        <c:axId val="150993920"/>
        <c:axId val="151134976"/>
      </c:lineChart>
      <c:dateAx>
        <c:axId val="150993920"/>
        <c:scaling>
          <c:orientation val="minMax"/>
        </c:scaling>
        <c:delete val="0"/>
        <c:axPos val="b"/>
        <c:numFmt formatCode="[$-409]mmmmm;@" sourceLinked="0"/>
        <c:majorTickMark val="none"/>
        <c:minorTickMark val="none"/>
        <c:tickLblPos val="nextTo"/>
        <c:crossAx val="151134976"/>
        <c:crosses val="autoZero"/>
        <c:auto val="1"/>
        <c:lblOffset val="100"/>
        <c:baseTimeUnit val="days"/>
        <c:majorUnit val="30"/>
        <c:majorTimeUnit val="days"/>
        <c:minorUnit val="15"/>
        <c:minorTimeUnit val="days"/>
      </c:dateAx>
      <c:valAx>
        <c:axId val="151134976"/>
        <c:scaling>
          <c:orientation val="minMax"/>
        </c:scaling>
        <c:delete val="0"/>
        <c:axPos val="l"/>
        <c:majorGridlines/>
        <c:minorGridlines/>
        <c:title>
          <c:tx>
            <c:rich>
              <a:bodyPr/>
              <a:lstStyle/>
              <a:p>
                <a:pPr>
                  <a:defRPr/>
                </a:pPr>
                <a:r>
                  <a:rPr lang="en-US"/>
                  <a:t>TN ug/l</a:t>
                </a:r>
              </a:p>
            </c:rich>
          </c:tx>
          <c:layout>
            <c:manualLayout>
              <c:xMode val="edge"/>
              <c:yMode val="edge"/>
              <c:x val="1.5832009199715973E-3"/>
              <c:y val="0.42044739920087948"/>
            </c:manualLayout>
          </c:layout>
          <c:overlay val="0"/>
        </c:title>
        <c:numFmt formatCode="0" sourceLinked="1"/>
        <c:majorTickMark val="none"/>
        <c:minorTickMark val="none"/>
        <c:tickLblPos val="nextTo"/>
        <c:crossAx val="150993920"/>
        <c:crosses val="autoZero"/>
        <c:crossBetween val="between"/>
      </c:valAx>
    </c:plotArea>
    <c:legend>
      <c:legendPos val="r"/>
      <c:layout>
        <c:manualLayout>
          <c:xMode val="edge"/>
          <c:yMode val="edge"/>
          <c:x val="0.3126711141682349"/>
          <c:y val="0.17065939994511586"/>
          <c:w val="0.629246439605603"/>
          <c:h val="0.14240214325872991"/>
        </c:manualLayout>
      </c:layout>
      <c:overlay val="0"/>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c:spPr>
    </c:legend>
    <c:plotVisOnly val="1"/>
    <c:dispBlanksAs val="gap"/>
    <c:showDLblsOverMax val="0"/>
  </c:chart>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c:spPr>
  <c:printSettings>
    <c:headerFooter/>
    <c:pageMargins b="0.75000000000001465" l="0.70000000000000062" r="0.70000000000000062" t="0.75000000000001465" header="0.30000000000000032" footer="0.30000000000000032"/>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Total Supended Sediment  </a:t>
            </a:r>
          </a:p>
        </c:rich>
      </c:tx>
      <c:layout>
        <c:manualLayout>
          <c:xMode val="edge"/>
          <c:yMode val="edge"/>
          <c:x val="0.36086569169540339"/>
          <c:y val="3.1863103644854146E-2"/>
        </c:manualLayout>
      </c:layout>
      <c:overlay val="1"/>
    </c:title>
    <c:autoTitleDeleted val="0"/>
    <c:plotArea>
      <c:layout>
        <c:manualLayout>
          <c:layoutTarget val="inner"/>
          <c:xMode val="edge"/>
          <c:yMode val="edge"/>
          <c:x val="0.10272511728623267"/>
          <c:y val="0.18753302543091174"/>
          <c:w val="0.85748594154147273"/>
          <c:h val="0.66631193265711375"/>
        </c:manualLayout>
      </c:layout>
      <c:lineChart>
        <c:grouping val="standard"/>
        <c:varyColors val="0"/>
        <c:ser>
          <c:idx val="0"/>
          <c:order val="0"/>
          <c:tx>
            <c:strRef>
              <c:f>'Monthly Chemistry'!$A$3:$A$8</c:f>
              <c:strCache>
                <c:ptCount val="1"/>
                <c:pt idx="0">
                  <c:v>Bear Creek Inflow, Site 15a</c:v>
                </c:pt>
              </c:strCache>
            </c:strRef>
          </c:tx>
          <c:cat>
            <c:numRef>
              <c:f>'Monthly Chemistry'!$C$2:$R$2</c:f>
              <c:numCache>
                <c:formatCode>[$-409]d\-mmm;@</c:formatCode>
                <c:ptCount val="16"/>
                <c:pt idx="0">
                  <c:v>41296</c:v>
                </c:pt>
                <c:pt idx="1">
                  <c:v>41324</c:v>
                </c:pt>
                <c:pt idx="2">
                  <c:v>41358</c:v>
                </c:pt>
                <c:pt idx="3">
                  <c:v>41386</c:v>
                </c:pt>
                <c:pt idx="4">
                  <c:v>41414</c:v>
                </c:pt>
                <c:pt idx="5">
                  <c:v>41442</c:v>
                </c:pt>
                <c:pt idx="6">
                  <c:v>41463</c:v>
                </c:pt>
                <c:pt idx="7">
                  <c:v>41477</c:v>
                </c:pt>
                <c:pt idx="8">
                  <c:v>41491</c:v>
                </c:pt>
                <c:pt idx="9">
                  <c:v>41512</c:v>
                </c:pt>
                <c:pt idx="10">
                  <c:v>41526</c:v>
                </c:pt>
                <c:pt idx="11">
                  <c:v>41540</c:v>
                </c:pt>
                <c:pt idx="12">
                  <c:v>41558</c:v>
                </c:pt>
                <c:pt idx="13">
                  <c:v>41568</c:v>
                </c:pt>
                <c:pt idx="14">
                  <c:v>41596</c:v>
                </c:pt>
                <c:pt idx="15">
                  <c:v>41624</c:v>
                </c:pt>
              </c:numCache>
            </c:numRef>
          </c:cat>
          <c:val>
            <c:numRef>
              <c:f>'Monthly Chemistry'!$C$8:$R$8</c:f>
              <c:numCache>
                <c:formatCode>0</c:formatCode>
                <c:ptCount val="16"/>
                <c:pt idx="0">
                  <c:v>5.8</c:v>
                </c:pt>
                <c:pt idx="1">
                  <c:v>6.6</c:v>
                </c:pt>
                <c:pt idx="2">
                  <c:v>12.4</c:v>
                </c:pt>
                <c:pt idx="3">
                  <c:v>8</c:v>
                </c:pt>
                <c:pt idx="4">
                  <c:v>14.6</c:v>
                </c:pt>
                <c:pt idx="5">
                  <c:v>12</c:v>
                </c:pt>
                <c:pt idx="6">
                  <c:v>17.2</c:v>
                </c:pt>
                <c:pt idx="7">
                  <c:v>12.6</c:v>
                </c:pt>
                <c:pt idx="8">
                  <c:v>14.5</c:v>
                </c:pt>
                <c:pt idx="9">
                  <c:v>38.799999999999997</c:v>
                </c:pt>
                <c:pt idx="10">
                  <c:v>13</c:v>
                </c:pt>
                <c:pt idx="11">
                  <c:v>17.600000000000001</c:v>
                </c:pt>
                <c:pt idx="13">
                  <c:v>4</c:v>
                </c:pt>
                <c:pt idx="14">
                  <c:v>4.8</c:v>
                </c:pt>
                <c:pt idx="15">
                  <c:v>4.5999999999999996</c:v>
                </c:pt>
              </c:numCache>
            </c:numRef>
          </c:val>
          <c:smooth val="0"/>
          <c:extLst>
            <c:ext xmlns:c16="http://schemas.microsoft.com/office/drawing/2014/chart" uri="{C3380CC4-5D6E-409C-BE32-E72D297353CC}">
              <c16:uniqueId val="{00000000-C2B9-4ED6-95E8-D4A70193789F}"/>
            </c:ext>
          </c:extLst>
        </c:ser>
        <c:ser>
          <c:idx val="1"/>
          <c:order val="1"/>
          <c:tx>
            <c:strRef>
              <c:f>'Monthly Chemistry'!$A$9:$A$14</c:f>
              <c:strCache>
                <c:ptCount val="1"/>
                <c:pt idx="0">
                  <c:v>Turkey Creek Inflow, Site 16a</c:v>
                </c:pt>
              </c:strCache>
            </c:strRef>
          </c:tx>
          <c:cat>
            <c:numRef>
              <c:f>'Monthly Chemistry'!$C$2:$R$2</c:f>
              <c:numCache>
                <c:formatCode>[$-409]d\-mmm;@</c:formatCode>
                <c:ptCount val="16"/>
                <c:pt idx="0">
                  <c:v>41296</c:v>
                </c:pt>
                <c:pt idx="1">
                  <c:v>41324</c:v>
                </c:pt>
                <c:pt idx="2">
                  <c:v>41358</c:v>
                </c:pt>
                <c:pt idx="3">
                  <c:v>41386</c:v>
                </c:pt>
                <c:pt idx="4">
                  <c:v>41414</c:v>
                </c:pt>
                <c:pt idx="5">
                  <c:v>41442</c:v>
                </c:pt>
                <c:pt idx="6">
                  <c:v>41463</c:v>
                </c:pt>
                <c:pt idx="7">
                  <c:v>41477</c:v>
                </c:pt>
                <c:pt idx="8">
                  <c:v>41491</c:v>
                </c:pt>
                <c:pt idx="9">
                  <c:v>41512</c:v>
                </c:pt>
                <c:pt idx="10">
                  <c:v>41526</c:v>
                </c:pt>
                <c:pt idx="11">
                  <c:v>41540</c:v>
                </c:pt>
                <c:pt idx="12">
                  <c:v>41558</c:v>
                </c:pt>
                <c:pt idx="13">
                  <c:v>41568</c:v>
                </c:pt>
                <c:pt idx="14">
                  <c:v>41596</c:v>
                </c:pt>
                <c:pt idx="15">
                  <c:v>41624</c:v>
                </c:pt>
              </c:numCache>
            </c:numRef>
          </c:cat>
          <c:val>
            <c:numRef>
              <c:f>'Monthly Chemistry'!$C$14:$R$14</c:f>
              <c:numCache>
                <c:formatCode>0</c:formatCode>
                <c:ptCount val="16"/>
                <c:pt idx="0">
                  <c:v>27.2</c:v>
                </c:pt>
                <c:pt idx="1">
                  <c:v>57</c:v>
                </c:pt>
                <c:pt idx="2">
                  <c:v>6.4</c:v>
                </c:pt>
                <c:pt idx="3">
                  <c:v>6.8</c:v>
                </c:pt>
                <c:pt idx="4">
                  <c:v>15</c:v>
                </c:pt>
                <c:pt idx="5">
                  <c:v>4</c:v>
                </c:pt>
                <c:pt idx="6">
                  <c:v>7.4</c:v>
                </c:pt>
                <c:pt idx="7">
                  <c:v>6.1</c:v>
                </c:pt>
                <c:pt idx="8">
                  <c:v>16.399999999999999</c:v>
                </c:pt>
                <c:pt idx="9">
                  <c:v>24.8</c:v>
                </c:pt>
                <c:pt idx="10">
                  <c:v>20.2</c:v>
                </c:pt>
                <c:pt idx="11">
                  <c:v>20.399999999999999</c:v>
                </c:pt>
                <c:pt idx="13">
                  <c:v>4</c:v>
                </c:pt>
                <c:pt idx="14">
                  <c:v>4</c:v>
                </c:pt>
                <c:pt idx="15">
                  <c:v>4</c:v>
                </c:pt>
              </c:numCache>
            </c:numRef>
          </c:val>
          <c:smooth val="0"/>
          <c:extLst>
            <c:ext xmlns:c16="http://schemas.microsoft.com/office/drawing/2014/chart" uri="{C3380CC4-5D6E-409C-BE32-E72D297353CC}">
              <c16:uniqueId val="{00000001-C2B9-4ED6-95E8-D4A70193789F}"/>
            </c:ext>
          </c:extLst>
        </c:ser>
        <c:ser>
          <c:idx val="2"/>
          <c:order val="2"/>
          <c:tx>
            <c:strRef>
              <c:f>'Monthly Chemistry'!$A$15:$A$21</c:f>
              <c:strCache>
                <c:ptCount val="1"/>
                <c:pt idx="0">
                  <c:v>BCR Top, Site 40a</c:v>
                </c:pt>
              </c:strCache>
            </c:strRef>
          </c:tx>
          <c:cat>
            <c:numRef>
              <c:f>'Monthly Chemistry'!$C$2:$R$2</c:f>
              <c:numCache>
                <c:formatCode>[$-409]d\-mmm;@</c:formatCode>
                <c:ptCount val="16"/>
                <c:pt idx="0">
                  <c:v>41296</c:v>
                </c:pt>
                <c:pt idx="1">
                  <c:v>41324</c:v>
                </c:pt>
                <c:pt idx="2">
                  <c:v>41358</c:v>
                </c:pt>
                <c:pt idx="3">
                  <c:v>41386</c:v>
                </c:pt>
                <c:pt idx="4">
                  <c:v>41414</c:v>
                </c:pt>
                <c:pt idx="5">
                  <c:v>41442</c:v>
                </c:pt>
                <c:pt idx="6">
                  <c:v>41463</c:v>
                </c:pt>
                <c:pt idx="7">
                  <c:v>41477</c:v>
                </c:pt>
                <c:pt idx="8">
                  <c:v>41491</c:v>
                </c:pt>
                <c:pt idx="9">
                  <c:v>41512</c:v>
                </c:pt>
                <c:pt idx="10">
                  <c:v>41526</c:v>
                </c:pt>
                <c:pt idx="11">
                  <c:v>41540</c:v>
                </c:pt>
                <c:pt idx="12">
                  <c:v>41558</c:v>
                </c:pt>
                <c:pt idx="13">
                  <c:v>41568</c:v>
                </c:pt>
                <c:pt idx="14">
                  <c:v>41596</c:v>
                </c:pt>
                <c:pt idx="15">
                  <c:v>41624</c:v>
                </c:pt>
              </c:numCache>
            </c:numRef>
          </c:cat>
          <c:val>
            <c:numRef>
              <c:f>'Monthly Chemistry'!$C$21:$R$21</c:f>
              <c:numCache>
                <c:formatCode>0</c:formatCode>
                <c:ptCount val="16"/>
                <c:pt idx="0">
                  <c:v>4</c:v>
                </c:pt>
                <c:pt idx="1">
                  <c:v>4</c:v>
                </c:pt>
                <c:pt idx="2">
                  <c:v>7.4</c:v>
                </c:pt>
                <c:pt idx="3">
                  <c:v>4.5999999999999996</c:v>
                </c:pt>
                <c:pt idx="4">
                  <c:v>4.8</c:v>
                </c:pt>
                <c:pt idx="5">
                  <c:v>4</c:v>
                </c:pt>
                <c:pt idx="6">
                  <c:v>8.1999999999999993</c:v>
                </c:pt>
                <c:pt idx="7">
                  <c:v>9</c:v>
                </c:pt>
                <c:pt idx="8">
                  <c:v>7</c:v>
                </c:pt>
                <c:pt idx="9">
                  <c:v>5.8</c:v>
                </c:pt>
                <c:pt idx="10">
                  <c:v>14.8</c:v>
                </c:pt>
                <c:pt idx="11">
                  <c:v>6.6</c:v>
                </c:pt>
                <c:pt idx="12">
                  <c:v>10.199999999999999</c:v>
                </c:pt>
                <c:pt idx="13">
                  <c:v>10</c:v>
                </c:pt>
                <c:pt idx="14">
                  <c:v>5.6</c:v>
                </c:pt>
                <c:pt idx="15">
                  <c:v>4</c:v>
                </c:pt>
              </c:numCache>
            </c:numRef>
          </c:val>
          <c:smooth val="0"/>
          <c:extLst>
            <c:ext xmlns:c16="http://schemas.microsoft.com/office/drawing/2014/chart" uri="{C3380CC4-5D6E-409C-BE32-E72D297353CC}">
              <c16:uniqueId val="{00000002-C2B9-4ED6-95E8-D4A70193789F}"/>
            </c:ext>
          </c:extLst>
        </c:ser>
        <c:ser>
          <c:idx val="3"/>
          <c:order val="3"/>
          <c:tx>
            <c:strRef>
              <c:f>'Monthly Chemistry'!$A$28:$A$34</c:f>
              <c:strCache>
                <c:ptCount val="1"/>
                <c:pt idx="0">
                  <c:v>Lower Bear Creek Outflow, Site 45</c:v>
                </c:pt>
              </c:strCache>
            </c:strRef>
          </c:tx>
          <c:cat>
            <c:numRef>
              <c:f>'Monthly Chemistry'!$C$2:$R$2</c:f>
              <c:numCache>
                <c:formatCode>[$-409]d\-mmm;@</c:formatCode>
                <c:ptCount val="16"/>
                <c:pt idx="0">
                  <c:v>41296</c:v>
                </c:pt>
                <c:pt idx="1">
                  <c:v>41324</c:v>
                </c:pt>
                <c:pt idx="2">
                  <c:v>41358</c:v>
                </c:pt>
                <c:pt idx="3">
                  <c:v>41386</c:v>
                </c:pt>
                <c:pt idx="4">
                  <c:v>41414</c:v>
                </c:pt>
                <c:pt idx="5">
                  <c:v>41442</c:v>
                </c:pt>
                <c:pt idx="6">
                  <c:v>41463</c:v>
                </c:pt>
                <c:pt idx="7">
                  <c:v>41477</c:v>
                </c:pt>
                <c:pt idx="8">
                  <c:v>41491</c:v>
                </c:pt>
                <c:pt idx="9">
                  <c:v>41512</c:v>
                </c:pt>
                <c:pt idx="10">
                  <c:v>41526</c:v>
                </c:pt>
                <c:pt idx="11">
                  <c:v>41540</c:v>
                </c:pt>
                <c:pt idx="12">
                  <c:v>41558</c:v>
                </c:pt>
                <c:pt idx="13">
                  <c:v>41568</c:v>
                </c:pt>
                <c:pt idx="14">
                  <c:v>41596</c:v>
                </c:pt>
                <c:pt idx="15">
                  <c:v>41624</c:v>
                </c:pt>
              </c:numCache>
            </c:numRef>
          </c:cat>
          <c:val>
            <c:numRef>
              <c:f>'Monthly Chemistry'!$C$33:$R$33</c:f>
              <c:numCache>
                <c:formatCode>0.0</c:formatCode>
                <c:ptCount val="16"/>
                <c:pt idx="0">
                  <c:v>7.6</c:v>
                </c:pt>
                <c:pt idx="1">
                  <c:v>7</c:v>
                </c:pt>
                <c:pt idx="2">
                  <c:v>8.1999999999999993</c:v>
                </c:pt>
                <c:pt idx="3">
                  <c:v>5.6</c:v>
                </c:pt>
                <c:pt idx="4">
                  <c:v>5.4</c:v>
                </c:pt>
                <c:pt idx="5">
                  <c:v>9.1999999999999993</c:v>
                </c:pt>
                <c:pt idx="6">
                  <c:v>21.6</c:v>
                </c:pt>
                <c:pt idx="7">
                  <c:v>11.6</c:v>
                </c:pt>
                <c:pt idx="8">
                  <c:v>15.4</c:v>
                </c:pt>
                <c:pt idx="9">
                  <c:v>17.8</c:v>
                </c:pt>
                <c:pt idx="10">
                  <c:v>18</c:v>
                </c:pt>
                <c:pt idx="11">
                  <c:v>10.4</c:v>
                </c:pt>
                <c:pt idx="13">
                  <c:v>19.8</c:v>
                </c:pt>
                <c:pt idx="14">
                  <c:v>4</c:v>
                </c:pt>
                <c:pt idx="15">
                  <c:v>4</c:v>
                </c:pt>
              </c:numCache>
            </c:numRef>
          </c:val>
          <c:smooth val="0"/>
          <c:extLst>
            <c:ext xmlns:c16="http://schemas.microsoft.com/office/drawing/2014/chart" uri="{C3380CC4-5D6E-409C-BE32-E72D297353CC}">
              <c16:uniqueId val="{00000003-C2B9-4ED6-95E8-D4A70193789F}"/>
            </c:ext>
          </c:extLst>
        </c:ser>
        <c:dLbls>
          <c:showLegendKey val="0"/>
          <c:showVal val="0"/>
          <c:showCatName val="0"/>
          <c:showSerName val="0"/>
          <c:showPercent val="0"/>
          <c:showBubbleSize val="0"/>
        </c:dLbls>
        <c:marker val="1"/>
        <c:smooth val="0"/>
        <c:axId val="151282432"/>
        <c:axId val="151283968"/>
      </c:lineChart>
      <c:dateAx>
        <c:axId val="151282432"/>
        <c:scaling>
          <c:orientation val="minMax"/>
        </c:scaling>
        <c:delete val="0"/>
        <c:axPos val="b"/>
        <c:numFmt formatCode="[$-409]mmmmm;@" sourceLinked="0"/>
        <c:majorTickMark val="out"/>
        <c:minorTickMark val="none"/>
        <c:tickLblPos val="nextTo"/>
        <c:crossAx val="151283968"/>
        <c:crosses val="autoZero"/>
        <c:auto val="1"/>
        <c:lblOffset val="100"/>
        <c:baseTimeUnit val="days"/>
        <c:majorUnit val="1"/>
        <c:majorTimeUnit val="months"/>
        <c:minorUnit val="15"/>
        <c:minorTimeUnit val="months"/>
      </c:dateAx>
      <c:valAx>
        <c:axId val="151283968"/>
        <c:scaling>
          <c:orientation val="minMax"/>
        </c:scaling>
        <c:delete val="0"/>
        <c:axPos val="l"/>
        <c:majorGridlines/>
        <c:minorGridlines/>
        <c:title>
          <c:tx>
            <c:rich>
              <a:bodyPr rot="-5400000" vert="horz"/>
              <a:lstStyle/>
              <a:p>
                <a:pPr>
                  <a:defRPr/>
                </a:pPr>
                <a:r>
                  <a:rPr lang="en-US"/>
                  <a:t>Total Suspended Solids mg/l</a:t>
                </a:r>
              </a:p>
            </c:rich>
          </c:tx>
          <c:layout>
            <c:manualLayout>
              <c:xMode val="edge"/>
              <c:yMode val="edge"/>
              <c:x val="1.6497786391625031E-2"/>
              <c:y val="0.28881477009136186"/>
            </c:manualLayout>
          </c:layout>
          <c:overlay val="0"/>
        </c:title>
        <c:numFmt formatCode="0" sourceLinked="1"/>
        <c:majorTickMark val="out"/>
        <c:minorTickMark val="none"/>
        <c:tickLblPos val="nextTo"/>
        <c:crossAx val="151282432"/>
        <c:crosses val="autoZero"/>
        <c:crossBetween val="between"/>
      </c:valAx>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c:spPr>
    </c:plotArea>
    <c:legend>
      <c:legendPos val="r"/>
      <c:layout>
        <c:manualLayout>
          <c:xMode val="edge"/>
          <c:yMode val="edge"/>
          <c:x val="0.22790372505625278"/>
          <c:y val="0.21528378072066154"/>
          <c:w val="0.36880834923313288"/>
          <c:h val="0.25874641707427581"/>
        </c:manualLayout>
      </c:layout>
      <c:overlay val="0"/>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c:spPr>
      <c:txPr>
        <a:bodyPr/>
        <a:lstStyle/>
        <a:p>
          <a:pPr>
            <a:defRPr sz="1050"/>
          </a:pPr>
          <a:endParaRPr lang="en-US"/>
        </a:p>
      </c:txPr>
    </c:legend>
    <c:plotVisOnly val="1"/>
    <c:dispBlanksAs val="gap"/>
    <c:showDLblsOverMax val="0"/>
  </c:chart>
  <c:spPr>
    <a:solidFill>
      <a:srgbClr val="1F497D">
        <a:lumMod val="40000"/>
        <a:lumOff val="60000"/>
        <a:alpha val="76000"/>
      </a:srgbClr>
    </a:solidFill>
  </c:spPr>
  <c:printSettings>
    <c:headerFooter/>
    <c:pageMargins b="0.75000000000001465" l="0.70000000000000062" r="0.70000000000000062" t="0.75000000000001465" header="0.30000000000000032" footer="0.30000000000000032"/>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Total Nitrogen Bear Creek Reservoir </a:t>
            </a:r>
          </a:p>
        </c:rich>
      </c:tx>
      <c:layout>
        <c:manualLayout>
          <c:xMode val="edge"/>
          <c:yMode val="edge"/>
          <c:x val="0.44376447705934741"/>
          <c:y val="2.2299656462379188E-2"/>
        </c:manualLayout>
      </c:layout>
      <c:overlay val="0"/>
    </c:title>
    <c:autoTitleDeleted val="0"/>
    <c:plotArea>
      <c:layout>
        <c:manualLayout>
          <c:layoutTarget val="inner"/>
          <c:xMode val="edge"/>
          <c:yMode val="edge"/>
          <c:x val="0.1844092843157645"/>
          <c:y val="0.20822933411528569"/>
          <c:w val="0.81559071568423702"/>
          <c:h val="0.52205690626506218"/>
        </c:manualLayout>
      </c:layout>
      <c:lineChart>
        <c:grouping val="standard"/>
        <c:varyColors val="0"/>
        <c:ser>
          <c:idx val="0"/>
          <c:order val="0"/>
          <c:tx>
            <c:strRef>
              <c:f>'Monthly Chemistry'!$A$15:$A$21</c:f>
              <c:strCache>
                <c:ptCount val="1"/>
                <c:pt idx="0">
                  <c:v>BCR Top, Site 40a</c:v>
                </c:pt>
              </c:strCache>
            </c:strRef>
          </c:tx>
          <c:marker>
            <c:symbol val="none"/>
          </c:marker>
          <c:cat>
            <c:numRef>
              <c:f>'Monthly Chemistry'!$C$2:$R$2</c:f>
              <c:numCache>
                <c:formatCode>[$-409]d\-mmm;@</c:formatCode>
                <c:ptCount val="16"/>
                <c:pt idx="0">
                  <c:v>41296</c:v>
                </c:pt>
                <c:pt idx="1">
                  <c:v>41324</c:v>
                </c:pt>
                <c:pt idx="2">
                  <c:v>41358</c:v>
                </c:pt>
                <c:pt idx="3">
                  <c:v>41386</c:v>
                </c:pt>
                <c:pt idx="4">
                  <c:v>41414</c:v>
                </c:pt>
                <c:pt idx="5">
                  <c:v>41442</c:v>
                </c:pt>
                <c:pt idx="6">
                  <c:v>41463</c:v>
                </c:pt>
                <c:pt idx="7">
                  <c:v>41477</c:v>
                </c:pt>
                <c:pt idx="8">
                  <c:v>41491</c:v>
                </c:pt>
                <c:pt idx="9">
                  <c:v>41512</c:v>
                </c:pt>
                <c:pt idx="10">
                  <c:v>41526</c:v>
                </c:pt>
                <c:pt idx="11">
                  <c:v>41540</c:v>
                </c:pt>
                <c:pt idx="12">
                  <c:v>41558</c:v>
                </c:pt>
                <c:pt idx="13">
                  <c:v>41568</c:v>
                </c:pt>
                <c:pt idx="14">
                  <c:v>41596</c:v>
                </c:pt>
                <c:pt idx="15">
                  <c:v>41624</c:v>
                </c:pt>
              </c:numCache>
            </c:numRef>
          </c:cat>
          <c:val>
            <c:numRef>
              <c:f>'Monthly Chemistry'!$C$16:$R$16</c:f>
              <c:numCache>
                <c:formatCode>0</c:formatCode>
                <c:ptCount val="16"/>
                <c:pt idx="0">
                  <c:v>611</c:v>
                </c:pt>
                <c:pt idx="1">
                  <c:v>578</c:v>
                </c:pt>
                <c:pt idx="2">
                  <c:v>703</c:v>
                </c:pt>
                <c:pt idx="3">
                  <c:v>511</c:v>
                </c:pt>
                <c:pt idx="4">
                  <c:v>838</c:v>
                </c:pt>
                <c:pt idx="5">
                  <c:v>701</c:v>
                </c:pt>
                <c:pt idx="6">
                  <c:v>902</c:v>
                </c:pt>
                <c:pt idx="7">
                  <c:v>808</c:v>
                </c:pt>
                <c:pt idx="8">
                  <c:v>1272</c:v>
                </c:pt>
                <c:pt idx="9">
                  <c:v>883</c:v>
                </c:pt>
                <c:pt idx="10">
                  <c:v>864</c:v>
                </c:pt>
                <c:pt idx="11">
                  <c:v>968</c:v>
                </c:pt>
                <c:pt idx="12">
                  <c:v>715</c:v>
                </c:pt>
                <c:pt idx="13">
                  <c:v>602</c:v>
                </c:pt>
                <c:pt idx="14">
                  <c:v>774</c:v>
                </c:pt>
                <c:pt idx="15">
                  <c:v>746</c:v>
                </c:pt>
              </c:numCache>
            </c:numRef>
          </c:val>
          <c:smooth val="0"/>
          <c:extLst>
            <c:ext xmlns:c16="http://schemas.microsoft.com/office/drawing/2014/chart" uri="{C3380CC4-5D6E-409C-BE32-E72D297353CC}">
              <c16:uniqueId val="{00000000-D1EE-462D-B943-F8787F3B2468}"/>
            </c:ext>
          </c:extLst>
        </c:ser>
        <c:ser>
          <c:idx val="1"/>
          <c:order val="1"/>
          <c:tx>
            <c:strRef>
              <c:f>'Monthly Chemistry'!$A$22:$A$27</c:f>
              <c:strCache>
                <c:ptCount val="1"/>
                <c:pt idx="0">
                  <c:v>BCR  -10m, Site 40c</c:v>
                </c:pt>
              </c:strCache>
            </c:strRef>
          </c:tx>
          <c:marker>
            <c:symbol val="none"/>
          </c:marker>
          <c:cat>
            <c:numRef>
              <c:f>'Monthly Chemistry'!$C$2:$R$2</c:f>
              <c:numCache>
                <c:formatCode>[$-409]d\-mmm;@</c:formatCode>
                <c:ptCount val="16"/>
                <c:pt idx="0">
                  <c:v>41296</c:v>
                </c:pt>
                <c:pt idx="1">
                  <c:v>41324</c:v>
                </c:pt>
                <c:pt idx="2">
                  <c:v>41358</c:v>
                </c:pt>
                <c:pt idx="3">
                  <c:v>41386</c:v>
                </c:pt>
                <c:pt idx="4">
                  <c:v>41414</c:v>
                </c:pt>
                <c:pt idx="5">
                  <c:v>41442</c:v>
                </c:pt>
                <c:pt idx="6">
                  <c:v>41463</c:v>
                </c:pt>
                <c:pt idx="7">
                  <c:v>41477</c:v>
                </c:pt>
                <c:pt idx="8">
                  <c:v>41491</c:v>
                </c:pt>
                <c:pt idx="9">
                  <c:v>41512</c:v>
                </c:pt>
                <c:pt idx="10">
                  <c:v>41526</c:v>
                </c:pt>
                <c:pt idx="11">
                  <c:v>41540</c:v>
                </c:pt>
                <c:pt idx="12">
                  <c:v>41558</c:v>
                </c:pt>
                <c:pt idx="13">
                  <c:v>41568</c:v>
                </c:pt>
                <c:pt idx="14">
                  <c:v>41596</c:v>
                </c:pt>
                <c:pt idx="15">
                  <c:v>41624</c:v>
                </c:pt>
              </c:numCache>
            </c:numRef>
          </c:cat>
          <c:val>
            <c:numRef>
              <c:f>'Monthly Chemistry'!$C$22:$R$22</c:f>
              <c:numCache>
                <c:formatCode>0</c:formatCode>
                <c:ptCount val="16"/>
                <c:pt idx="0">
                  <c:v>736</c:v>
                </c:pt>
                <c:pt idx="1">
                  <c:v>808</c:v>
                </c:pt>
                <c:pt idx="2">
                  <c:v>673</c:v>
                </c:pt>
                <c:pt idx="3">
                  <c:v>495</c:v>
                </c:pt>
                <c:pt idx="4">
                  <c:v>760</c:v>
                </c:pt>
                <c:pt idx="5">
                  <c:v>637</c:v>
                </c:pt>
                <c:pt idx="6">
                  <c:v>713</c:v>
                </c:pt>
                <c:pt idx="7">
                  <c:v>1049</c:v>
                </c:pt>
                <c:pt idx="8">
                  <c:v>978</c:v>
                </c:pt>
                <c:pt idx="9">
                  <c:v>861</c:v>
                </c:pt>
                <c:pt idx="10">
                  <c:v>453</c:v>
                </c:pt>
                <c:pt idx="11">
                  <c:v>676</c:v>
                </c:pt>
                <c:pt idx="12">
                  <c:v>723</c:v>
                </c:pt>
                <c:pt idx="13">
                  <c:v>633</c:v>
                </c:pt>
                <c:pt idx="14">
                  <c:v>625</c:v>
                </c:pt>
                <c:pt idx="15">
                  <c:v>748</c:v>
                </c:pt>
              </c:numCache>
            </c:numRef>
          </c:val>
          <c:smooth val="0"/>
          <c:extLst>
            <c:ext xmlns:c16="http://schemas.microsoft.com/office/drawing/2014/chart" uri="{C3380CC4-5D6E-409C-BE32-E72D297353CC}">
              <c16:uniqueId val="{00000001-D1EE-462D-B943-F8787F3B2468}"/>
            </c:ext>
          </c:extLst>
        </c:ser>
        <c:dLbls>
          <c:showLegendKey val="0"/>
          <c:showVal val="0"/>
          <c:showCatName val="0"/>
          <c:showSerName val="0"/>
          <c:showPercent val="0"/>
          <c:showBubbleSize val="0"/>
        </c:dLbls>
        <c:smooth val="0"/>
        <c:axId val="151276544"/>
        <c:axId val="151319296"/>
      </c:lineChart>
      <c:dateAx>
        <c:axId val="151276544"/>
        <c:scaling>
          <c:orientation val="minMax"/>
        </c:scaling>
        <c:delete val="0"/>
        <c:axPos val="t"/>
        <c:numFmt formatCode="[$-409]d\-mmm;@" sourceLinked="1"/>
        <c:majorTickMark val="none"/>
        <c:minorTickMark val="none"/>
        <c:tickLblPos val="nextTo"/>
        <c:crossAx val="151319296"/>
        <c:crosses val="autoZero"/>
        <c:auto val="1"/>
        <c:lblOffset val="100"/>
        <c:baseTimeUnit val="days"/>
      </c:dateAx>
      <c:valAx>
        <c:axId val="151319296"/>
        <c:scaling>
          <c:orientation val="maxMin"/>
          <c:min val="250"/>
        </c:scaling>
        <c:delete val="0"/>
        <c:axPos val="l"/>
        <c:majorGridlines/>
        <c:minorGridlines/>
        <c:title>
          <c:tx>
            <c:rich>
              <a:bodyPr/>
              <a:lstStyle/>
              <a:p>
                <a:pPr>
                  <a:defRPr sz="1200">
                    <a:latin typeface="Times New Roman" pitchFamily="18" charset="0"/>
                    <a:cs typeface="Times New Roman" pitchFamily="18" charset="0"/>
                  </a:defRPr>
                </a:pPr>
                <a:r>
                  <a:rPr lang="en-US" sz="1200">
                    <a:latin typeface="Times New Roman" pitchFamily="18" charset="0"/>
                    <a:cs typeface="Times New Roman" pitchFamily="18" charset="0"/>
                  </a:rPr>
                  <a:t>Total Nitrogen ug/l</a:t>
                </a:r>
              </a:p>
            </c:rich>
          </c:tx>
          <c:layout>
            <c:manualLayout>
              <c:xMode val="edge"/>
              <c:yMode val="edge"/>
              <c:x val="9.3691646834728998E-2"/>
              <c:y val="0.27843784175613573"/>
            </c:manualLayout>
          </c:layout>
          <c:overlay val="0"/>
        </c:title>
        <c:numFmt formatCode="0" sourceLinked="1"/>
        <c:majorTickMark val="none"/>
        <c:minorTickMark val="none"/>
        <c:tickLblPos val="nextTo"/>
        <c:crossAx val="151276544"/>
        <c:crosses val="autoZero"/>
        <c:crossBetween val="between"/>
      </c:valAx>
      <c:dTable>
        <c:showHorzBorder val="1"/>
        <c:showVertBorder val="1"/>
        <c:showOutline val="1"/>
        <c:showKeys val="1"/>
        <c:txPr>
          <a:bodyPr/>
          <a:lstStyle/>
          <a:p>
            <a:pPr rtl="0">
              <a:defRPr sz="1050"/>
            </a:pPr>
            <a:endParaRPr lang="en-US"/>
          </a:p>
        </c:txPr>
      </c:dTable>
    </c:plotArea>
    <c:plotVisOnly val="1"/>
    <c:dispBlanksAs val="zero"/>
    <c:showDLblsOverMax val="0"/>
  </c:chart>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c:spPr>
  <c:printSettings>
    <c:headerFooter/>
    <c:pageMargins b="0.75000000000000289" l="0.70000000000000062" r="0.70000000000000062" t="0.75000000000000289" header="0.30000000000000032" footer="0.30000000000000032"/>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Total Nitrogen Middle BCW</a:t>
            </a:r>
          </a:p>
        </c:rich>
      </c:tx>
      <c:layout>
        <c:manualLayout>
          <c:xMode val="edge"/>
          <c:yMode val="edge"/>
          <c:x val="0.45087828674372032"/>
          <c:y val="1.04986847710653E-2"/>
        </c:manualLayout>
      </c:layout>
      <c:overlay val="0"/>
    </c:title>
    <c:autoTitleDeleted val="0"/>
    <c:plotArea>
      <c:layout>
        <c:manualLayout>
          <c:layoutTarget val="inner"/>
          <c:xMode val="edge"/>
          <c:yMode val="edge"/>
          <c:x val="0.16682924316372871"/>
          <c:y val="9.3189163320397048E-2"/>
          <c:w val="0.81212819663903768"/>
          <c:h val="0.46744524455810393"/>
        </c:manualLayout>
      </c:layout>
      <c:lineChart>
        <c:grouping val="standard"/>
        <c:varyColors val="0"/>
        <c:ser>
          <c:idx val="7"/>
          <c:order val="0"/>
          <c:tx>
            <c:strRef>
              <c:f>'MWS 2013 chemistry'!$D$1:$G$1</c:f>
              <c:strCache>
                <c:ptCount val="1"/>
                <c:pt idx="0">
                  <c:v>3/28/2013</c:v>
                </c:pt>
              </c:strCache>
            </c:strRef>
          </c:tx>
          <c:marker>
            <c:symbol val="none"/>
          </c:marker>
          <c:val>
            <c:numRef>
              <c:f>'MWS 2013 chemistry'!$D$3:$D$19</c:f>
              <c:numCache>
                <c:formatCode>0.00</c:formatCode>
                <c:ptCount val="17"/>
                <c:pt idx="4">
                  <c:v>524</c:v>
                </c:pt>
                <c:pt idx="5">
                  <c:v>823</c:v>
                </c:pt>
                <c:pt idx="6">
                  <c:v>567</c:v>
                </c:pt>
                <c:pt idx="7">
                  <c:v>937</c:v>
                </c:pt>
                <c:pt idx="8">
                  <c:v>997</c:v>
                </c:pt>
                <c:pt idx="9">
                  <c:v>880</c:v>
                </c:pt>
                <c:pt idx="10">
                  <c:v>1134</c:v>
                </c:pt>
                <c:pt idx="13">
                  <c:v>713</c:v>
                </c:pt>
                <c:pt idx="14">
                  <c:v>973</c:v>
                </c:pt>
                <c:pt idx="15">
                  <c:v>739</c:v>
                </c:pt>
                <c:pt idx="16">
                  <c:v>1075</c:v>
                </c:pt>
              </c:numCache>
            </c:numRef>
          </c:val>
          <c:smooth val="0"/>
          <c:extLst>
            <c:ext xmlns:c16="http://schemas.microsoft.com/office/drawing/2014/chart" uri="{C3380CC4-5D6E-409C-BE32-E72D297353CC}">
              <c16:uniqueId val="{00000000-A632-4EBB-A4D2-7E02146144BD}"/>
            </c:ext>
          </c:extLst>
        </c:ser>
        <c:ser>
          <c:idx val="8"/>
          <c:order val="1"/>
          <c:tx>
            <c:strRef>
              <c:f>'MWS 2013 chemistry'!$H$1:$K$1</c:f>
              <c:strCache>
                <c:ptCount val="1"/>
                <c:pt idx="0">
                  <c:v>4/25/2013</c:v>
                </c:pt>
              </c:strCache>
            </c:strRef>
          </c:tx>
          <c:marker>
            <c:symbol val="none"/>
          </c:marker>
          <c:val>
            <c:numRef>
              <c:f>'MWS 2013 chemistry'!$H$3:$H$19</c:f>
              <c:numCache>
                <c:formatCode>0.00</c:formatCode>
                <c:ptCount val="17"/>
                <c:pt idx="4">
                  <c:v>507</c:v>
                </c:pt>
                <c:pt idx="5">
                  <c:v>927</c:v>
                </c:pt>
                <c:pt idx="6">
                  <c:v>563</c:v>
                </c:pt>
                <c:pt idx="7">
                  <c:v>820</c:v>
                </c:pt>
                <c:pt idx="8">
                  <c:v>644</c:v>
                </c:pt>
                <c:pt idx="9">
                  <c:v>786</c:v>
                </c:pt>
                <c:pt idx="10">
                  <c:v>1522</c:v>
                </c:pt>
                <c:pt idx="13">
                  <c:v>619</c:v>
                </c:pt>
                <c:pt idx="14">
                  <c:v>1137</c:v>
                </c:pt>
                <c:pt idx="15">
                  <c:v>363</c:v>
                </c:pt>
                <c:pt idx="16">
                  <c:v>663</c:v>
                </c:pt>
              </c:numCache>
            </c:numRef>
          </c:val>
          <c:smooth val="0"/>
          <c:extLst>
            <c:ext xmlns:c16="http://schemas.microsoft.com/office/drawing/2014/chart" uri="{C3380CC4-5D6E-409C-BE32-E72D297353CC}">
              <c16:uniqueId val="{00000001-A632-4EBB-A4D2-7E02146144BD}"/>
            </c:ext>
          </c:extLst>
        </c:ser>
        <c:ser>
          <c:idx val="0"/>
          <c:order val="2"/>
          <c:tx>
            <c:strRef>
              <c:f>'MWS 2013 chemistry'!$L$1:$O$1</c:f>
              <c:strCache>
                <c:ptCount val="1"/>
                <c:pt idx="0">
                  <c:v>5/21/2013</c:v>
                </c:pt>
              </c:strCache>
            </c:strRef>
          </c:tx>
          <c:marker>
            <c:symbol val="none"/>
          </c:marker>
          <c:cat>
            <c:strRef>
              <c:f>'MWS 2013 chemistry'!$B$3:$B$19</c:f>
              <c:strCache>
                <c:ptCount val="17"/>
                <c:pt idx="0">
                  <c:v>Site 58</c:v>
                </c:pt>
                <c:pt idx="1">
                  <c:v>Site 2a</c:v>
                </c:pt>
                <c:pt idx="2">
                  <c:v>Site 3a</c:v>
                </c:pt>
                <c:pt idx="3">
                  <c:v>Site 25</c:v>
                </c:pt>
                <c:pt idx="4">
                  <c:v>Site 5</c:v>
                </c:pt>
                <c:pt idx="5">
                  <c:v>Site 8a</c:v>
                </c:pt>
                <c:pt idx="6">
                  <c:v>Site 9</c:v>
                </c:pt>
                <c:pt idx="7">
                  <c:v>Site 12</c:v>
                </c:pt>
                <c:pt idx="8">
                  <c:v>Site 13a</c:v>
                </c:pt>
                <c:pt idx="9">
                  <c:v>Site 14a</c:v>
                </c:pt>
                <c:pt idx="10">
                  <c:v>Site 34</c:v>
                </c:pt>
                <c:pt idx="11">
                  <c:v>Site 35</c:v>
                </c:pt>
                <c:pt idx="12">
                  <c:v>Site 50</c:v>
                </c:pt>
                <c:pt idx="13">
                  <c:v>Site 64</c:v>
                </c:pt>
                <c:pt idx="14">
                  <c:v>site 32</c:v>
                </c:pt>
                <c:pt idx="15">
                  <c:v>Site 18</c:v>
                </c:pt>
                <c:pt idx="16">
                  <c:v>Site 19</c:v>
                </c:pt>
              </c:strCache>
            </c:strRef>
          </c:cat>
          <c:val>
            <c:numRef>
              <c:f>'MWS 2013 chemistry'!$L$3:$L$19</c:f>
              <c:numCache>
                <c:formatCode>0.00</c:formatCode>
                <c:ptCount val="17"/>
                <c:pt idx="0">
                  <c:v>289</c:v>
                </c:pt>
                <c:pt idx="1">
                  <c:v>341</c:v>
                </c:pt>
                <c:pt idx="2">
                  <c:v>195</c:v>
                </c:pt>
                <c:pt idx="4">
                  <c:v>436</c:v>
                </c:pt>
                <c:pt idx="5">
                  <c:v>431</c:v>
                </c:pt>
                <c:pt idx="6">
                  <c:v>479</c:v>
                </c:pt>
                <c:pt idx="7">
                  <c:v>516</c:v>
                </c:pt>
                <c:pt idx="8">
                  <c:v>546</c:v>
                </c:pt>
                <c:pt idx="9">
                  <c:v>521</c:v>
                </c:pt>
                <c:pt idx="10">
                  <c:v>791</c:v>
                </c:pt>
                <c:pt idx="13">
                  <c:v>679</c:v>
                </c:pt>
                <c:pt idx="14">
                  <c:v>1328</c:v>
                </c:pt>
                <c:pt idx="15">
                  <c:v>604</c:v>
                </c:pt>
                <c:pt idx="16">
                  <c:v>694</c:v>
                </c:pt>
              </c:numCache>
            </c:numRef>
          </c:val>
          <c:smooth val="0"/>
          <c:extLst>
            <c:ext xmlns:c16="http://schemas.microsoft.com/office/drawing/2014/chart" uri="{C3380CC4-5D6E-409C-BE32-E72D297353CC}">
              <c16:uniqueId val="{00000002-A632-4EBB-A4D2-7E02146144BD}"/>
            </c:ext>
          </c:extLst>
        </c:ser>
        <c:ser>
          <c:idx val="1"/>
          <c:order val="3"/>
          <c:tx>
            <c:strRef>
              <c:f>'MWS 2013 chemistry'!$P$1:$S$1</c:f>
              <c:strCache>
                <c:ptCount val="1"/>
                <c:pt idx="0">
                  <c:v>6/18/2013</c:v>
                </c:pt>
              </c:strCache>
            </c:strRef>
          </c:tx>
          <c:marker>
            <c:symbol val="none"/>
          </c:marker>
          <c:val>
            <c:numRef>
              <c:f>'MWS 2013 chemistry'!$P$3:$P$19</c:f>
              <c:numCache>
                <c:formatCode>0.00</c:formatCode>
                <c:ptCount val="17"/>
                <c:pt idx="0">
                  <c:v>195</c:v>
                </c:pt>
                <c:pt idx="1">
                  <c:v>150</c:v>
                </c:pt>
                <c:pt idx="2">
                  <c:v>176</c:v>
                </c:pt>
                <c:pt idx="3">
                  <c:v>62</c:v>
                </c:pt>
                <c:pt idx="4">
                  <c:v>334</c:v>
                </c:pt>
                <c:pt idx="5">
                  <c:v>348</c:v>
                </c:pt>
                <c:pt idx="6">
                  <c:v>413</c:v>
                </c:pt>
                <c:pt idx="7">
                  <c:v>442</c:v>
                </c:pt>
                <c:pt idx="8">
                  <c:v>539</c:v>
                </c:pt>
                <c:pt idx="9">
                  <c:v>466</c:v>
                </c:pt>
                <c:pt idx="10">
                  <c:v>1117</c:v>
                </c:pt>
                <c:pt idx="11">
                  <c:v>265</c:v>
                </c:pt>
                <c:pt idx="12">
                  <c:v>133</c:v>
                </c:pt>
                <c:pt idx="13">
                  <c:v>724</c:v>
                </c:pt>
                <c:pt idx="14">
                  <c:v>674</c:v>
                </c:pt>
                <c:pt idx="15">
                  <c:v>503</c:v>
                </c:pt>
                <c:pt idx="16">
                  <c:v>234</c:v>
                </c:pt>
              </c:numCache>
            </c:numRef>
          </c:val>
          <c:smooth val="0"/>
          <c:extLst>
            <c:ext xmlns:c16="http://schemas.microsoft.com/office/drawing/2014/chart" uri="{C3380CC4-5D6E-409C-BE32-E72D297353CC}">
              <c16:uniqueId val="{00000003-A632-4EBB-A4D2-7E02146144BD}"/>
            </c:ext>
          </c:extLst>
        </c:ser>
        <c:ser>
          <c:idx val="2"/>
          <c:order val="4"/>
          <c:tx>
            <c:strRef>
              <c:f>'MWS 2013 chemistry'!$T$1:$W$1</c:f>
              <c:strCache>
                <c:ptCount val="1"/>
                <c:pt idx="0">
                  <c:v>7/23/2013</c:v>
                </c:pt>
              </c:strCache>
            </c:strRef>
          </c:tx>
          <c:marker>
            <c:symbol val="none"/>
          </c:marker>
          <c:val>
            <c:numRef>
              <c:f>'MWS 2013 chemistry'!$T$3:$T$19</c:f>
              <c:numCache>
                <c:formatCode>0.00</c:formatCode>
                <c:ptCount val="17"/>
                <c:pt idx="0">
                  <c:v>233</c:v>
                </c:pt>
                <c:pt idx="1">
                  <c:v>175</c:v>
                </c:pt>
                <c:pt idx="2">
                  <c:v>205</c:v>
                </c:pt>
                <c:pt idx="3">
                  <c:v>154</c:v>
                </c:pt>
                <c:pt idx="4">
                  <c:v>322</c:v>
                </c:pt>
                <c:pt idx="5">
                  <c:v>476</c:v>
                </c:pt>
                <c:pt idx="6">
                  <c:v>540</c:v>
                </c:pt>
                <c:pt idx="7">
                  <c:v>780</c:v>
                </c:pt>
                <c:pt idx="8">
                  <c:v>814</c:v>
                </c:pt>
                <c:pt idx="9">
                  <c:v>579</c:v>
                </c:pt>
                <c:pt idx="10">
                  <c:v>820</c:v>
                </c:pt>
                <c:pt idx="11">
                  <c:v>414</c:v>
                </c:pt>
                <c:pt idx="12">
                  <c:v>758</c:v>
                </c:pt>
                <c:pt idx="13">
                  <c:v>774</c:v>
                </c:pt>
                <c:pt idx="14">
                  <c:v>807</c:v>
                </c:pt>
                <c:pt idx="15">
                  <c:v>873</c:v>
                </c:pt>
                <c:pt idx="16">
                  <c:v>302</c:v>
                </c:pt>
              </c:numCache>
            </c:numRef>
          </c:val>
          <c:smooth val="0"/>
          <c:extLst>
            <c:ext xmlns:c16="http://schemas.microsoft.com/office/drawing/2014/chart" uri="{C3380CC4-5D6E-409C-BE32-E72D297353CC}">
              <c16:uniqueId val="{00000004-A632-4EBB-A4D2-7E02146144BD}"/>
            </c:ext>
          </c:extLst>
        </c:ser>
        <c:ser>
          <c:idx val="3"/>
          <c:order val="5"/>
          <c:tx>
            <c:strRef>
              <c:f>'MWS 2013 chemistry'!$X$1:$AA$1</c:f>
              <c:strCache>
                <c:ptCount val="1"/>
                <c:pt idx="0">
                  <c:v>8/27/2013</c:v>
                </c:pt>
              </c:strCache>
            </c:strRef>
          </c:tx>
          <c:marker>
            <c:symbol val="none"/>
          </c:marker>
          <c:val>
            <c:numRef>
              <c:f>'MWS 2013 chemistry'!$X$3:$X$19</c:f>
              <c:numCache>
                <c:formatCode>0.00</c:formatCode>
                <c:ptCount val="17"/>
                <c:pt idx="0">
                  <c:v>526</c:v>
                </c:pt>
                <c:pt idx="1">
                  <c:v>518</c:v>
                </c:pt>
                <c:pt idx="2">
                  <c:v>543</c:v>
                </c:pt>
                <c:pt idx="3">
                  <c:v>353</c:v>
                </c:pt>
                <c:pt idx="4">
                  <c:v>426</c:v>
                </c:pt>
                <c:pt idx="5">
                  <c:v>444</c:v>
                </c:pt>
                <c:pt idx="6">
                  <c:v>500</c:v>
                </c:pt>
                <c:pt idx="7">
                  <c:v>923</c:v>
                </c:pt>
                <c:pt idx="8">
                  <c:v>631</c:v>
                </c:pt>
                <c:pt idx="9">
                  <c:v>668</c:v>
                </c:pt>
                <c:pt idx="10">
                  <c:v>786</c:v>
                </c:pt>
                <c:pt idx="11">
                  <c:v>826</c:v>
                </c:pt>
                <c:pt idx="12">
                  <c:v>672</c:v>
                </c:pt>
                <c:pt idx="13">
                  <c:v>747</c:v>
                </c:pt>
                <c:pt idx="14">
                  <c:v>2026</c:v>
                </c:pt>
                <c:pt idx="15">
                  <c:v>868</c:v>
                </c:pt>
                <c:pt idx="16">
                  <c:v>546</c:v>
                </c:pt>
              </c:numCache>
            </c:numRef>
          </c:val>
          <c:smooth val="0"/>
          <c:extLst>
            <c:ext xmlns:c16="http://schemas.microsoft.com/office/drawing/2014/chart" uri="{C3380CC4-5D6E-409C-BE32-E72D297353CC}">
              <c16:uniqueId val="{00000005-A632-4EBB-A4D2-7E02146144BD}"/>
            </c:ext>
          </c:extLst>
        </c:ser>
        <c:ser>
          <c:idx val="4"/>
          <c:order val="6"/>
          <c:tx>
            <c:strRef>
              <c:f>'MWS 2013 chemistry'!$AB$1:$AE$1</c:f>
              <c:strCache>
                <c:ptCount val="1"/>
                <c:pt idx="0">
                  <c:v>9/25/2013</c:v>
                </c:pt>
              </c:strCache>
            </c:strRef>
          </c:tx>
          <c:marker>
            <c:symbol val="none"/>
          </c:marker>
          <c:val>
            <c:numRef>
              <c:f>'MWS 2013 chemistry'!$AB$3:$AB$19</c:f>
              <c:numCache>
                <c:formatCode>0.00</c:formatCode>
                <c:ptCount val="17"/>
                <c:pt idx="0">
                  <c:v>274</c:v>
                </c:pt>
                <c:pt idx="1">
                  <c:v>323</c:v>
                </c:pt>
                <c:pt idx="2">
                  <c:v>414</c:v>
                </c:pt>
                <c:pt idx="3">
                  <c:v>260</c:v>
                </c:pt>
                <c:pt idx="4">
                  <c:v>347</c:v>
                </c:pt>
                <c:pt idx="5">
                  <c:v>376</c:v>
                </c:pt>
                <c:pt idx="6">
                  <c:v>384</c:v>
                </c:pt>
                <c:pt idx="7">
                  <c:v>410</c:v>
                </c:pt>
                <c:pt idx="8">
                  <c:v>454</c:v>
                </c:pt>
                <c:pt idx="9">
                  <c:v>456</c:v>
                </c:pt>
                <c:pt idx="10">
                  <c:v>1938</c:v>
                </c:pt>
                <c:pt idx="11">
                  <c:v>385</c:v>
                </c:pt>
                <c:pt idx="12">
                  <c:v>615</c:v>
                </c:pt>
                <c:pt idx="13">
                  <c:v>902</c:v>
                </c:pt>
                <c:pt idx="14">
                  <c:v>1635</c:v>
                </c:pt>
                <c:pt idx="15">
                  <c:v>555</c:v>
                </c:pt>
                <c:pt idx="16">
                  <c:v>692</c:v>
                </c:pt>
              </c:numCache>
            </c:numRef>
          </c:val>
          <c:smooth val="0"/>
          <c:extLst>
            <c:ext xmlns:c16="http://schemas.microsoft.com/office/drawing/2014/chart" uri="{C3380CC4-5D6E-409C-BE32-E72D297353CC}">
              <c16:uniqueId val="{00000006-A632-4EBB-A4D2-7E02146144BD}"/>
            </c:ext>
          </c:extLst>
        </c:ser>
        <c:ser>
          <c:idx val="5"/>
          <c:order val="7"/>
          <c:tx>
            <c:strRef>
              <c:f>'MWS 2013 chemistry'!$AF$1:$AI$1</c:f>
              <c:strCache>
                <c:ptCount val="1"/>
                <c:pt idx="0">
                  <c:v>10/23/2013</c:v>
                </c:pt>
              </c:strCache>
            </c:strRef>
          </c:tx>
          <c:marker>
            <c:symbol val="none"/>
          </c:marker>
          <c:val>
            <c:numRef>
              <c:f>'MWS 2013 chemistry'!$AF$3:$AF$19</c:f>
              <c:numCache>
                <c:formatCode>0.00</c:formatCode>
                <c:ptCount val="17"/>
                <c:pt idx="0">
                  <c:v>255</c:v>
                </c:pt>
                <c:pt idx="1">
                  <c:v>269</c:v>
                </c:pt>
                <c:pt idx="2">
                  <c:v>245</c:v>
                </c:pt>
                <c:pt idx="3">
                  <c:v>175</c:v>
                </c:pt>
                <c:pt idx="4">
                  <c:v>224</c:v>
                </c:pt>
                <c:pt idx="5">
                  <c:v>329</c:v>
                </c:pt>
                <c:pt idx="6">
                  <c:v>383</c:v>
                </c:pt>
                <c:pt idx="7">
                  <c:v>496</c:v>
                </c:pt>
                <c:pt idx="8">
                  <c:v>473</c:v>
                </c:pt>
                <c:pt idx="9">
                  <c:v>425</c:v>
                </c:pt>
                <c:pt idx="10">
                  <c:v>1077</c:v>
                </c:pt>
                <c:pt idx="11">
                  <c:v>348</c:v>
                </c:pt>
                <c:pt idx="12">
                  <c:v>400</c:v>
                </c:pt>
                <c:pt idx="13">
                  <c:v>639</c:v>
                </c:pt>
                <c:pt idx="14">
                  <c:v>2147</c:v>
                </c:pt>
                <c:pt idx="15">
                  <c:v>485</c:v>
                </c:pt>
                <c:pt idx="16">
                  <c:v>398</c:v>
                </c:pt>
              </c:numCache>
            </c:numRef>
          </c:val>
          <c:smooth val="0"/>
          <c:extLst>
            <c:ext xmlns:c16="http://schemas.microsoft.com/office/drawing/2014/chart" uri="{C3380CC4-5D6E-409C-BE32-E72D297353CC}">
              <c16:uniqueId val="{00000007-A632-4EBB-A4D2-7E02146144BD}"/>
            </c:ext>
          </c:extLst>
        </c:ser>
        <c:ser>
          <c:idx val="6"/>
          <c:order val="8"/>
          <c:tx>
            <c:strRef>
              <c:f>'MWS 2013 chemistry'!$AJ$1:$AM$1</c:f>
              <c:strCache>
                <c:ptCount val="1"/>
                <c:pt idx="0">
                  <c:v>11/25/2013</c:v>
                </c:pt>
              </c:strCache>
            </c:strRef>
          </c:tx>
          <c:marker>
            <c:symbol val="none"/>
          </c:marker>
          <c:val>
            <c:numRef>
              <c:f>'MWS 2013 chemistry'!$AJ$3:$AJ$19</c:f>
              <c:numCache>
                <c:formatCode>0.00</c:formatCode>
                <c:ptCount val="17"/>
                <c:pt idx="1">
                  <c:v>166</c:v>
                </c:pt>
                <c:pt idx="2">
                  <c:v>170</c:v>
                </c:pt>
                <c:pt idx="4">
                  <c:v>134</c:v>
                </c:pt>
                <c:pt idx="5">
                  <c:v>234</c:v>
                </c:pt>
                <c:pt idx="6">
                  <c:v>264</c:v>
                </c:pt>
                <c:pt idx="7">
                  <c:v>349</c:v>
                </c:pt>
                <c:pt idx="8">
                  <c:v>236</c:v>
                </c:pt>
                <c:pt idx="9">
                  <c:v>296</c:v>
                </c:pt>
                <c:pt idx="10">
                  <c:v>1091</c:v>
                </c:pt>
                <c:pt idx="11">
                  <c:v>255</c:v>
                </c:pt>
                <c:pt idx="12">
                  <c:v>268</c:v>
                </c:pt>
                <c:pt idx="13">
                  <c:v>694</c:v>
                </c:pt>
                <c:pt idx="14">
                  <c:v>1670</c:v>
                </c:pt>
                <c:pt idx="15">
                  <c:v>509</c:v>
                </c:pt>
                <c:pt idx="16">
                  <c:v>297</c:v>
                </c:pt>
              </c:numCache>
            </c:numRef>
          </c:val>
          <c:smooth val="0"/>
          <c:extLst>
            <c:ext xmlns:c16="http://schemas.microsoft.com/office/drawing/2014/chart" uri="{C3380CC4-5D6E-409C-BE32-E72D297353CC}">
              <c16:uniqueId val="{00000008-A632-4EBB-A4D2-7E02146144BD}"/>
            </c:ext>
          </c:extLst>
        </c:ser>
        <c:dLbls>
          <c:showLegendKey val="0"/>
          <c:showVal val="0"/>
          <c:showCatName val="0"/>
          <c:showSerName val="0"/>
          <c:showPercent val="0"/>
          <c:showBubbleSize val="0"/>
        </c:dLbls>
        <c:smooth val="0"/>
        <c:axId val="153402752"/>
        <c:axId val="153416832"/>
      </c:lineChart>
      <c:catAx>
        <c:axId val="153402752"/>
        <c:scaling>
          <c:orientation val="minMax"/>
        </c:scaling>
        <c:delete val="0"/>
        <c:axPos val="t"/>
        <c:majorTickMark val="none"/>
        <c:minorTickMark val="none"/>
        <c:tickLblPos val="nextTo"/>
        <c:crossAx val="153416832"/>
        <c:crosses val="autoZero"/>
        <c:auto val="1"/>
        <c:lblAlgn val="ctr"/>
        <c:lblOffset val="100"/>
        <c:noMultiLvlLbl val="0"/>
      </c:catAx>
      <c:valAx>
        <c:axId val="153416832"/>
        <c:scaling>
          <c:orientation val="maxMin"/>
        </c:scaling>
        <c:delete val="0"/>
        <c:axPos val="l"/>
        <c:majorGridlines/>
        <c:title>
          <c:tx>
            <c:rich>
              <a:bodyPr/>
              <a:lstStyle/>
              <a:p>
                <a:pPr>
                  <a:defRPr/>
                </a:pPr>
                <a:r>
                  <a:rPr lang="en-US"/>
                  <a:t>Total Nitrogen ug/l</a:t>
                </a:r>
              </a:p>
            </c:rich>
          </c:tx>
          <c:layout>
            <c:manualLayout>
              <c:xMode val="edge"/>
              <c:yMode val="edge"/>
              <c:x val="8.7403598971722354E-2"/>
              <c:y val="0.17249752412906391"/>
            </c:manualLayout>
          </c:layout>
          <c:overlay val="0"/>
        </c:title>
        <c:numFmt formatCode="0.00" sourceLinked="1"/>
        <c:majorTickMark val="none"/>
        <c:minorTickMark val="none"/>
        <c:tickLblPos val="nextTo"/>
        <c:crossAx val="153402752"/>
        <c:crosses val="autoZero"/>
        <c:crossBetween val="between"/>
      </c:valAx>
      <c:dTable>
        <c:showHorzBorder val="1"/>
        <c:showVertBorder val="1"/>
        <c:showOutline val="1"/>
        <c:showKeys val="1"/>
      </c:dTable>
    </c:plotArea>
    <c:plotVisOnly val="1"/>
    <c:dispBlanksAs val="gap"/>
    <c:showDLblsOverMax val="0"/>
  </c:chart>
  <c:spPr>
    <a:gradFill>
      <a:gsLst>
        <a:gs pos="0">
          <a:srgbClr val="4F81BD">
            <a:tint val="66000"/>
            <a:satMod val="160000"/>
            <a:alpha val="36000"/>
          </a:srgbClr>
        </a:gs>
        <a:gs pos="50000">
          <a:srgbClr val="4F81BD">
            <a:tint val="44500"/>
            <a:satMod val="160000"/>
          </a:srgbClr>
        </a:gs>
        <a:gs pos="100000">
          <a:srgbClr val="4F81BD">
            <a:tint val="23500"/>
            <a:satMod val="160000"/>
          </a:srgbClr>
        </a:gs>
      </a:gsLst>
      <a:lin ang="5400000" scaled="0"/>
    </a:gradFill>
  </c:spPr>
  <c:printSettings>
    <c:headerFooter/>
    <c:pageMargins b="0.75000000000000278" l="0.70000000000000062" r="0.70000000000000062" t="0.75000000000000278" header="0.30000000000000032" footer="0.30000000000000032"/>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Total Phosphorus Middle BCW</a:t>
            </a:r>
          </a:p>
        </c:rich>
      </c:tx>
      <c:overlay val="0"/>
    </c:title>
    <c:autoTitleDeleted val="0"/>
    <c:plotArea>
      <c:layout>
        <c:manualLayout>
          <c:layoutTarget val="inner"/>
          <c:xMode val="edge"/>
          <c:yMode val="edge"/>
          <c:x val="0.16210801446743894"/>
          <c:y val="0.10338687664042"/>
          <c:w val="0.81856831670787755"/>
          <c:h val="0.39299443569553832"/>
        </c:manualLayout>
      </c:layout>
      <c:lineChart>
        <c:grouping val="standard"/>
        <c:varyColors val="0"/>
        <c:ser>
          <c:idx val="7"/>
          <c:order val="0"/>
          <c:tx>
            <c:strRef>
              <c:f>'MWS 2013 chemistry'!$D$1:$G$1</c:f>
              <c:strCache>
                <c:ptCount val="1"/>
                <c:pt idx="0">
                  <c:v>3/28/2013</c:v>
                </c:pt>
              </c:strCache>
            </c:strRef>
          </c:tx>
          <c:marker>
            <c:symbol val="none"/>
          </c:marker>
          <c:val>
            <c:numRef>
              <c:f>'MWS 2013 chemistry'!$G$3:$G$19</c:f>
              <c:numCache>
                <c:formatCode>0.00</c:formatCode>
                <c:ptCount val="17"/>
                <c:pt idx="4">
                  <c:v>18</c:v>
                </c:pt>
                <c:pt idx="5">
                  <c:v>16</c:v>
                </c:pt>
                <c:pt idx="6">
                  <c:v>18</c:v>
                </c:pt>
                <c:pt idx="7">
                  <c:v>29</c:v>
                </c:pt>
                <c:pt idx="8">
                  <c:v>31</c:v>
                </c:pt>
                <c:pt idx="9">
                  <c:v>26</c:v>
                </c:pt>
                <c:pt idx="10">
                  <c:v>5</c:v>
                </c:pt>
                <c:pt idx="13">
                  <c:v>66</c:v>
                </c:pt>
                <c:pt idx="14">
                  <c:v>111</c:v>
                </c:pt>
                <c:pt idx="15">
                  <c:v>86</c:v>
                </c:pt>
                <c:pt idx="16">
                  <c:v>54</c:v>
                </c:pt>
              </c:numCache>
            </c:numRef>
          </c:val>
          <c:smooth val="0"/>
          <c:extLst>
            <c:ext xmlns:c16="http://schemas.microsoft.com/office/drawing/2014/chart" uri="{C3380CC4-5D6E-409C-BE32-E72D297353CC}">
              <c16:uniqueId val="{00000000-F83C-4B24-91F2-CF23CE8C434B}"/>
            </c:ext>
          </c:extLst>
        </c:ser>
        <c:ser>
          <c:idx val="8"/>
          <c:order val="1"/>
          <c:tx>
            <c:strRef>
              <c:f>'MWS 2013 chemistry'!$H$1:$K$1</c:f>
              <c:strCache>
                <c:ptCount val="1"/>
                <c:pt idx="0">
                  <c:v>4/25/2013</c:v>
                </c:pt>
              </c:strCache>
            </c:strRef>
          </c:tx>
          <c:marker>
            <c:symbol val="none"/>
          </c:marker>
          <c:val>
            <c:numRef>
              <c:f>'MWS 2013 chemistry'!$K$3:$K$19</c:f>
              <c:numCache>
                <c:formatCode>0.00</c:formatCode>
                <c:ptCount val="17"/>
                <c:pt idx="4">
                  <c:v>16</c:v>
                </c:pt>
                <c:pt idx="5">
                  <c:v>23</c:v>
                </c:pt>
                <c:pt idx="6">
                  <c:v>19</c:v>
                </c:pt>
                <c:pt idx="7">
                  <c:v>35</c:v>
                </c:pt>
                <c:pt idx="8">
                  <c:v>21</c:v>
                </c:pt>
                <c:pt idx="9">
                  <c:v>17</c:v>
                </c:pt>
                <c:pt idx="10">
                  <c:v>21</c:v>
                </c:pt>
                <c:pt idx="13">
                  <c:v>46</c:v>
                </c:pt>
                <c:pt idx="14">
                  <c:v>166</c:v>
                </c:pt>
                <c:pt idx="15">
                  <c:v>11</c:v>
                </c:pt>
                <c:pt idx="16">
                  <c:v>32</c:v>
                </c:pt>
              </c:numCache>
            </c:numRef>
          </c:val>
          <c:smooth val="0"/>
          <c:extLst>
            <c:ext xmlns:c16="http://schemas.microsoft.com/office/drawing/2014/chart" uri="{C3380CC4-5D6E-409C-BE32-E72D297353CC}">
              <c16:uniqueId val="{00000001-F83C-4B24-91F2-CF23CE8C434B}"/>
            </c:ext>
          </c:extLst>
        </c:ser>
        <c:ser>
          <c:idx val="0"/>
          <c:order val="2"/>
          <c:tx>
            <c:strRef>
              <c:f>'MWS 2013 chemistry'!$L$1:$O$1</c:f>
              <c:strCache>
                <c:ptCount val="1"/>
                <c:pt idx="0">
                  <c:v>5/21/2013</c:v>
                </c:pt>
              </c:strCache>
            </c:strRef>
          </c:tx>
          <c:marker>
            <c:symbol val="none"/>
          </c:marker>
          <c:cat>
            <c:strRef>
              <c:f>'MWS 2013 chemistry'!$B$3:$B$19</c:f>
              <c:strCache>
                <c:ptCount val="17"/>
                <c:pt idx="0">
                  <c:v>Site 58</c:v>
                </c:pt>
                <c:pt idx="1">
                  <c:v>Site 2a</c:v>
                </c:pt>
                <c:pt idx="2">
                  <c:v>Site 3a</c:v>
                </c:pt>
                <c:pt idx="3">
                  <c:v>Site 25</c:v>
                </c:pt>
                <c:pt idx="4">
                  <c:v>Site 5</c:v>
                </c:pt>
                <c:pt idx="5">
                  <c:v>Site 8a</c:v>
                </c:pt>
                <c:pt idx="6">
                  <c:v>Site 9</c:v>
                </c:pt>
                <c:pt idx="7">
                  <c:v>Site 12</c:v>
                </c:pt>
                <c:pt idx="8">
                  <c:v>Site 13a</c:v>
                </c:pt>
                <c:pt idx="9">
                  <c:v>Site 14a</c:v>
                </c:pt>
                <c:pt idx="10">
                  <c:v>Site 34</c:v>
                </c:pt>
                <c:pt idx="11">
                  <c:v>Site 35</c:v>
                </c:pt>
                <c:pt idx="12">
                  <c:v>Site 50</c:v>
                </c:pt>
                <c:pt idx="13">
                  <c:v>Site 64</c:v>
                </c:pt>
                <c:pt idx="14">
                  <c:v>site 32</c:v>
                </c:pt>
                <c:pt idx="15">
                  <c:v>Site 18</c:v>
                </c:pt>
                <c:pt idx="16">
                  <c:v>Site 19</c:v>
                </c:pt>
              </c:strCache>
            </c:strRef>
          </c:cat>
          <c:val>
            <c:numRef>
              <c:f>'MWS 2013 chemistry'!$O$3:$O$19</c:f>
              <c:numCache>
                <c:formatCode>0.00</c:formatCode>
                <c:ptCount val="17"/>
                <c:pt idx="0">
                  <c:v>25</c:v>
                </c:pt>
                <c:pt idx="1">
                  <c:v>36</c:v>
                </c:pt>
                <c:pt idx="2">
                  <c:v>21</c:v>
                </c:pt>
                <c:pt idx="4">
                  <c:v>26</c:v>
                </c:pt>
                <c:pt idx="5">
                  <c:v>27</c:v>
                </c:pt>
                <c:pt idx="6">
                  <c:v>30</c:v>
                </c:pt>
                <c:pt idx="7">
                  <c:v>30</c:v>
                </c:pt>
                <c:pt idx="8">
                  <c:v>34</c:v>
                </c:pt>
                <c:pt idx="9">
                  <c:v>38</c:v>
                </c:pt>
                <c:pt idx="10">
                  <c:v>9</c:v>
                </c:pt>
                <c:pt idx="13">
                  <c:v>61</c:v>
                </c:pt>
                <c:pt idx="14">
                  <c:v>147</c:v>
                </c:pt>
                <c:pt idx="15">
                  <c:v>15</c:v>
                </c:pt>
                <c:pt idx="16">
                  <c:v>21</c:v>
                </c:pt>
              </c:numCache>
            </c:numRef>
          </c:val>
          <c:smooth val="0"/>
          <c:extLst>
            <c:ext xmlns:c16="http://schemas.microsoft.com/office/drawing/2014/chart" uri="{C3380CC4-5D6E-409C-BE32-E72D297353CC}">
              <c16:uniqueId val="{00000002-F83C-4B24-91F2-CF23CE8C434B}"/>
            </c:ext>
          </c:extLst>
        </c:ser>
        <c:ser>
          <c:idx val="1"/>
          <c:order val="3"/>
          <c:tx>
            <c:strRef>
              <c:f>'MWS 2013 chemistry'!$P$1:$S$1</c:f>
              <c:strCache>
                <c:ptCount val="1"/>
                <c:pt idx="0">
                  <c:v>6/18/2013</c:v>
                </c:pt>
              </c:strCache>
            </c:strRef>
          </c:tx>
          <c:marker>
            <c:symbol val="none"/>
          </c:marker>
          <c:val>
            <c:numRef>
              <c:f>'MWS 2013 chemistry'!$S$3:$S$19</c:f>
              <c:numCache>
                <c:formatCode>0.00</c:formatCode>
                <c:ptCount val="17"/>
                <c:pt idx="0">
                  <c:v>5</c:v>
                </c:pt>
                <c:pt idx="1">
                  <c:v>14</c:v>
                </c:pt>
                <c:pt idx="2">
                  <c:v>15</c:v>
                </c:pt>
                <c:pt idx="3">
                  <c:v>15</c:v>
                </c:pt>
                <c:pt idx="4">
                  <c:v>27</c:v>
                </c:pt>
                <c:pt idx="5">
                  <c:v>24</c:v>
                </c:pt>
                <c:pt idx="6">
                  <c:v>35</c:v>
                </c:pt>
                <c:pt idx="7">
                  <c:v>42</c:v>
                </c:pt>
                <c:pt idx="8">
                  <c:v>48</c:v>
                </c:pt>
                <c:pt idx="9">
                  <c:v>47</c:v>
                </c:pt>
                <c:pt idx="10">
                  <c:v>76</c:v>
                </c:pt>
                <c:pt idx="11">
                  <c:v>58</c:v>
                </c:pt>
                <c:pt idx="12">
                  <c:v>12</c:v>
                </c:pt>
                <c:pt idx="13">
                  <c:v>78</c:v>
                </c:pt>
                <c:pt idx="14">
                  <c:v>128</c:v>
                </c:pt>
                <c:pt idx="15">
                  <c:v>16</c:v>
                </c:pt>
                <c:pt idx="16">
                  <c:v>12</c:v>
                </c:pt>
              </c:numCache>
            </c:numRef>
          </c:val>
          <c:smooth val="0"/>
          <c:extLst>
            <c:ext xmlns:c16="http://schemas.microsoft.com/office/drawing/2014/chart" uri="{C3380CC4-5D6E-409C-BE32-E72D297353CC}">
              <c16:uniqueId val="{00000003-F83C-4B24-91F2-CF23CE8C434B}"/>
            </c:ext>
          </c:extLst>
        </c:ser>
        <c:ser>
          <c:idx val="2"/>
          <c:order val="4"/>
          <c:tx>
            <c:strRef>
              <c:f>'MWS 2013 chemistry'!$T$1:$W$1</c:f>
              <c:strCache>
                <c:ptCount val="1"/>
                <c:pt idx="0">
                  <c:v>7/23/2013</c:v>
                </c:pt>
              </c:strCache>
            </c:strRef>
          </c:tx>
          <c:marker>
            <c:symbol val="none"/>
          </c:marker>
          <c:val>
            <c:numRef>
              <c:f>'MWS 2013 chemistry'!$W$3:$W$19</c:f>
              <c:numCache>
                <c:formatCode>0.00</c:formatCode>
                <c:ptCount val="17"/>
                <c:pt idx="0">
                  <c:v>2</c:v>
                </c:pt>
                <c:pt idx="1">
                  <c:v>19</c:v>
                </c:pt>
                <c:pt idx="2">
                  <c:v>13</c:v>
                </c:pt>
                <c:pt idx="3">
                  <c:v>12</c:v>
                </c:pt>
                <c:pt idx="4">
                  <c:v>37</c:v>
                </c:pt>
                <c:pt idx="5">
                  <c:v>31</c:v>
                </c:pt>
                <c:pt idx="6">
                  <c:v>40</c:v>
                </c:pt>
                <c:pt idx="7">
                  <c:v>45</c:v>
                </c:pt>
                <c:pt idx="8">
                  <c:v>47</c:v>
                </c:pt>
                <c:pt idx="9">
                  <c:v>45</c:v>
                </c:pt>
                <c:pt idx="10">
                  <c:v>38</c:v>
                </c:pt>
                <c:pt idx="11">
                  <c:v>15</c:v>
                </c:pt>
                <c:pt idx="12">
                  <c:v>36</c:v>
                </c:pt>
                <c:pt idx="13">
                  <c:v>102</c:v>
                </c:pt>
                <c:pt idx="14">
                  <c:v>238</c:v>
                </c:pt>
                <c:pt idx="15">
                  <c:v>24</c:v>
                </c:pt>
                <c:pt idx="16">
                  <c:v>52</c:v>
                </c:pt>
              </c:numCache>
            </c:numRef>
          </c:val>
          <c:smooth val="0"/>
          <c:extLst>
            <c:ext xmlns:c16="http://schemas.microsoft.com/office/drawing/2014/chart" uri="{C3380CC4-5D6E-409C-BE32-E72D297353CC}">
              <c16:uniqueId val="{00000004-F83C-4B24-91F2-CF23CE8C434B}"/>
            </c:ext>
          </c:extLst>
        </c:ser>
        <c:ser>
          <c:idx val="3"/>
          <c:order val="5"/>
          <c:tx>
            <c:strRef>
              <c:f>'MWS 2013 chemistry'!$X$1:$AA$1</c:f>
              <c:strCache>
                <c:ptCount val="1"/>
                <c:pt idx="0">
                  <c:v>8/27/2013</c:v>
                </c:pt>
              </c:strCache>
            </c:strRef>
          </c:tx>
          <c:marker>
            <c:symbol val="none"/>
          </c:marker>
          <c:val>
            <c:numRef>
              <c:f>'MWS 2013 chemistry'!$AA$3:$AA$19</c:f>
              <c:numCache>
                <c:formatCode>0.00</c:formatCode>
                <c:ptCount val="17"/>
                <c:pt idx="0">
                  <c:v>34</c:v>
                </c:pt>
                <c:pt idx="1">
                  <c:v>42</c:v>
                </c:pt>
                <c:pt idx="2">
                  <c:v>114</c:v>
                </c:pt>
                <c:pt idx="3">
                  <c:v>30</c:v>
                </c:pt>
                <c:pt idx="4">
                  <c:v>33</c:v>
                </c:pt>
                <c:pt idx="5">
                  <c:v>51</c:v>
                </c:pt>
                <c:pt idx="6">
                  <c:v>71</c:v>
                </c:pt>
                <c:pt idx="7">
                  <c:v>117</c:v>
                </c:pt>
                <c:pt idx="8">
                  <c:v>101</c:v>
                </c:pt>
                <c:pt idx="9">
                  <c:v>85</c:v>
                </c:pt>
                <c:pt idx="10">
                  <c:v>10</c:v>
                </c:pt>
                <c:pt idx="11">
                  <c:v>27</c:v>
                </c:pt>
                <c:pt idx="12">
                  <c:v>35</c:v>
                </c:pt>
                <c:pt idx="13">
                  <c:v>36</c:v>
                </c:pt>
                <c:pt idx="14">
                  <c:v>556</c:v>
                </c:pt>
                <c:pt idx="15">
                  <c:v>19</c:v>
                </c:pt>
                <c:pt idx="16">
                  <c:v>10</c:v>
                </c:pt>
              </c:numCache>
            </c:numRef>
          </c:val>
          <c:smooth val="0"/>
          <c:extLst>
            <c:ext xmlns:c16="http://schemas.microsoft.com/office/drawing/2014/chart" uri="{C3380CC4-5D6E-409C-BE32-E72D297353CC}">
              <c16:uniqueId val="{00000005-F83C-4B24-91F2-CF23CE8C434B}"/>
            </c:ext>
          </c:extLst>
        </c:ser>
        <c:ser>
          <c:idx val="4"/>
          <c:order val="6"/>
          <c:tx>
            <c:strRef>
              <c:f>'MWS 2013 chemistry'!$AB$1:$AE$1</c:f>
              <c:strCache>
                <c:ptCount val="1"/>
                <c:pt idx="0">
                  <c:v>9/25/2013</c:v>
                </c:pt>
              </c:strCache>
            </c:strRef>
          </c:tx>
          <c:marker>
            <c:symbol val="none"/>
          </c:marker>
          <c:val>
            <c:numRef>
              <c:f>'MWS 2013 chemistry'!$AE$3:$AE$19</c:f>
              <c:numCache>
                <c:formatCode>0.00</c:formatCode>
                <c:ptCount val="17"/>
                <c:pt idx="0">
                  <c:v>16</c:v>
                </c:pt>
                <c:pt idx="1">
                  <c:v>20</c:v>
                </c:pt>
                <c:pt idx="2">
                  <c:v>26</c:v>
                </c:pt>
                <c:pt idx="3">
                  <c:v>23</c:v>
                </c:pt>
                <c:pt idx="4">
                  <c:v>22</c:v>
                </c:pt>
                <c:pt idx="5">
                  <c:v>25</c:v>
                </c:pt>
                <c:pt idx="6">
                  <c:v>25</c:v>
                </c:pt>
                <c:pt idx="7">
                  <c:v>29</c:v>
                </c:pt>
                <c:pt idx="8">
                  <c:v>28</c:v>
                </c:pt>
                <c:pt idx="9">
                  <c:v>29</c:v>
                </c:pt>
                <c:pt idx="10">
                  <c:v>30</c:v>
                </c:pt>
                <c:pt idx="11">
                  <c:v>26</c:v>
                </c:pt>
                <c:pt idx="12">
                  <c:v>48</c:v>
                </c:pt>
                <c:pt idx="13">
                  <c:v>86</c:v>
                </c:pt>
                <c:pt idx="14">
                  <c:v>137</c:v>
                </c:pt>
                <c:pt idx="15">
                  <c:v>18</c:v>
                </c:pt>
                <c:pt idx="16">
                  <c:v>34</c:v>
                </c:pt>
              </c:numCache>
            </c:numRef>
          </c:val>
          <c:smooth val="0"/>
          <c:extLst>
            <c:ext xmlns:c16="http://schemas.microsoft.com/office/drawing/2014/chart" uri="{C3380CC4-5D6E-409C-BE32-E72D297353CC}">
              <c16:uniqueId val="{00000006-F83C-4B24-91F2-CF23CE8C434B}"/>
            </c:ext>
          </c:extLst>
        </c:ser>
        <c:ser>
          <c:idx val="5"/>
          <c:order val="7"/>
          <c:tx>
            <c:strRef>
              <c:f>'MWS 2013 chemistry'!$AF$1:$AI$1</c:f>
              <c:strCache>
                <c:ptCount val="1"/>
                <c:pt idx="0">
                  <c:v>10/23/2013</c:v>
                </c:pt>
              </c:strCache>
            </c:strRef>
          </c:tx>
          <c:marker>
            <c:symbol val="none"/>
          </c:marker>
          <c:val>
            <c:numRef>
              <c:f>'MWS 2013 chemistry'!$AI$3:$AI$19</c:f>
              <c:numCache>
                <c:formatCode>0.00</c:formatCode>
                <c:ptCount val="17"/>
                <c:pt idx="0">
                  <c:v>2</c:v>
                </c:pt>
                <c:pt idx="1">
                  <c:v>2</c:v>
                </c:pt>
                <c:pt idx="2">
                  <c:v>2</c:v>
                </c:pt>
                <c:pt idx="3">
                  <c:v>2</c:v>
                </c:pt>
                <c:pt idx="4">
                  <c:v>6</c:v>
                </c:pt>
                <c:pt idx="5">
                  <c:v>2</c:v>
                </c:pt>
                <c:pt idx="6">
                  <c:v>7</c:v>
                </c:pt>
                <c:pt idx="7">
                  <c:v>6</c:v>
                </c:pt>
                <c:pt idx="8">
                  <c:v>3</c:v>
                </c:pt>
                <c:pt idx="9">
                  <c:v>2</c:v>
                </c:pt>
                <c:pt idx="10">
                  <c:v>5</c:v>
                </c:pt>
                <c:pt idx="11">
                  <c:v>11</c:v>
                </c:pt>
                <c:pt idx="12">
                  <c:v>5</c:v>
                </c:pt>
                <c:pt idx="13">
                  <c:v>66</c:v>
                </c:pt>
                <c:pt idx="14">
                  <c:v>192</c:v>
                </c:pt>
                <c:pt idx="15">
                  <c:v>6</c:v>
                </c:pt>
                <c:pt idx="16">
                  <c:v>2</c:v>
                </c:pt>
              </c:numCache>
            </c:numRef>
          </c:val>
          <c:smooth val="0"/>
          <c:extLst>
            <c:ext xmlns:c16="http://schemas.microsoft.com/office/drawing/2014/chart" uri="{C3380CC4-5D6E-409C-BE32-E72D297353CC}">
              <c16:uniqueId val="{00000007-F83C-4B24-91F2-CF23CE8C434B}"/>
            </c:ext>
          </c:extLst>
        </c:ser>
        <c:ser>
          <c:idx val="6"/>
          <c:order val="8"/>
          <c:tx>
            <c:strRef>
              <c:f>'MWS 2013 chemistry'!$AJ$1:$AM$1</c:f>
              <c:strCache>
                <c:ptCount val="1"/>
                <c:pt idx="0">
                  <c:v>11/25/2013</c:v>
                </c:pt>
              </c:strCache>
            </c:strRef>
          </c:tx>
          <c:marker>
            <c:symbol val="none"/>
          </c:marker>
          <c:val>
            <c:numRef>
              <c:f>'MWS 2013 chemistry'!$AM$3:$AM$19</c:f>
              <c:numCache>
                <c:formatCode>0.00</c:formatCode>
                <c:ptCount val="17"/>
                <c:pt idx="1">
                  <c:v>7</c:v>
                </c:pt>
                <c:pt idx="2">
                  <c:v>23</c:v>
                </c:pt>
                <c:pt idx="4">
                  <c:v>8</c:v>
                </c:pt>
                <c:pt idx="5">
                  <c:v>13</c:v>
                </c:pt>
                <c:pt idx="6">
                  <c:v>17</c:v>
                </c:pt>
                <c:pt idx="7">
                  <c:v>14</c:v>
                </c:pt>
                <c:pt idx="8">
                  <c:v>12</c:v>
                </c:pt>
                <c:pt idx="9">
                  <c:v>17</c:v>
                </c:pt>
                <c:pt idx="10">
                  <c:v>11</c:v>
                </c:pt>
                <c:pt idx="11">
                  <c:v>11</c:v>
                </c:pt>
                <c:pt idx="12">
                  <c:v>11</c:v>
                </c:pt>
                <c:pt idx="13">
                  <c:v>44</c:v>
                </c:pt>
                <c:pt idx="14">
                  <c:v>158</c:v>
                </c:pt>
                <c:pt idx="15">
                  <c:v>57</c:v>
                </c:pt>
                <c:pt idx="16">
                  <c:v>10</c:v>
                </c:pt>
              </c:numCache>
            </c:numRef>
          </c:val>
          <c:smooth val="0"/>
          <c:extLst>
            <c:ext xmlns:c16="http://schemas.microsoft.com/office/drawing/2014/chart" uri="{C3380CC4-5D6E-409C-BE32-E72D297353CC}">
              <c16:uniqueId val="{00000008-F83C-4B24-91F2-CF23CE8C434B}"/>
            </c:ext>
          </c:extLst>
        </c:ser>
        <c:dLbls>
          <c:showLegendKey val="0"/>
          <c:showVal val="0"/>
          <c:showCatName val="0"/>
          <c:showSerName val="0"/>
          <c:showPercent val="0"/>
          <c:showBubbleSize val="0"/>
        </c:dLbls>
        <c:smooth val="0"/>
        <c:axId val="153490176"/>
        <c:axId val="153491712"/>
      </c:lineChart>
      <c:catAx>
        <c:axId val="153490176"/>
        <c:scaling>
          <c:orientation val="minMax"/>
        </c:scaling>
        <c:delete val="0"/>
        <c:axPos val="t"/>
        <c:majorTickMark val="none"/>
        <c:minorTickMark val="none"/>
        <c:tickLblPos val="nextTo"/>
        <c:crossAx val="153491712"/>
        <c:crosses val="autoZero"/>
        <c:auto val="1"/>
        <c:lblAlgn val="ctr"/>
        <c:lblOffset val="100"/>
        <c:noMultiLvlLbl val="0"/>
      </c:catAx>
      <c:valAx>
        <c:axId val="153491712"/>
        <c:scaling>
          <c:orientation val="maxMin"/>
        </c:scaling>
        <c:delete val="0"/>
        <c:axPos val="l"/>
        <c:majorGridlines/>
        <c:title>
          <c:tx>
            <c:rich>
              <a:bodyPr/>
              <a:lstStyle/>
              <a:p>
                <a:pPr>
                  <a:defRPr/>
                </a:pPr>
                <a:r>
                  <a:rPr lang="en-US"/>
                  <a:t>Total Phosphorus ug/l</a:t>
                </a:r>
              </a:p>
            </c:rich>
          </c:tx>
          <c:overlay val="0"/>
        </c:title>
        <c:numFmt formatCode="0.00" sourceLinked="1"/>
        <c:majorTickMark val="none"/>
        <c:minorTickMark val="none"/>
        <c:tickLblPos val="nextTo"/>
        <c:crossAx val="153490176"/>
        <c:crosses val="autoZero"/>
        <c:crossBetween val="between"/>
      </c:valAx>
      <c:dTable>
        <c:showHorzBorder val="1"/>
        <c:showVertBorder val="1"/>
        <c:showOutline val="1"/>
        <c:showKeys val="1"/>
      </c:dTable>
    </c:plotArea>
    <c:plotVisOnly val="1"/>
    <c:dispBlanksAs val="gap"/>
    <c:showDLblsOverMax val="0"/>
  </c:chart>
  <c:spPr>
    <a:gradFill>
      <a:gsLst>
        <a:gs pos="0">
          <a:srgbClr val="4F81BD">
            <a:tint val="66000"/>
            <a:satMod val="160000"/>
            <a:alpha val="36000"/>
          </a:srgbClr>
        </a:gs>
        <a:gs pos="50000">
          <a:srgbClr val="4F81BD">
            <a:tint val="44500"/>
            <a:satMod val="160000"/>
          </a:srgbClr>
        </a:gs>
        <a:gs pos="100000">
          <a:srgbClr val="4F81BD">
            <a:tint val="23500"/>
            <a:satMod val="160000"/>
          </a:srgbClr>
        </a:gs>
      </a:gsLst>
      <a:lin ang="5400000" scaled="0"/>
    </a:gradFill>
  </c:spPr>
  <c:printSettings>
    <c:headerFooter/>
    <c:pageMargins b="0.75000000000000278" l="0.70000000000000062" r="0.70000000000000062" t="0.75000000000000278" header="0.30000000000000032" footer="0.30000000000000032"/>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Ammonia- Nitrogen Middle BCW</a:t>
            </a:r>
          </a:p>
        </c:rich>
      </c:tx>
      <c:overlay val="0"/>
    </c:title>
    <c:autoTitleDeleted val="0"/>
    <c:plotArea>
      <c:layout/>
      <c:lineChart>
        <c:grouping val="standard"/>
        <c:varyColors val="0"/>
        <c:ser>
          <c:idx val="7"/>
          <c:order val="0"/>
          <c:tx>
            <c:strRef>
              <c:f>'MWS 2013 chemistry'!$D$1:$G$1</c:f>
              <c:strCache>
                <c:ptCount val="1"/>
                <c:pt idx="0">
                  <c:v>3/28/2013</c:v>
                </c:pt>
              </c:strCache>
            </c:strRef>
          </c:tx>
          <c:marker>
            <c:symbol val="none"/>
          </c:marker>
          <c:val>
            <c:numRef>
              <c:f>'MWS 2013 chemistry'!$F$3:$F$19</c:f>
              <c:numCache>
                <c:formatCode>0.00</c:formatCode>
                <c:ptCount val="17"/>
                <c:pt idx="4">
                  <c:v>71</c:v>
                </c:pt>
                <c:pt idx="5">
                  <c:v>56</c:v>
                </c:pt>
                <c:pt idx="6">
                  <c:v>59</c:v>
                </c:pt>
                <c:pt idx="7">
                  <c:v>37</c:v>
                </c:pt>
                <c:pt idx="8">
                  <c:v>36</c:v>
                </c:pt>
                <c:pt idx="9">
                  <c:v>32</c:v>
                </c:pt>
                <c:pt idx="10">
                  <c:v>28</c:v>
                </c:pt>
                <c:pt idx="13">
                  <c:v>70</c:v>
                </c:pt>
                <c:pt idx="14">
                  <c:v>36</c:v>
                </c:pt>
                <c:pt idx="15">
                  <c:v>39</c:v>
                </c:pt>
                <c:pt idx="16">
                  <c:v>61</c:v>
                </c:pt>
              </c:numCache>
            </c:numRef>
          </c:val>
          <c:smooth val="0"/>
          <c:extLst>
            <c:ext xmlns:c16="http://schemas.microsoft.com/office/drawing/2014/chart" uri="{C3380CC4-5D6E-409C-BE32-E72D297353CC}">
              <c16:uniqueId val="{00000000-E0B3-43B4-AE4B-6E43A1B7FE0C}"/>
            </c:ext>
          </c:extLst>
        </c:ser>
        <c:ser>
          <c:idx val="8"/>
          <c:order val="1"/>
          <c:tx>
            <c:strRef>
              <c:f>'MWS 2013 chemistry'!$H$1:$K$1</c:f>
              <c:strCache>
                <c:ptCount val="1"/>
                <c:pt idx="0">
                  <c:v>4/25/2013</c:v>
                </c:pt>
              </c:strCache>
            </c:strRef>
          </c:tx>
          <c:marker>
            <c:symbol val="none"/>
          </c:marker>
          <c:val>
            <c:numRef>
              <c:f>'MWS 2013 chemistry'!$J$3:$J$19</c:f>
              <c:numCache>
                <c:formatCode>0.00</c:formatCode>
                <c:ptCount val="17"/>
                <c:pt idx="4">
                  <c:v>8</c:v>
                </c:pt>
                <c:pt idx="5">
                  <c:v>12</c:v>
                </c:pt>
                <c:pt idx="6">
                  <c:v>13</c:v>
                </c:pt>
                <c:pt idx="7">
                  <c:v>13</c:v>
                </c:pt>
                <c:pt idx="8">
                  <c:v>18</c:v>
                </c:pt>
                <c:pt idx="9">
                  <c:v>12</c:v>
                </c:pt>
                <c:pt idx="10">
                  <c:v>25</c:v>
                </c:pt>
                <c:pt idx="13">
                  <c:v>24</c:v>
                </c:pt>
                <c:pt idx="14">
                  <c:v>20</c:v>
                </c:pt>
                <c:pt idx="15">
                  <c:v>13</c:v>
                </c:pt>
                <c:pt idx="16">
                  <c:v>21</c:v>
                </c:pt>
              </c:numCache>
            </c:numRef>
          </c:val>
          <c:smooth val="0"/>
          <c:extLst>
            <c:ext xmlns:c16="http://schemas.microsoft.com/office/drawing/2014/chart" uri="{C3380CC4-5D6E-409C-BE32-E72D297353CC}">
              <c16:uniqueId val="{00000001-E0B3-43B4-AE4B-6E43A1B7FE0C}"/>
            </c:ext>
          </c:extLst>
        </c:ser>
        <c:ser>
          <c:idx val="2"/>
          <c:order val="2"/>
          <c:tx>
            <c:strRef>
              <c:f>'MWS 2013 chemistry'!$L$1:$O$1</c:f>
              <c:strCache>
                <c:ptCount val="1"/>
                <c:pt idx="0">
                  <c:v>5/21/2013</c:v>
                </c:pt>
              </c:strCache>
            </c:strRef>
          </c:tx>
          <c:marker>
            <c:symbol val="none"/>
          </c:marker>
          <c:cat>
            <c:strRef>
              <c:f>'MWS 2013 chemistry'!$B$3:$B$19</c:f>
              <c:strCache>
                <c:ptCount val="17"/>
                <c:pt idx="0">
                  <c:v>Site 58</c:v>
                </c:pt>
                <c:pt idx="1">
                  <c:v>Site 2a</c:v>
                </c:pt>
                <c:pt idx="2">
                  <c:v>Site 3a</c:v>
                </c:pt>
                <c:pt idx="3">
                  <c:v>Site 25</c:v>
                </c:pt>
                <c:pt idx="4">
                  <c:v>Site 5</c:v>
                </c:pt>
                <c:pt idx="5">
                  <c:v>Site 8a</c:v>
                </c:pt>
                <c:pt idx="6">
                  <c:v>Site 9</c:v>
                </c:pt>
                <c:pt idx="7">
                  <c:v>Site 12</c:v>
                </c:pt>
                <c:pt idx="8">
                  <c:v>Site 13a</c:v>
                </c:pt>
                <c:pt idx="9">
                  <c:v>Site 14a</c:v>
                </c:pt>
                <c:pt idx="10">
                  <c:v>Site 34</c:v>
                </c:pt>
                <c:pt idx="11">
                  <c:v>Site 35</c:v>
                </c:pt>
                <c:pt idx="12">
                  <c:v>Site 50</c:v>
                </c:pt>
                <c:pt idx="13">
                  <c:v>Site 64</c:v>
                </c:pt>
                <c:pt idx="14">
                  <c:v>site 32</c:v>
                </c:pt>
                <c:pt idx="15">
                  <c:v>Site 18</c:v>
                </c:pt>
                <c:pt idx="16">
                  <c:v>Site 19</c:v>
                </c:pt>
              </c:strCache>
            </c:strRef>
          </c:cat>
          <c:val>
            <c:numRef>
              <c:f>'MWS 2013 chemistry'!$N$3:$N$19</c:f>
              <c:numCache>
                <c:formatCode>0.00</c:formatCode>
                <c:ptCount val="17"/>
                <c:pt idx="0">
                  <c:v>21</c:v>
                </c:pt>
                <c:pt idx="1">
                  <c:v>28</c:v>
                </c:pt>
                <c:pt idx="2">
                  <c:v>31</c:v>
                </c:pt>
                <c:pt idx="4">
                  <c:v>33</c:v>
                </c:pt>
                <c:pt idx="5">
                  <c:v>38</c:v>
                </c:pt>
                <c:pt idx="6">
                  <c:v>42</c:v>
                </c:pt>
                <c:pt idx="7">
                  <c:v>29</c:v>
                </c:pt>
                <c:pt idx="8">
                  <c:v>30</c:v>
                </c:pt>
                <c:pt idx="9">
                  <c:v>27</c:v>
                </c:pt>
                <c:pt idx="10">
                  <c:v>28</c:v>
                </c:pt>
                <c:pt idx="13">
                  <c:v>30</c:v>
                </c:pt>
                <c:pt idx="14">
                  <c:v>80</c:v>
                </c:pt>
                <c:pt idx="15">
                  <c:v>25</c:v>
                </c:pt>
                <c:pt idx="16">
                  <c:v>29</c:v>
                </c:pt>
              </c:numCache>
            </c:numRef>
          </c:val>
          <c:smooth val="0"/>
          <c:extLst>
            <c:ext xmlns:c16="http://schemas.microsoft.com/office/drawing/2014/chart" uri="{C3380CC4-5D6E-409C-BE32-E72D297353CC}">
              <c16:uniqueId val="{00000002-E0B3-43B4-AE4B-6E43A1B7FE0C}"/>
            </c:ext>
          </c:extLst>
        </c:ser>
        <c:ser>
          <c:idx val="0"/>
          <c:order val="3"/>
          <c:tx>
            <c:strRef>
              <c:f>'MWS 2013 chemistry'!$P$1:$S$1</c:f>
              <c:strCache>
                <c:ptCount val="1"/>
                <c:pt idx="0">
                  <c:v>6/18/2013</c:v>
                </c:pt>
              </c:strCache>
            </c:strRef>
          </c:tx>
          <c:marker>
            <c:symbol val="none"/>
          </c:marker>
          <c:val>
            <c:numRef>
              <c:f>'MWS 2013 chemistry'!$R$3:$R$19</c:f>
              <c:numCache>
                <c:formatCode>0.00</c:formatCode>
                <c:ptCount val="17"/>
                <c:pt idx="0">
                  <c:v>28</c:v>
                </c:pt>
                <c:pt idx="1">
                  <c:v>26</c:v>
                </c:pt>
                <c:pt idx="2">
                  <c:v>26</c:v>
                </c:pt>
                <c:pt idx="3">
                  <c:v>26</c:v>
                </c:pt>
                <c:pt idx="4">
                  <c:v>46</c:v>
                </c:pt>
                <c:pt idx="5">
                  <c:v>46</c:v>
                </c:pt>
                <c:pt idx="6">
                  <c:v>49</c:v>
                </c:pt>
                <c:pt idx="7">
                  <c:v>46</c:v>
                </c:pt>
                <c:pt idx="8">
                  <c:v>39</c:v>
                </c:pt>
                <c:pt idx="9">
                  <c:v>49</c:v>
                </c:pt>
                <c:pt idx="10">
                  <c:v>80</c:v>
                </c:pt>
                <c:pt idx="11">
                  <c:v>27</c:v>
                </c:pt>
                <c:pt idx="12">
                  <c:v>27</c:v>
                </c:pt>
                <c:pt idx="13">
                  <c:v>37</c:v>
                </c:pt>
                <c:pt idx="14">
                  <c:v>50</c:v>
                </c:pt>
                <c:pt idx="15">
                  <c:v>34</c:v>
                </c:pt>
                <c:pt idx="16">
                  <c:v>38</c:v>
                </c:pt>
              </c:numCache>
            </c:numRef>
          </c:val>
          <c:smooth val="0"/>
          <c:extLst>
            <c:ext xmlns:c16="http://schemas.microsoft.com/office/drawing/2014/chart" uri="{C3380CC4-5D6E-409C-BE32-E72D297353CC}">
              <c16:uniqueId val="{00000003-E0B3-43B4-AE4B-6E43A1B7FE0C}"/>
            </c:ext>
          </c:extLst>
        </c:ser>
        <c:ser>
          <c:idx val="1"/>
          <c:order val="4"/>
          <c:tx>
            <c:strRef>
              <c:f>'MWS 2013 chemistry'!$T$1:$W$1</c:f>
              <c:strCache>
                <c:ptCount val="1"/>
                <c:pt idx="0">
                  <c:v>7/23/2013</c:v>
                </c:pt>
              </c:strCache>
            </c:strRef>
          </c:tx>
          <c:marker>
            <c:symbol val="none"/>
          </c:marker>
          <c:val>
            <c:numRef>
              <c:f>'MWS 2013 chemistry'!$V$3:$V$19</c:f>
              <c:numCache>
                <c:formatCode>0.00</c:formatCode>
                <c:ptCount val="17"/>
                <c:pt idx="0">
                  <c:v>24</c:v>
                </c:pt>
                <c:pt idx="1">
                  <c:v>30</c:v>
                </c:pt>
                <c:pt idx="2">
                  <c:v>21</c:v>
                </c:pt>
                <c:pt idx="3">
                  <c:v>22</c:v>
                </c:pt>
                <c:pt idx="4">
                  <c:v>55</c:v>
                </c:pt>
                <c:pt idx="5">
                  <c:v>45</c:v>
                </c:pt>
                <c:pt idx="6">
                  <c:v>48</c:v>
                </c:pt>
                <c:pt idx="7">
                  <c:v>28</c:v>
                </c:pt>
                <c:pt idx="8">
                  <c:v>26</c:v>
                </c:pt>
                <c:pt idx="9">
                  <c:v>21</c:v>
                </c:pt>
                <c:pt idx="10">
                  <c:v>31</c:v>
                </c:pt>
                <c:pt idx="11">
                  <c:v>15</c:v>
                </c:pt>
                <c:pt idx="12">
                  <c:v>21</c:v>
                </c:pt>
                <c:pt idx="13">
                  <c:v>17</c:v>
                </c:pt>
                <c:pt idx="14">
                  <c:v>37</c:v>
                </c:pt>
                <c:pt idx="15">
                  <c:v>27</c:v>
                </c:pt>
                <c:pt idx="16">
                  <c:v>25</c:v>
                </c:pt>
              </c:numCache>
            </c:numRef>
          </c:val>
          <c:smooth val="0"/>
          <c:extLst>
            <c:ext xmlns:c16="http://schemas.microsoft.com/office/drawing/2014/chart" uri="{C3380CC4-5D6E-409C-BE32-E72D297353CC}">
              <c16:uniqueId val="{00000004-E0B3-43B4-AE4B-6E43A1B7FE0C}"/>
            </c:ext>
          </c:extLst>
        </c:ser>
        <c:ser>
          <c:idx val="3"/>
          <c:order val="5"/>
          <c:tx>
            <c:strRef>
              <c:f>'MWS 2013 chemistry'!$X$1:$AA$1</c:f>
              <c:strCache>
                <c:ptCount val="1"/>
                <c:pt idx="0">
                  <c:v>8/27/2013</c:v>
                </c:pt>
              </c:strCache>
            </c:strRef>
          </c:tx>
          <c:marker>
            <c:symbol val="none"/>
          </c:marker>
          <c:val>
            <c:numRef>
              <c:f>'MWS 2013 chemistry'!$Z$3:$Z$19</c:f>
              <c:numCache>
                <c:formatCode>0.00</c:formatCode>
                <c:ptCount val="17"/>
                <c:pt idx="0">
                  <c:v>47</c:v>
                </c:pt>
                <c:pt idx="1">
                  <c:v>47</c:v>
                </c:pt>
                <c:pt idx="2">
                  <c:v>59</c:v>
                </c:pt>
                <c:pt idx="3">
                  <c:v>47</c:v>
                </c:pt>
                <c:pt idx="4">
                  <c:v>46</c:v>
                </c:pt>
                <c:pt idx="5">
                  <c:v>34</c:v>
                </c:pt>
                <c:pt idx="6">
                  <c:v>52</c:v>
                </c:pt>
                <c:pt idx="7">
                  <c:v>80</c:v>
                </c:pt>
                <c:pt idx="8">
                  <c:v>59</c:v>
                </c:pt>
                <c:pt idx="9">
                  <c:v>50</c:v>
                </c:pt>
                <c:pt idx="10">
                  <c:v>50</c:v>
                </c:pt>
                <c:pt idx="11">
                  <c:v>47</c:v>
                </c:pt>
                <c:pt idx="12">
                  <c:v>48</c:v>
                </c:pt>
                <c:pt idx="13">
                  <c:v>43</c:v>
                </c:pt>
                <c:pt idx="14">
                  <c:v>49</c:v>
                </c:pt>
                <c:pt idx="15">
                  <c:v>49</c:v>
                </c:pt>
                <c:pt idx="16">
                  <c:v>45</c:v>
                </c:pt>
              </c:numCache>
            </c:numRef>
          </c:val>
          <c:smooth val="0"/>
          <c:extLst>
            <c:ext xmlns:c16="http://schemas.microsoft.com/office/drawing/2014/chart" uri="{C3380CC4-5D6E-409C-BE32-E72D297353CC}">
              <c16:uniqueId val="{00000005-E0B3-43B4-AE4B-6E43A1B7FE0C}"/>
            </c:ext>
          </c:extLst>
        </c:ser>
        <c:ser>
          <c:idx val="4"/>
          <c:order val="6"/>
          <c:tx>
            <c:strRef>
              <c:f>'MWS 2013 chemistry'!$AB$1:$AE$1</c:f>
              <c:strCache>
                <c:ptCount val="1"/>
                <c:pt idx="0">
                  <c:v>9/25/2013</c:v>
                </c:pt>
              </c:strCache>
            </c:strRef>
          </c:tx>
          <c:marker>
            <c:symbol val="none"/>
          </c:marker>
          <c:val>
            <c:numRef>
              <c:f>'MWS 2013 chemistry'!$AD$3:$AD$19</c:f>
              <c:numCache>
                <c:formatCode>0.00</c:formatCode>
                <c:ptCount val="17"/>
                <c:pt idx="0">
                  <c:v>2</c:v>
                </c:pt>
                <c:pt idx="1">
                  <c:v>9</c:v>
                </c:pt>
                <c:pt idx="2">
                  <c:v>19</c:v>
                </c:pt>
                <c:pt idx="3">
                  <c:v>16</c:v>
                </c:pt>
                <c:pt idx="4">
                  <c:v>6</c:v>
                </c:pt>
                <c:pt idx="5">
                  <c:v>14</c:v>
                </c:pt>
                <c:pt idx="6">
                  <c:v>21</c:v>
                </c:pt>
                <c:pt idx="7">
                  <c:v>16</c:v>
                </c:pt>
                <c:pt idx="8">
                  <c:v>18</c:v>
                </c:pt>
                <c:pt idx="9">
                  <c:v>10</c:v>
                </c:pt>
                <c:pt idx="10">
                  <c:v>13</c:v>
                </c:pt>
                <c:pt idx="11">
                  <c:v>12</c:v>
                </c:pt>
                <c:pt idx="12">
                  <c:v>21</c:v>
                </c:pt>
                <c:pt idx="13">
                  <c:v>11</c:v>
                </c:pt>
                <c:pt idx="14">
                  <c:v>44</c:v>
                </c:pt>
                <c:pt idx="15">
                  <c:v>14</c:v>
                </c:pt>
                <c:pt idx="16">
                  <c:v>12</c:v>
                </c:pt>
              </c:numCache>
            </c:numRef>
          </c:val>
          <c:smooth val="0"/>
          <c:extLst>
            <c:ext xmlns:c16="http://schemas.microsoft.com/office/drawing/2014/chart" uri="{C3380CC4-5D6E-409C-BE32-E72D297353CC}">
              <c16:uniqueId val="{00000006-E0B3-43B4-AE4B-6E43A1B7FE0C}"/>
            </c:ext>
          </c:extLst>
        </c:ser>
        <c:ser>
          <c:idx val="5"/>
          <c:order val="7"/>
          <c:tx>
            <c:strRef>
              <c:f>'MWS 2013 chemistry'!$AF$1:$AI$1</c:f>
              <c:strCache>
                <c:ptCount val="1"/>
                <c:pt idx="0">
                  <c:v>10/23/2013</c:v>
                </c:pt>
              </c:strCache>
            </c:strRef>
          </c:tx>
          <c:marker>
            <c:symbol val="none"/>
          </c:marker>
          <c:val>
            <c:numRef>
              <c:f>'MWS 2013 chemistry'!$AH$3:$AH$19</c:f>
              <c:numCache>
                <c:formatCode>0.00</c:formatCode>
                <c:ptCount val="17"/>
                <c:pt idx="0">
                  <c:v>16</c:v>
                </c:pt>
                <c:pt idx="1">
                  <c:v>12</c:v>
                </c:pt>
                <c:pt idx="2">
                  <c:v>8</c:v>
                </c:pt>
                <c:pt idx="3">
                  <c:v>35</c:v>
                </c:pt>
                <c:pt idx="4">
                  <c:v>11</c:v>
                </c:pt>
                <c:pt idx="5">
                  <c:v>14</c:v>
                </c:pt>
                <c:pt idx="6">
                  <c:v>16</c:v>
                </c:pt>
                <c:pt idx="7">
                  <c:v>9</c:v>
                </c:pt>
                <c:pt idx="8">
                  <c:v>8</c:v>
                </c:pt>
                <c:pt idx="9">
                  <c:v>5</c:v>
                </c:pt>
                <c:pt idx="10">
                  <c:v>14</c:v>
                </c:pt>
                <c:pt idx="11">
                  <c:v>8</c:v>
                </c:pt>
                <c:pt idx="12">
                  <c:v>14</c:v>
                </c:pt>
                <c:pt idx="13">
                  <c:v>15</c:v>
                </c:pt>
                <c:pt idx="14">
                  <c:v>222</c:v>
                </c:pt>
                <c:pt idx="15">
                  <c:v>21</c:v>
                </c:pt>
                <c:pt idx="16">
                  <c:v>14</c:v>
                </c:pt>
              </c:numCache>
            </c:numRef>
          </c:val>
          <c:smooth val="0"/>
          <c:extLst>
            <c:ext xmlns:c16="http://schemas.microsoft.com/office/drawing/2014/chart" uri="{C3380CC4-5D6E-409C-BE32-E72D297353CC}">
              <c16:uniqueId val="{00000007-E0B3-43B4-AE4B-6E43A1B7FE0C}"/>
            </c:ext>
          </c:extLst>
        </c:ser>
        <c:ser>
          <c:idx val="6"/>
          <c:order val="8"/>
          <c:tx>
            <c:strRef>
              <c:f>'MWS 2013 chemistry'!$AJ$1:$AM$1</c:f>
              <c:strCache>
                <c:ptCount val="1"/>
                <c:pt idx="0">
                  <c:v>11/25/2013</c:v>
                </c:pt>
              </c:strCache>
            </c:strRef>
          </c:tx>
          <c:marker>
            <c:symbol val="none"/>
          </c:marker>
          <c:val>
            <c:numRef>
              <c:f>'MWS 2013 chemistry'!$AL$3:$AL$19</c:f>
              <c:numCache>
                <c:formatCode>0.00</c:formatCode>
                <c:ptCount val="17"/>
                <c:pt idx="1">
                  <c:v>39</c:v>
                </c:pt>
                <c:pt idx="2">
                  <c:v>45</c:v>
                </c:pt>
                <c:pt idx="4">
                  <c:v>94</c:v>
                </c:pt>
                <c:pt idx="5">
                  <c:v>47</c:v>
                </c:pt>
                <c:pt idx="6">
                  <c:v>52</c:v>
                </c:pt>
                <c:pt idx="7">
                  <c:v>44</c:v>
                </c:pt>
                <c:pt idx="8">
                  <c:v>46</c:v>
                </c:pt>
                <c:pt idx="9">
                  <c:v>49</c:v>
                </c:pt>
                <c:pt idx="10">
                  <c:v>65</c:v>
                </c:pt>
                <c:pt idx="11">
                  <c:v>56</c:v>
                </c:pt>
                <c:pt idx="12">
                  <c:v>36</c:v>
                </c:pt>
                <c:pt idx="13">
                  <c:v>55</c:v>
                </c:pt>
                <c:pt idx="14">
                  <c:v>52</c:v>
                </c:pt>
                <c:pt idx="15">
                  <c:v>45</c:v>
                </c:pt>
                <c:pt idx="16">
                  <c:v>51</c:v>
                </c:pt>
              </c:numCache>
            </c:numRef>
          </c:val>
          <c:smooth val="0"/>
          <c:extLst>
            <c:ext xmlns:c16="http://schemas.microsoft.com/office/drawing/2014/chart" uri="{C3380CC4-5D6E-409C-BE32-E72D297353CC}">
              <c16:uniqueId val="{00000008-E0B3-43B4-AE4B-6E43A1B7FE0C}"/>
            </c:ext>
          </c:extLst>
        </c:ser>
        <c:dLbls>
          <c:showLegendKey val="0"/>
          <c:showVal val="0"/>
          <c:showCatName val="0"/>
          <c:showSerName val="0"/>
          <c:showPercent val="0"/>
          <c:showBubbleSize val="0"/>
        </c:dLbls>
        <c:smooth val="0"/>
        <c:axId val="153560960"/>
        <c:axId val="153562496"/>
      </c:lineChart>
      <c:catAx>
        <c:axId val="153560960"/>
        <c:scaling>
          <c:orientation val="minMax"/>
        </c:scaling>
        <c:delete val="0"/>
        <c:axPos val="t"/>
        <c:numFmt formatCode="0.0" sourceLinked="1"/>
        <c:majorTickMark val="none"/>
        <c:minorTickMark val="none"/>
        <c:tickLblPos val="nextTo"/>
        <c:crossAx val="153562496"/>
        <c:crosses val="autoZero"/>
        <c:auto val="1"/>
        <c:lblAlgn val="ctr"/>
        <c:lblOffset val="100"/>
        <c:noMultiLvlLbl val="0"/>
      </c:catAx>
      <c:valAx>
        <c:axId val="153562496"/>
        <c:scaling>
          <c:orientation val="maxMin"/>
        </c:scaling>
        <c:delete val="0"/>
        <c:axPos val="l"/>
        <c:majorGridlines/>
        <c:title>
          <c:tx>
            <c:rich>
              <a:bodyPr/>
              <a:lstStyle/>
              <a:p>
                <a:pPr>
                  <a:defRPr/>
                </a:pPr>
                <a:r>
                  <a:rPr lang="en-US"/>
                  <a:t>Ammonia-Nitrogen ug/l</a:t>
                </a:r>
              </a:p>
            </c:rich>
          </c:tx>
          <c:layout>
            <c:manualLayout>
              <c:xMode val="edge"/>
              <c:yMode val="edge"/>
              <c:x val="7.1180555555555497E-2"/>
              <c:y val="0.16021343018684298"/>
            </c:manualLayout>
          </c:layout>
          <c:overlay val="0"/>
        </c:title>
        <c:numFmt formatCode="0.00" sourceLinked="1"/>
        <c:majorTickMark val="none"/>
        <c:minorTickMark val="none"/>
        <c:tickLblPos val="nextTo"/>
        <c:crossAx val="153560960"/>
        <c:crosses val="autoZero"/>
        <c:crossBetween val="between"/>
      </c:valAx>
      <c:dTable>
        <c:showHorzBorder val="1"/>
        <c:showVertBorder val="1"/>
        <c:showOutline val="1"/>
        <c:showKeys val="1"/>
      </c:dTable>
    </c:plotArea>
    <c:plotVisOnly val="1"/>
    <c:dispBlanksAs val="gap"/>
    <c:showDLblsOverMax val="0"/>
  </c:chart>
  <c:spPr>
    <a:gradFill>
      <a:gsLst>
        <a:gs pos="0">
          <a:srgbClr val="4F81BD">
            <a:tint val="66000"/>
            <a:satMod val="160000"/>
            <a:alpha val="36000"/>
          </a:srgbClr>
        </a:gs>
        <a:gs pos="50000">
          <a:srgbClr val="4F81BD">
            <a:tint val="44500"/>
            <a:satMod val="160000"/>
          </a:srgbClr>
        </a:gs>
        <a:gs pos="100000">
          <a:srgbClr val="4F81BD">
            <a:tint val="23500"/>
            <a:satMod val="160000"/>
          </a:srgbClr>
        </a:gs>
      </a:gsLst>
      <a:lin ang="5400000" scaled="0"/>
    </a:gradFill>
  </c:spPr>
  <c:printSettings>
    <c:headerFooter/>
    <c:pageMargins b="0.75000000000000278" l="0.70000000000000062" r="0.70000000000000062" t="0.75000000000000278" header="0.30000000000000032" footer="0.30000000000000032"/>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Nitrate-Nitrogen Middle BCW</a:t>
            </a:r>
          </a:p>
        </c:rich>
      </c:tx>
      <c:overlay val="0"/>
    </c:title>
    <c:autoTitleDeleted val="0"/>
    <c:plotArea>
      <c:layout/>
      <c:lineChart>
        <c:grouping val="standard"/>
        <c:varyColors val="0"/>
        <c:ser>
          <c:idx val="7"/>
          <c:order val="0"/>
          <c:tx>
            <c:strRef>
              <c:f>'MWS 2013 chemistry'!$D$1:$G$1</c:f>
              <c:strCache>
                <c:ptCount val="1"/>
                <c:pt idx="0">
                  <c:v>3/28/2013</c:v>
                </c:pt>
              </c:strCache>
            </c:strRef>
          </c:tx>
          <c:marker>
            <c:symbol val="none"/>
          </c:marker>
          <c:val>
            <c:numRef>
              <c:f>'MWS 2013 chemistry'!$E$3:$E$19</c:f>
              <c:numCache>
                <c:formatCode>0.00</c:formatCode>
                <c:ptCount val="17"/>
                <c:pt idx="4">
                  <c:v>222</c:v>
                </c:pt>
                <c:pt idx="5">
                  <c:v>628</c:v>
                </c:pt>
                <c:pt idx="6">
                  <c:v>385</c:v>
                </c:pt>
                <c:pt idx="7">
                  <c:v>725</c:v>
                </c:pt>
                <c:pt idx="8">
                  <c:v>720</c:v>
                </c:pt>
                <c:pt idx="9">
                  <c:v>687</c:v>
                </c:pt>
                <c:pt idx="10">
                  <c:v>889</c:v>
                </c:pt>
                <c:pt idx="13">
                  <c:v>480</c:v>
                </c:pt>
                <c:pt idx="14">
                  <c:v>604</c:v>
                </c:pt>
                <c:pt idx="15">
                  <c:v>70</c:v>
                </c:pt>
                <c:pt idx="16">
                  <c:v>760</c:v>
                </c:pt>
              </c:numCache>
            </c:numRef>
          </c:val>
          <c:smooth val="0"/>
          <c:extLst>
            <c:ext xmlns:c16="http://schemas.microsoft.com/office/drawing/2014/chart" uri="{C3380CC4-5D6E-409C-BE32-E72D297353CC}">
              <c16:uniqueId val="{00000000-796E-4D03-8E2A-6184A79EEC81}"/>
            </c:ext>
          </c:extLst>
        </c:ser>
        <c:ser>
          <c:idx val="8"/>
          <c:order val="1"/>
          <c:tx>
            <c:strRef>
              <c:f>'MWS 2013 chemistry'!$H$1:$K$1</c:f>
              <c:strCache>
                <c:ptCount val="1"/>
                <c:pt idx="0">
                  <c:v>4/25/2013</c:v>
                </c:pt>
              </c:strCache>
            </c:strRef>
          </c:tx>
          <c:marker>
            <c:symbol val="none"/>
          </c:marker>
          <c:val>
            <c:numRef>
              <c:f>'MWS 2013 chemistry'!$I$3:$I$19</c:f>
              <c:numCache>
                <c:formatCode>0.00</c:formatCode>
                <c:ptCount val="17"/>
                <c:pt idx="4">
                  <c:v>280</c:v>
                </c:pt>
                <c:pt idx="5">
                  <c:v>652</c:v>
                </c:pt>
                <c:pt idx="6">
                  <c:v>312</c:v>
                </c:pt>
                <c:pt idx="7">
                  <c:v>531</c:v>
                </c:pt>
                <c:pt idx="8">
                  <c:v>380</c:v>
                </c:pt>
                <c:pt idx="9">
                  <c:v>520</c:v>
                </c:pt>
                <c:pt idx="10">
                  <c:v>1251</c:v>
                </c:pt>
                <c:pt idx="13">
                  <c:v>327</c:v>
                </c:pt>
                <c:pt idx="14">
                  <c:v>474</c:v>
                </c:pt>
                <c:pt idx="15">
                  <c:v>37</c:v>
                </c:pt>
                <c:pt idx="16">
                  <c:v>532</c:v>
                </c:pt>
              </c:numCache>
            </c:numRef>
          </c:val>
          <c:smooth val="0"/>
          <c:extLst>
            <c:ext xmlns:c16="http://schemas.microsoft.com/office/drawing/2014/chart" uri="{C3380CC4-5D6E-409C-BE32-E72D297353CC}">
              <c16:uniqueId val="{00000001-796E-4D03-8E2A-6184A79EEC81}"/>
            </c:ext>
          </c:extLst>
        </c:ser>
        <c:ser>
          <c:idx val="0"/>
          <c:order val="2"/>
          <c:tx>
            <c:strRef>
              <c:f>'MWS 2013 chemistry'!$L$1:$O$1</c:f>
              <c:strCache>
                <c:ptCount val="1"/>
                <c:pt idx="0">
                  <c:v>5/21/2013</c:v>
                </c:pt>
              </c:strCache>
            </c:strRef>
          </c:tx>
          <c:marker>
            <c:symbol val="none"/>
          </c:marker>
          <c:cat>
            <c:strRef>
              <c:f>'MWS 2013 chemistry'!$B$3:$B$19</c:f>
              <c:strCache>
                <c:ptCount val="17"/>
                <c:pt idx="0">
                  <c:v>Site 58</c:v>
                </c:pt>
                <c:pt idx="1">
                  <c:v>Site 2a</c:v>
                </c:pt>
                <c:pt idx="2">
                  <c:v>Site 3a</c:v>
                </c:pt>
                <c:pt idx="3">
                  <c:v>Site 25</c:v>
                </c:pt>
                <c:pt idx="4">
                  <c:v>Site 5</c:v>
                </c:pt>
                <c:pt idx="5">
                  <c:v>Site 8a</c:v>
                </c:pt>
                <c:pt idx="6">
                  <c:v>Site 9</c:v>
                </c:pt>
                <c:pt idx="7">
                  <c:v>Site 12</c:v>
                </c:pt>
                <c:pt idx="8">
                  <c:v>Site 13a</c:v>
                </c:pt>
                <c:pt idx="9">
                  <c:v>Site 14a</c:v>
                </c:pt>
                <c:pt idx="10">
                  <c:v>Site 34</c:v>
                </c:pt>
                <c:pt idx="11">
                  <c:v>Site 35</c:v>
                </c:pt>
                <c:pt idx="12">
                  <c:v>Site 50</c:v>
                </c:pt>
                <c:pt idx="13">
                  <c:v>Site 64</c:v>
                </c:pt>
                <c:pt idx="14">
                  <c:v>site 32</c:v>
                </c:pt>
                <c:pt idx="15">
                  <c:v>Site 18</c:v>
                </c:pt>
                <c:pt idx="16">
                  <c:v>Site 19</c:v>
                </c:pt>
              </c:strCache>
            </c:strRef>
          </c:cat>
          <c:val>
            <c:numRef>
              <c:f>'MWS 2013 chemistry'!$M$3:$M$19</c:f>
              <c:numCache>
                <c:formatCode>0.00</c:formatCode>
                <c:ptCount val="17"/>
                <c:pt idx="0">
                  <c:v>27</c:v>
                </c:pt>
                <c:pt idx="1">
                  <c:v>16</c:v>
                </c:pt>
                <c:pt idx="2">
                  <c:v>19</c:v>
                </c:pt>
                <c:pt idx="4">
                  <c:v>133</c:v>
                </c:pt>
                <c:pt idx="5">
                  <c:v>167</c:v>
                </c:pt>
                <c:pt idx="6">
                  <c:v>176</c:v>
                </c:pt>
                <c:pt idx="7">
                  <c:v>177</c:v>
                </c:pt>
                <c:pt idx="8">
                  <c:v>188</c:v>
                </c:pt>
                <c:pt idx="9">
                  <c:v>177</c:v>
                </c:pt>
                <c:pt idx="10">
                  <c:v>530</c:v>
                </c:pt>
                <c:pt idx="13">
                  <c:v>507</c:v>
                </c:pt>
                <c:pt idx="14">
                  <c:v>602</c:v>
                </c:pt>
                <c:pt idx="15">
                  <c:v>43</c:v>
                </c:pt>
                <c:pt idx="16">
                  <c:v>512</c:v>
                </c:pt>
              </c:numCache>
            </c:numRef>
          </c:val>
          <c:smooth val="0"/>
          <c:extLst>
            <c:ext xmlns:c16="http://schemas.microsoft.com/office/drawing/2014/chart" uri="{C3380CC4-5D6E-409C-BE32-E72D297353CC}">
              <c16:uniqueId val="{00000002-796E-4D03-8E2A-6184A79EEC81}"/>
            </c:ext>
          </c:extLst>
        </c:ser>
        <c:ser>
          <c:idx val="1"/>
          <c:order val="3"/>
          <c:tx>
            <c:strRef>
              <c:f>'MWS 2013 chemistry'!$P$1:$S$1</c:f>
              <c:strCache>
                <c:ptCount val="1"/>
                <c:pt idx="0">
                  <c:v>6/18/2013</c:v>
                </c:pt>
              </c:strCache>
            </c:strRef>
          </c:tx>
          <c:marker>
            <c:symbol val="none"/>
          </c:marker>
          <c:val>
            <c:numRef>
              <c:f>'MWS 2013 chemistry'!$Q$3:$Q$19</c:f>
              <c:numCache>
                <c:formatCode>0.00</c:formatCode>
                <c:ptCount val="17"/>
                <c:pt idx="0">
                  <c:v>104</c:v>
                </c:pt>
                <c:pt idx="1">
                  <c:v>46</c:v>
                </c:pt>
                <c:pt idx="2">
                  <c:v>11</c:v>
                </c:pt>
                <c:pt idx="3">
                  <c:v>2</c:v>
                </c:pt>
                <c:pt idx="4">
                  <c:v>9</c:v>
                </c:pt>
                <c:pt idx="5">
                  <c:v>137</c:v>
                </c:pt>
                <c:pt idx="6">
                  <c:v>146</c:v>
                </c:pt>
                <c:pt idx="7">
                  <c:v>178</c:v>
                </c:pt>
                <c:pt idx="8">
                  <c:v>266</c:v>
                </c:pt>
                <c:pt idx="9">
                  <c:v>179</c:v>
                </c:pt>
                <c:pt idx="10">
                  <c:v>461</c:v>
                </c:pt>
                <c:pt idx="11">
                  <c:v>76</c:v>
                </c:pt>
                <c:pt idx="12">
                  <c:v>97</c:v>
                </c:pt>
                <c:pt idx="13">
                  <c:v>394</c:v>
                </c:pt>
                <c:pt idx="14">
                  <c:v>282</c:v>
                </c:pt>
                <c:pt idx="15">
                  <c:v>2</c:v>
                </c:pt>
                <c:pt idx="16">
                  <c:v>38</c:v>
                </c:pt>
              </c:numCache>
            </c:numRef>
          </c:val>
          <c:smooth val="0"/>
          <c:extLst>
            <c:ext xmlns:c16="http://schemas.microsoft.com/office/drawing/2014/chart" uri="{C3380CC4-5D6E-409C-BE32-E72D297353CC}">
              <c16:uniqueId val="{00000003-796E-4D03-8E2A-6184A79EEC81}"/>
            </c:ext>
          </c:extLst>
        </c:ser>
        <c:ser>
          <c:idx val="2"/>
          <c:order val="4"/>
          <c:tx>
            <c:strRef>
              <c:f>'MWS 2013 chemistry'!$T$1:$W$1</c:f>
              <c:strCache>
                <c:ptCount val="1"/>
                <c:pt idx="0">
                  <c:v>7/23/2013</c:v>
                </c:pt>
              </c:strCache>
            </c:strRef>
          </c:tx>
          <c:marker>
            <c:symbol val="none"/>
          </c:marker>
          <c:val>
            <c:numRef>
              <c:f>'MWS 2013 chemistry'!$U$3:$U$19</c:f>
              <c:numCache>
                <c:formatCode>0.00</c:formatCode>
                <c:ptCount val="17"/>
                <c:pt idx="0">
                  <c:v>61</c:v>
                </c:pt>
                <c:pt idx="1">
                  <c:v>34</c:v>
                </c:pt>
                <c:pt idx="2">
                  <c:v>41</c:v>
                </c:pt>
                <c:pt idx="3">
                  <c:v>6</c:v>
                </c:pt>
                <c:pt idx="4">
                  <c:v>43</c:v>
                </c:pt>
                <c:pt idx="5">
                  <c:v>231</c:v>
                </c:pt>
                <c:pt idx="6">
                  <c:v>185</c:v>
                </c:pt>
                <c:pt idx="7">
                  <c:v>384</c:v>
                </c:pt>
                <c:pt idx="8">
                  <c:v>381</c:v>
                </c:pt>
                <c:pt idx="9">
                  <c:v>234</c:v>
                </c:pt>
                <c:pt idx="10">
                  <c:v>399</c:v>
                </c:pt>
                <c:pt idx="11">
                  <c:v>236</c:v>
                </c:pt>
                <c:pt idx="12">
                  <c:v>309</c:v>
                </c:pt>
                <c:pt idx="13">
                  <c:v>349</c:v>
                </c:pt>
                <c:pt idx="14">
                  <c:v>267</c:v>
                </c:pt>
                <c:pt idx="15">
                  <c:v>5</c:v>
                </c:pt>
                <c:pt idx="16">
                  <c:v>25</c:v>
                </c:pt>
              </c:numCache>
            </c:numRef>
          </c:val>
          <c:smooth val="0"/>
          <c:extLst>
            <c:ext xmlns:c16="http://schemas.microsoft.com/office/drawing/2014/chart" uri="{C3380CC4-5D6E-409C-BE32-E72D297353CC}">
              <c16:uniqueId val="{00000004-796E-4D03-8E2A-6184A79EEC81}"/>
            </c:ext>
          </c:extLst>
        </c:ser>
        <c:ser>
          <c:idx val="3"/>
          <c:order val="5"/>
          <c:tx>
            <c:strRef>
              <c:f>'MWS 2013 chemistry'!$X$1:$AA$1</c:f>
              <c:strCache>
                <c:ptCount val="1"/>
                <c:pt idx="0">
                  <c:v>8/27/2013</c:v>
                </c:pt>
              </c:strCache>
            </c:strRef>
          </c:tx>
          <c:marker>
            <c:symbol val="none"/>
          </c:marker>
          <c:val>
            <c:numRef>
              <c:f>'MWS 2013 chemistry'!$Y$3:$Y$19</c:f>
              <c:numCache>
                <c:formatCode>0.00</c:formatCode>
                <c:ptCount val="17"/>
                <c:pt idx="0">
                  <c:v>105</c:v>
                </c:pt>
                <c:pt idx="1">
                  <c:v>89</c:v>
                </c:pt>
                <c:pt idx="2">
                  <c:v>87</c:v>
                </c:pt>
                <c:pt idx="3">
                  <c:v>27</c:v>
                </c:pt>
                <c:pt idx="4">
                  <c:v>2</c:v>
                </c:pt>
                <c:pt idx="5">
                  <c:v>66</c:v>
                </c:pt>
                <c:pt idx="6">
                  <c:v>75</c:v>
                </c:pt>
                <c:pt idx="7">
                  <c:v>197</c:v>
                </c:pt>
                <c:pt idx="8">
                  <c:v>149</c:v>
                </c:pt>
                <c:pt idx="9">
                  <c:v>161</c:v>
                </c:pt>
                <c:pt idx="10">
                  <c:v>270</c:v>
                </c:pt>
                <c:pt idx="11">
                  <c:v>339</c:v>
                </c:pt>
                <c:pt idx="12">
                  <c:v>244</c:v>
                </c:pt>
                <c:pt idx="13">
                  <c:v>78</c:v>
                </c:pt>
                <c:pt idx="14">
                  <c:v>1116</c:v>
                </c:pt>
                <c:pt idx="15">
                  <c:v>7</c:v>
                </c:pt>
                <c:pt idx="16">
                  <c:v>15</c:v>
                </c:pt>
              </c:numCache>
            </c:numRef>
          </c:val>
          <c:smooth val="0"/>
          <c:extLst>
            <c:ext xmlns:c16="http://schemas.microsoft.com/office/drawing/2014/chart" uri="{C3380CC4-5D6E-409C-BE32-E72D297353CC}">
              <c16:uniqueId val="{00000005-796E-4D03-8E2A-6184A79EEC81}"/>
            </c:ext>
          </c:extLst>
        </c:ser>
        <c:ser>
          <c:idx val="4"/>
          <c:order val="6"/>
          <c:tx>
            <c:strRef>
              <c:f>'MWS 2013 chemistry'!$AB$1:$AE$1</c:f>
              <c:strCache>
                <c:ptCount val="1"/>
                <c:pt idx="0">
                  <c:v>9/25/2013</c:v>
                </c:pt>
              </c:strCache>
            </c:strRef>
          </c:tx>
          <c:marker>
            <c:symbol val="none"/>
          </c:marker>
          <c:val>
            <c:numRef>
              <c:f>'MWS 2013 chemistry'!$AC$3:$AC$19</c:f>
              <c:numCache>
                <c:formatCode>0.00</c:formatCode>
                <c:ptCount val="17"/>
                <c:pt idx="0">
                  <c:v>121</c:v>
                </c:pt>
                <c:pt idx="1">
                  <c:v>94</c:v>
                </c:pt>
                <c:pt idx="2">
                  <c:v>122</c:v>
                </c:pt>
                <c:pt idx="3">
                  <c:v>37</c:v>
                </c:pt>
                <c:pt idx="4">
                  <c:v>130</c:v>
                </c:pt>
                <c:pt idx="5">
                  <c:v>146</c:v>
                </c:pt>
                <c:pt idx="6">
                  <c:v>159</c:v>
                </c:pt>
                <c:pt idx="7">
                  <c:v>179</c:v>
                </c:pt>
                <c:pt idx="8">
                  <c:v>178</c:v>
                </c:pt>
                <c:pt idx="9">
                  <c:v>185</c:v>
                </c:pt>
                <c:pt idx="10">
                  <c:v>1415</c:v>
                </c:pt>
                <c:pt idx="11">
                  <c:v>221</c:v>
                </c:pt>
                <c:pt idx="12">
                  <c:v>375</c:v>
                </c:pt>
                <c:pt idx="13">
                  <c:v>175</c:v>
                </c:pt>
                <c:pt idx="14">
                  <c:v>632</c:v>
                </c:pt>
                <c:pt idx="15">
                  <c:v>17</c:v>
                </c:pt>
                <c:pt idx="16">
                  <c:v>245</c:v>
                </c:pt>
              </c:numCache>
            </c:numRef>
          </c:val>
          <c:smooth val="0"/>
          <c:extLst>
            <c:ext xmlns:c16="http://schemas.microsoft.com/office/drawing/2014/chart" uri="{C3380CC4-5D6E-409C-BE32-E72D297353CC}">
              <c16:uniqueId val="{00000006-796E-4D03-8E2A-6184A79EEC81}"/>
            </c:ext>
          </c:extLst>
        </c:ser>
        <c:ser>
          <c:idx val="5"/>
          <c:order val="7"/>
          <c:tx>
            <c:strRef>
              <c:f>'MWS 2013 chemistry'!$AF$1:$AI$1</c:f>
              <c:strCache>
                <c:ptCount val="1"/>
                <c:pt idx="0">
                  <c:v>10/23/2013</c:v>
                </c:pt>
              </c:strCache>
            </c:strRef>
          </c:tx>
          <c:marker>
            <c:symbol val="none"/>
          </c:marker>
          <c:val>
            <c:numRef>
              <c:f>'MWS 2013 chemistry'!$AG$3:$AG$19</c:f>
              <c:numCache>
                <c:formatCode>0.00</c:formatCode>
                <c:ptCount val="17"/>
                <c:pt idx="0">
                  <c:v>152</c:v>
                </c:pt>
                <c:pt idx="1">
                  <c:v>101</c:v>
                </c:pt>
                <c:pt idx="2">
                  <c:v>98</c:v>
                </c:pt>
                <c:pt idx="3">
                  <c:v>57</c:v>
                </c:pt>
                <c:pt idx="4">
                  <c:v>108</c:v>
                </c:pt>
                <c:pt idx="5">
                  <c:v>182</c:v>
                </c:pt>
                <c:pt idx="6">
                  <c:v>220</c:v>
                </c:pt>
                <c:pt idx="7">
                  <c:v>305</c:v>
                </c:pt>
                <c:pt idx="8">
                  <c:v>285</c:v>
                </c:pt>
                <c:pt idx="9">
                  <c:v>237</c:v>
                </c:pt>
                <c:pt idx="10">
                  <c:v>723</c:v>
                </c:pt>
                <c:pt idx="11">
                  <c:v>208</c:v>
                </c:pt>
                <c:pt idx="12">
                  <c:v>213</c:v>
                </c:pt>
                <c:pt idx="13">
                  <c:v>319</c:v>
                </c:pt>
                <c:pt idx="14">
                  <c:v>1325</c:v>
                </c:pt>
                <c:pt idx="15">
                  <c:v>24</c:v>
                </c:pt>
                <c:pt idx="16">
                  <c:v>137</c:v>
                </c:pt>
              </c:numCache>
            </c:numRef>
          </c:val>
          <c:smooth val="0"/>
          <c:extLst>
            <c:ext xmlns:c16="http://schemas.microsoft.com/office/drawing/2014/chart" uri="{C3380CC4-5D6E-409C-BE32-E72D297353CC}">
              <c16:uniqueId val="{00000007-796E-4D03-8E2A-6184A79EEC81}"/>
            </c:ext>
          </c:extLst>
        </c:ser>
        <c:ser>
          <c:idx val="6"/>
          <c:order val="8"/>
          <c:tx>
            <c:strRef>
              <c:f>'MWS 2013 chemistry'!$AJ$1:$AM$1</c:f>
              <c:strCache>
                <c:ptCount val="1"/>
                <c:pt idx="0">
                  <c:v>11/25/2013</c:v>
                </c:pt>
              </c:strCache>
            </c:strRef>
          </c:tx>
          <c:marker>
            <c:symbol val="none"/>
          </c:marker>
          <c:val>
            <c:numRef>
              <c:f>'MWS 2013 chemistry'!$AK$3:$AK$19</c:f>
              <c:numCache>
                <c:formatCode>0.00</c:formatCode>
                <c:ptCount val="17"/>
                <c:pt idx="1">
                  <c:v>96</c:v>
                </c:pt>
                <c:pt idx="2">
                  <c:v>80</c:v>
                </c:pt>
                <c:pt idx="4">
                  <c:v>69</c:v>
                </c:pt>
                <c:pt idx="5">
                  <c:v>119</c:v>
                </c:pt>
                <c:pt idx="6">
                  <c:v>141</c:v>
                </c:pt>
                <c:pt idx="7">
                  <c:v>242</c:v>
                </c:pt>
                <c:pt idx="8">
                  <c:v>147</c:v>
                </c:pt>
                <c:pt idx="9">
                  <c:v>178</c:v>
                </c:pt>
                <c:pt idx="10">
                  <c:v>766</c:v>
                </c:pt>
                <c:pt idx="11">
                  <c:v>251</c:v>
                </c:pt>
                <c:pt idx="12">
                  <c:v>143</c:v>
                </c:pt>
                <c:pt idx="13">
                  <c:v>380</c:v>
                </c:pt>
                <c:pt idx="14">
                  <c:v>1081</c:v>
                </c:pt>
                <c:pt idx="15">
                  <c:v>48</c:v>
                </c:pt>
                <c:pt idx="16">
                  <c:v>223</c:v>
                </c:pt>
              </c:numCache>
            </c:numRef>
          </c:val>
          <c:smooth val="0"/>
          <c:extLst>
            <c:ext xmlns:c16="http://schemas.microsoft.com/office/drawing/2014/chart" uri="{C3380CC4-5D6E-409C-BE32-E72D297353CC}">
              <c16:uniqueId val="{00000008-796E-4D03-8E2A-6184A79EEC81}"/>
            </c:ext>
          </c:extLst>
        </c:ser>
        <c:dLbls>
          <c:showLegendKey val="0"/>
          <c:showVal val="0"/>
          <c:showCatName val="0"/>
          <c:showSerName val="0"/>
          <c:showPercent val="0"/>
          <c:showBubbleSize val="0"/>
        </c:dLbls>
        <c:smooth val="0"/>
        <c:axId val="153648128"/>
        <c:axId val="153694976"/>
      </c:lineChart>
      <c:catAx>
        <c:axId val="153648128"/>
        <c:scaling>
          <c:orientation val="minMax"/>
        </c:scaling>
        <c:delete val="0"/>
        <c:axPos val="t"/>
        <c:majorTickMark val="none"/>
        <c:minorTickMark val="none"/>
        <c:tickLblPos val="nextTo"/>
        <c:crossAx val="153694976"/>
        <c:crosses val="autoZero"/>
        <c:auto val="1"/>
        <c:lblAlgn val="ctr"/>
        <c:lblOffset val="100"/>
        <c:noMultiLvlLbl val="0"/>
      </c:catAx>
      <c:valAx>
        <c:axId val="153694976"/>
        <c:scaling>
          <c:orientation val="maxMin"/>
        </c:scaling>
        <c:delete val="0"/>
        <c:axPos val="l"/>
        <c:majorGridlines/>
        <c:title>
          <c:tx>
            <c:rich>
              <a:bodyPr/>
              <a:lstStyle/>
              <a:p>
                <a:pPr>
                  <a:defRPr/>
                </a:pPr>
                <a:r>
                  <a:rPr lang="en-US"/>
                  <a:t>Nitrate Nitrogen ug/l</a:t>
                </a:r>
              </a:p>
            </c:rich>
          </c:tx>
          <c:overlay val="0"/>
        </c:title>
        <c:numFmt formatCode="0.00" sourceLinked="1"/>
        <c:majorTickMark val="none"/>
        <c:minorTickMark val="none"/>
        <c:tickLblPos val="nextTo"/>
        <c:crossAx val="153648128"/>
        <c:crosses val="autoZero"/>
        <c:crossBetween val="between"/>
      </c:valAx>
      <c:dTable>
        <c:showHorzBorder val="1"/>
        <c:showVertBorder val="1"/>
        <c:showOutline val="1"/>
        <c:showKeys val="1"/>
      </c:dTable>
    </c:plotArea>
    <c:plotVisOnly val="1"/>
    <c:dispBlanksAs val="gap"/>
    <c:showDLblsOverMax val="0"/>
  </c:chart>
  <c:spPr>
    <a:gradFill>
      <a:gsLst>
        <a:gs pos="0">
          <a:srgbClr val="4F81BD">
            <a:tint val="66000"/>
            <a:satMod val="160000"/>
            <a:alpha val="36000"/>
          </a:srgbClr>
        </a:gs>
        <a:gs pos="50000">
          <a:srgbClr val="4F81BD">
            <a:tint val="44500"/>
            <a:satMod val="160000"/>
          </a:srgbClr>
        </a:gs>
        <a:gs pos="100000">
          <a:srgbClr val="4F81BD">
            <a:tint val="23500"/>
            <a:satMod val="160000"/>
          </a:srgbClr>
        </a:gs>
      </a:gsLst>
      <a:lin ang="5400000" scaled="0"/>
    </a:gradFill>
  </c:spPr>
  <c:printSettings>
    <c:headerFooter/>
    <c:pageMargins b="0.75000000000000278" l="0.70000000000000062" r="0.70000000000000062" t="0.75000000000000278" header="0.30000000000000032" footer="0.30000000000000032"/>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Seasonal Average Nitrogen Ug/l</a:t>
            </a:r>
          </a:p>
        </c:rich>
      </c:tx>
      <c:overlay val="0"/>
    </c:title>
    <c:autoTitleDeleted val="0"/>
    <c:plotArea>
      <c:layout/>
      <c:lineChart>
        <c:grouping val="standard"/>
        <c:varyColors val="0"/>
        <c:ser>
          <c:idx val="0"/>
          <c:order val="0"/>
          <c:tx>
            <c:strRef>
              <c:f>'MWS 2013 chemistry'!$AN$2</c:f>
              <c:strCache>
                <c:ptCount val="1"/>
                <c:pt idx="0">
                  <c:v>TN Ug/l</c:v>
                </c:pt>
              </c:strCache>
            </c:strRef>
          </c:tx>
          <c:marker>
            <c:symbol val="none"/>
          </c:marker>
          <c:cat>
            <c:multiLvlStrRef>
              <c:f>'MWS 2013 chemistry'!$A$3:$B$19</c:f>
              <c:multiLvlStrCache>
                <c:ptCount val="17"/>
                <c:lvl>
                  <c:pt idx="0">
                    <c:v>Site 58</c:v>
                  </c:pt>
                  <c:pt idx="1">
                    <c:v>Site 2a</c:v>
                  </c:pt>
                  <c:pt idx="2">
                    <c:v>Site 3a</c:v>
                  </c:pt>
                  <c:pt idx="3">
                    <c:v>Site 25</c:v>
                  </c:pt>
                  <c:pt idx="4">
                    <c:v>Site 5</c:v>
                  </c:pt>
                  <c:pt idx="5">
                    <c:v>Site 8a</c:v>
                  </c:pt>
                  <c:pt idx="6">
                    <c:v>Site 9</c:v>
                  </c:pt>
                  <c:pt idx="7">
                    <c:v>Site 12</c:v>
                  </c:pt>
                  <c:pt idx="8">
                    <c:v>Site 13a</c:v>
                  </c:pt>
                  <c:pt idx="9">
                    <c:v>Site 14a</c:v>
                  </c:pt>
                  <c:pt idx="10">
                    <c:v>Site 34</c:v>
                  </c:pt>
                  <c:pt idx="11">
                    <c:v>Site 35</c:v>
                  </c:pt>
                  <c:pt idx="12">
                    <c:v>Site 50</c:v>
                  </c:pt>
                  <c:pt idx="13">
                    <c:v>Site 64</c:v>
                  </c:pt>
                  <c:pt idx="14">
                    <c:v>site 32</c:v>
                  </c:pt>
                  <c:pt idx="15">
                    <c:v>Site 18</c:v>
                  </c:pt>
                  <c:pt idx="16">
                    <c:v>Site 19</c:v>
                  </c:pt>
                </c:lvl>
                <c:lvl>
                  <c:pt idx="0">
                    <c:v>Segment 1a</c:v>
                  </c:pt>
                  <c:pt idx="3">
                    <c:v>Segment 3</c:v>
                  </c:pt>
                  <c:pt idx="4">
                    <c:v>Segment 1e</c:v>
                  </c:pt>
                  <c:pt idx="10">
                    <c:v>Segment 4a</c:v>
                  </c:pt>
                  <c:pt idx="11">
                    <c:v>Segment 5</c:v>
                  </c:pt>
                  <c:pt idx="15">
                    <c:v>Segment 6a</c:v>
                  </c:pt>
                  <c:pt idx="16">
                    <c:v>Segment 6b</c:v>
                  </c:pt>
                </c:lvl>
              </c:multiLvlStrCache>
            </c:multiLvlStrRef>
          </c:cat>
          <c:val>
            <c:numRef>
              <c:f>'MWS 2013 chemistry'!$AN$3:$AN$19</c:f>
              <c:numCache>
                <c:formatCode>0.0</c:formatCode>
                <c:ptCount val="17"/>
                <c:pt idx="0">
                  <c:v>295.33333333333331</c:v>
                </c:pt>
                <c:pt idx="1">
                  <c:v>277.42857142857144</c:v>
                </c:pt>
                <c:pt idx="2">
                  <c:v>278.28571428571428</c:v>
                </c:pt>
                <c:pt idx="3">
                  <c:v>200.8</c:v>
                </c:pt>
                <c:pt idx="4">
                  <c:v>361.55555555555554</c:v>
                </c:pt>
                <c:pt idx="5">
                  <c:v>487.55555555555554</c:v>
                </c:pt>
                <c:pt idx="6">
                  <c:v>454.77777777777777</c:v>
                </c:pt>
                <c:pt idx="7">
                  <c:v>630.33333333333337</c:v>
                </c:pt>
                <c:pt idx="8">
                  <c:v>592.66666666666663</c:v>
                </c:pt>
                <c:pt idx="9">
                  <c:v>564.11111111111109</c:v>
                </c:pt>
                <c:pt idx="10">
                  <c:v>1141.7777777777778</c:v>
                </c:pt>
                <c:pt idx="11">
                  <c:v>415.5</c:v>
                </c:pt>
                <c:pt idx="12">
                  <c:v>474.33333333333331</c:v>
                </c:pt>
                <c:pt idx="13">
                  <c:v>721.22222222222217</c:v>
                </c:pt>
                <c:pt idx="14">
                  <c:v>1377.4444444444443</c:v>
                </c:pt>
                <c:pt idx="15">
                  <c:v>611</c:v>
                </c:pt>
                <c:pt idx="16">
                  <c:v>544.55555555555554</c:v>
                </c:pt>
              </c:numCache>
            </c:numRef>
          </c:val>
          <c:smooth val="0"/>
          <c:extLst>
            <c:ext xmlns:c16="http://schemas.microsoft.com/office/drawing/2014/chart" uri="{C3380CC4-5D6E-409C-BE32-E72D297353CC}">
              <c16:uniqueId val="{00000000-3634-4FD0-8DB4-4A97AB79F90A}"/>
            </c:ext>
          </c:extLst>
        </c:ser>
        <c:ser>
          <c:idx val="1"/>
          <c:order val="1"/>
          <c:tx>
            <c:strRef>
              <c:f>'MWS 2013 chemistry'!$AO$2</c:f>
              <c:strCache>
                <c:ptCount val="1"/>
                <c:pt idx="0">
                  <c:v>NO3-NO2 Ug/l</c:v>
                </c:pt>
              </c:strCache>
            </c:strRef>
          </c:tx>
          <c:marker>
            <c:symbol val="none"/>
          </c:marker>
          <c:cat>
            <c:multiLvlStrRef>
              <c:f>'MWS 2013 chemistry'!$A$3:$B$19</c:f>
              <c:multiLvlStrCache>
                <c:ptCount val="17"/>
                <c:lvl>
                  <c:pt idx="0">
                    <c:v>Site 58</c:v>
                  </c:pt>
                  <c:pt idx="1">
                    <c:v>Site 2a</c:v>
                  </c:pt>
                  <c:pt idx="2">
                    <c:v>Site 3a</c:v>
                  </c:pt>
                  <c:pt idx="3">
                    <c:v>Site 25</c:v>
                  </c:pt>
                  <c:pt idx="4">
                    <c:v>Site 5</c:v>
                  </c:pt>
                  <c:pt idx="5">
                    <c:v>Site 8a</c:v>
                  </c:pt>
                  <c:pt idx="6">
                    <c:v>Site 9</c:v>
                  </c:pt>
                  <c:pt idx="7">
                    <c:v>Site 12</c:v>
                  </c:pt>
                  <c:pt idx="8">
                    <c:v>Site 13a</c:v>
                  </c:pt>
                  <c:pt idx="9">
                    <c:v>Site 14a</c:v>
                  </c:pt>
                  <c:pt idx="10">
                    <c:v>Site 34</c:v>
                  </c:pt>
                  <c:pt idx="11">
                    <c:v>Site 35</c:v>
                  </c:pt>
                  <c:pt idx="12">
                    <c:v>Site 50</c:v>
                  </c:pt>
                  <c:pt idx="13">
                    <c:v>Site 64</c:v>
                  </c:pt>
                  <c:pt idx="14">
                    <c:v>site 32</c:v>
                  </c:pt>
                  <c:pt idx="15">
                    <c:v>Site 18</c:v>
                  </c:pt>
                  <c:pt idx="16">
                    <c:v>Site 19</c:v>
                  </c:pt>
                </c:lvl>
                <c:lvl>
                  <c:pt idx="0">
                    <c:v>Segment 1a</c:v>
                  </c:pt>
                  <c:pt idx="3">
                    <c:v>Segment 3</c:v>
                  </c:pt>
                  <c:pt idx="4">
                    <c:v>Segment 1e</c:v>
                  </c:pt>
                  <c:pt idx="10">
                    <c:v>Segment 4a</c:v>
                  </c:pt>
                  <c:pt idx="11">
                    <c:v>Segment 5</c:v>
                  </c:pt>
                  <c:pt idx="15">
                    <c:v>Segment 6a</c:v>
                  </c:pt>
                  <c:pt idx="16">
                    <c:v>Segment 6b</c:v>
                  </c:pt>
                </c:lvl>
              </c:multiLvlStrCache>
            </c:multiLvlStrRef>
          </c:cat>
          <c:val>
            <c:numRef>
              <c:f>'MWS 2013 chemistry'!$AO$3:$AO$19</c:f>
              <c:numCache>
                <c:formatCode>0.0</c:formatCode>
                <c:ptCount val="17"/>
                <c:pt idx="0">
                  <c:v>95</c:v>
                </c:pt>
                <c:pt idx="1">
                  <c:v>68</c:v>
                </c:pt>
                <c:pt idx="2">
                  <c:v>65.428571428571431</c:v>
                </c:pt>
                <c:pt idx="3">
                  <c:v>25.8</c:v>
                </c:pt>
                <c:pt idx="4">
                  <c:v>110.66666666666667</c:v>
                </c:pt>
                <c:pt idx="5">
                  <c:v>258.66666666666669</c:v>
                </c:pt>
                <c:pt idx="6">
                  <c:v>199.88888888888889</c:v>
                </c:pt>
                <c:pt idx="7">
                  <c:v>324.22222222222223</c:v>
                </c:pt>
                <c:pt idx="8">
                  <c:v>299.33333333333331</c:v>
                </c:pt>
                <c:pt idx="9">
                  <c:v>284.22222222222223</c:v>
                </c:pt>
                <c:pt idx="10">
                  <c:v>744.88888888888891</c:v>
                </c:pt>
                <c:pt idx="11">
                  <c:v>221.83333333333334</c:v>
                </c:pt>
                <c:pt idx="12">
                  <c:v>230.16666666666666</c:v>
                </c:pt>
                <c:pt idx="13">
                  <c:v>334.33333333333331</c:v>
                </c:pt>
                <c:pt idx="14">
                  <c:v>709.22222222222217</c:v>
                </c:pt>
                <c:pt idx="15">
                  <c:v>28.111111111111111</c:v>
                </c:pt>
                <c:pt idx="16">
                  <c:v>276.33333333333331</c:v>
                </c:pt>
              </c:numCache>
            </c:numRef>
          </c:val>
          <c:smooth val="0"/>
          <c:extLst>
            <c:ext xmlns:c16="http://schemas.microsoft.com/office/drawing/2014/chart" uri="{C3380CC4-5D6E-409C-BE32-E72D297353CC}">
              <c16:uniqueId val="{00000001-3634-4FD0-8DB4-4A97AB79F90A}"/>
            </c:ext>
          </c:extLst>
        </c:ser>
        <c:ser>
          <c:idx val="2"/>
          <c:order val="2"/>
          <c:tx>
            <c:strRef>
              <c:f>'MWS 2013 chemistry'!$AP$2</c:f>
              <c:strCache>
                <c:ptCount val="1"/>
                <c:pt idx="0">
                  <c:v>Ammonia Ug/l</c:v>
                </c:pt>
              </c:strCache>
            </c:strRef>
          </c:tx>
          <c:marker>
            <c:symbol val="none"/>
          </c:marker>
          <c:cat>
            <c:multiLvlStrRef>
              <c:f>'MWS 2013 chemistry'!$A$3:$B$19</c:f>
              <c:multiLvlStrCache>
                <c:ptCount val="17"/>
                <c:lvl>
                  <c:pt idx="0">
                    <c:v>Site 58</c:v>
                  </c:pt>
                  <c:pt idx="1">
                    <c:v>Site 2a</c:v>
                  </c:pt>
                  <c:pt idx="2">
                    <c:v>Site 3a</c:v>
                  </c:pt>
                  <c:pt idx="3">
                    <c:v>Site 25</c:v>
                  </c:pt>
                  <c:pt idx="4">
                    <c:v>Site 5</c:v>
                  </c:pt>
                  <c:pt idx="5">
                    <c:v>Site 8a</c:v>
                  </c:pt>
                  <c:pt idx="6">
                    <c:v>Site 9</c:v>
                  </c:pt>
                  <c:pt idx="7">
                    <c:v>Site 12</c:v>
                  </c:pt>
                  <c:pt idx="8">
                    <c:v>Site 13a</c:v>
                  </c:pt>
                  <c:pt idx="9">
                    <c:v>Site 14a</c:v>
                  </c:pt>
                  <c:pt idx="10">
                    <c:v>Site 34</c:v>
                  </c:pt>
                  <c:pt idx="11">
                    <c:v>Site 35</c:v>
                  </c:pt>
                  <c:pt idx="12">
                    <c:v>Site 50</c:v>
                  </c:pt>
                  <c:pt idx="13">
                    <c:v>Site 64</c:v>
                  </c:pt>
                  <c:pt idx="14">
                    <c:v>site 32</c:v>
                  </c:pt>
                  <c:pt idx="15">
                    <c:v>Site 18</c:v>
                  </c:pt>
                  <c:pt idx="16">
                    <c:v>Site 19</c:v>
                  </c:pt>
                </c:lvl>
                <c:lvl>
                  <c:pt idx="0">
                    <c:v>Segment 1a</c:v>
                  </c:pt>
                  <c:pt idx="3">
                    <c:v>Segment 3</c:v>
                  </c:pt>
                  <c:pt idx="4">
                    <c:v>Segment 1e</c:v>
                  </c:pt>
                  <c:pt idx="10">
                    <c:v>Segment 4a</c:v>
                  </c:pt>
                  <c:pt idx="11">
                    <c:v>Segment 5</c:v>
                  </c:pt>
                  <c:pt idx="15">
                    <c:v>Segment 6a</c:v>
                  </c:pt>
                  <c:pt idx="16">
                    <c:v>Segment 6b</c:v>
                  </c:pt>
                </c:lvl>
              </c:multiLvlStrCache>
            </c:multiLvlStrRef>
          </c:cat>
          <c:val>
            <c:numRef>
              <c:f>'MWS 2013 chemistry'!$AP$3:$AP$19</c:f>
              <c:numCache>
                <c:formatCode>0.0</c:formatCode>
                <c:ptCount val="17"/>
                <c:pt idx="0">
                  <c:v>23</c:v>
                </c:pt>
                <c:pt idx="1">
                  <c:v>27.285714285714285</c:v>
                </c:pt>
                <c:pt idx="2">
                  <c:v>29.857142857142858</c:v>
                </c:pt>
                <c:pt idx="3">
                  <c:v>29.2</c:v>
                </c:pt>
                <c:pt idx="4">
                  <c:v>41.111111111111114</c:v>
                </c:pt>
                <c:pt idx="5">
                  <c:v>34</c:v>
                </c:pt>
                <c:pt idx="6">
                  <c:v>39.111111111111114</c:v>
                </c:pt>
                <c:pt idx="7">
                  <c:v>33.555555555555557</c:v>
                </c:pt>
                <c:pt idx="8">
                  <c:v>31.111111111111111</c:v>
                </c:pt>
                <c:pt idx="9">
                  <c:v>28.333333333333332</c:v>
                </c:pt>
                <c:pt idx="10">
                  <c:v>37.111111111111114</c:v>
                </c:pt>
                <c:pt idx="11">
                  <c:v>27.5</c:v>
                </c:pt>
                <c:pt idx="12">
                  <c:v>27.833333333333332</c:v>
                </c:pt>
                <c:pt idx="13">
                  <c:v>33.555555555555557</c:v>
                </c:pt>
                <c:pt idx="14">
                  <c:v>65.555555555555557</c:v>
                </c:pt>
                <c:pt idx="15">
                  <c:v>29.666666666666668</c:v>
                </c:pt>
                <c:pt idx="16">
                  <c:v>32.888888888888886</c:v>
                </c:pt>
              </c:numCache>
            </c:numRef>
          </c:val>
          <c:smooth val="0"/>
          <c:extLst>
            <c:ext xmlns:c16="http://schemas.microsoft.com/office/drawing/2014/chart" uri="{C3380CC4-5D6E-409C-BE32-E72D297353CC}">
              <c16:uniqueId val="{00000002-3634-4FD0-8DB4-4A97AB79F90A}"/>
            </c:ext>
          </c:extLst>
        </c:ser>
        <c:dLbls>
          <c:showLegendKey val="0"/>
          <c:showVal val="0"/>
          <c:showCatName val="0"/>
          <c:showSerName val="0"/>
          <c:showPercent val="0"/>
          <c:showBubbleSize val="0"/>
        </c:dLbls>
        <c:smooth val="0"/>
        <c:axId val="153756416"/>
        <c:axId val="153757952"/>
      </c:lineChart>
      <c:catAx>
        <c:axId val="153756416"/>
        <c:scaling>
          <c:orientation val="minMax"/>
        </c:scaling>
        <c:delete val="0"/>
        <c:axPos val="b"/>
        <c:numFmt formatCode="General" sourceLinked="0"/>
        <c:majorTickMark val="none"/>
        <c:minorTickMark val="none"/>
        <c:tickLblPos val="nextTo"/>
        <c:txPr>
          <a:bodyPr/>
          <a:lstStyle/>
          <a:p>
            <a:pPr>
              <a:defRPr sz="800"/>
            </a:pPr>
            <a:endParaRPr lang="en-US"/>
          </a:p>
        </c:txPr>
        <c:crossAx val="153757952"/>
        <c:crosses val="autoZero"/>
        <c:auto val="1"/>
        <c:lblAlgn val="ctr"/>
        <c:lblOffset val="100"/>
        <c:noMultiLvlLbl val="0"/>
      </c:catAx>
      <c:valAx>
        <c:axId val="153757952"/>
        <c:scaling>
          <c:orientation val="minMax"/>
        </c:scaling>
        <c:delete val="0"/>
        <c:axPos val="l"/>
        <c:majorGridlines/>
        <c:title>
          <c:tx>
            <c:rich>
              <a:bodyPr/>
              <a:lstStyle/>
              <a:p>
                <a:pPr>
                  <a:defRPr/>
                </a:pPr>
                <a:r>
                  <a:rPr lang="en-US"/>
                  <a:t>ug/l</a:t>
                </a:r>
              </a:p>
            </c:rich>
          </c:tx>
          <c:overlay val="0"/>
        </c:title>
        <c:numFmt formatCode="0.0" sourceLinked="1"/>
        <c:majorTickMark val="none"/>
        <c:minorTickMark val="none"/>
        <c:tickLblPos val="nextTo"/>
        <c:crossAx val="153756416"/>
        <c:crosses val="autoZero"/>
        <c:crossBetween val="between"/>
      </c:valAx>
      <c:dTable>
        <c:showHorzBorder val="1"/>
        <c:showVertBorder val="1"/>
        <c:showOutline val="1"/>
        <c:showKeys val="1"/>
        <c:txPr>
          <a:bodyPr/>
          <a:lstStyle/>
          <a:p>
            <a:pPr rtl="0">
              <a:defRPr sz="700">
                <a:latin typeface="+mj-lt"/>
              </a:defRPr>
            </a:pPr>
            <a:endParaRPr lang="en-US"/>
          </a:p>
        </c:txPr>
      </c:dTable>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a:noFill/>
        </a:ln>
      </c:spPr>
    </c:plotArea>
    <c:plotVisOnly val="1"/>
    <c:dispBlanksAs val="gap"/>
    <c:showDLblsOverMax val="0"/>
  </c:chart>
  <c:printSettings>
    <c:headerFooter/>
    <c:pageMargins b="0.75000000000000178" l="0.70000000000000062" r="0.70000000000000062" t="0.75000000000000178" header="0.30000000000000032" footer="0.30000000000000032"/>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Seasonal Average Total Phosphorus Ug/l</a:t>
            </a:r>
          </a:p>
        </c:rich>
      </c:tx>
      <c:overlay val="0"/>
    </c:title>
    <c:autoTitleDeleted val="0"/>
    <c:plotArea>
      <c:layout/>
      <c:lineChart>
        <c:grouping val="standard"/>
        <c:varyColors val="0"/>
        <c:ser>
          <c:idx val="0"/>
          <c:order val="0"/>
          <c:tx>
            <c:strRef>
              <c:f>'MWS 2013 chemistry'!$AM$2</c:f>
              <c:strCache>
                <c:ptCount val="1"/>
                <c:pt idx="0">
                  <c:v>T Phos Ug/l</c:v>
                </c:pt>
              </c:strCache>
            </c:strRef>
          </c:tx>
          <c:marker>
            <c:symbol val="none"/>
          </c:marker>
          <c:cat>
            <c:multiLvlStrRef>
              <c:f>'MWS 2013 chemistry'!$A$3:$B$19</c:f>
              <c:multiLvlStrCache>
                <c:ptCount val="17"/>
                <c:lvl>
                  <c:pt idx="0">
                    <c:v>Site 58</c:v>
                  </c:pt>
                  <c:pt idx="1">
                    <c:v>Site 2a</c:v>
                  </c:pt>
                  <c:pt idx="2">
                    <c:v>Site 3a</c:v>
                  </c:pt>
                  <c:pt idx="3">
                    <c:v>Site 25</c:v>
                  </c:pt>
                  <c:pt idx="4">
                    <c:v>Site 5</c:v>
                  </c:pt>
                  <c:pt idx="5">
                    <c:v>Site 8a</c:v>
                  </c:pt>
                  <c:pt idx="6">
                    <c:v>Site 9</c:v>
                  </c:pt>
                  <c:pt idx="7">
                    <c:v>Site 12</c:v>
                  </c:pt>
                  <c:pt idx="8">
                    <c:v>Site 13a</c:v>
                  </c:pt>
                  <c:pt idx="9">
                    <c:v>Site 14a</c:v>
                  </c:pt>
                  <c:pt idx="10">
                    <c:v>Site 34</c:v>
                  </c:pt>
                  <c:pt idx="11">
                    <c:v>Site 35</c:v>
                  </c:pt>
                  <c:pt idx="12">
                    <c:v>Site 50</c:v>
                  </c:pt>
                  <c:pt idx="13">
                    <c:v>Site 64</c:v>
                  </c:pt>
                  <c:pt idx="14">
                    <c:v>site 32</c:v>
                  </c:pt>
                  <c:pt idx="15">
                    <c:v>Site 18</c:v>
                  </c:pt>
                  <c:pt idx="16">
                    <c:v>Site 19</c:v>
                  </c:pt>
                </c:lvl>
                <c:lvl>
                  <c:pt idx="0">
                    <c:v>Segment 1a</c:v>
                  </c:pt>
                  <c:pt idx="3">
                    <c:v>Segment 3</c:v>
                  </c:pt>
                  <c:pt idx="4">
                    <c:v>Segment 1e</c:v>
                  </c:pt>
                  <c:pt idx="10">
                    <c:v>Segment 4a</c:v>
                  </c:pt>
                  <c:pt idx="11">
                    <c:v>Segment 5</c:v>
                  </c:pt>
                  <c:pt idx="15">
                    <c:v>Segment 6a</c:v>
                  </c:pt>
                  <c:pt idx="16">
                    <c:v>Segment 6b</c:v>
                  </c:pt>
                </c:lvl>
              </c:multiLvlStrCache>
            </c:multiLvlStrRef>
          </c:cat>
          <c:val>
            <c:numRef>
              <c:f>'MWS 2013 chemistry'!$AQ$3:$AQ$19</c:f>
              <c:numCache>
                <c:formatCode>0.0</c:formatCode>
                <c:ptCount val="17"/>
                <c:pt idx="0">
                  <c:v>14</c:v>
                </c:pt>
                <c:pt idx="1">
                  <c:v>20</c:v>
                </c:pt>
                <c:pt idx="2">
                  <c:v>30.571428571428573</c:v>
                </c:pt>
                <c:pt idx="3">
                  <c:v>16.399999999999999</c:v>
                </c:pt>
                <c:pt idx="4">
                  <c:v>21.444444444444443</c:v>
                </c:pt>
                <c:pt idx="5">
                  <c:v>23.555555555555557</c:v>
                </c:pt>
                <c:pt idx="6">
                  <c:v>29.111111111111111</c:v>
                </c:pt>
                <c:pt idx="7">
                  <c:v>38.555555555555557</c:v>
                </c:pt>
                <c:pt idx="8">
                  <c:v>36.111111111111114</c:v>
                </c:pt>
                <c:pt idx="9">
                  <c:v>34</c:v>
                </c:pt>
                <c:pt idx="10">
                  <c:v>22.777777777777779</c:v>
                </c:pt>
                <c:pt idx="11">
                  <c:v>24.666666666666668</c:v>
                </c:pt>
                <c:pt idx="12">
                  <c:v>24.5</c:v>
                </c:pt>
                <c:pt idx="13">
                  <c:v>65</c:v>
                </c:pt>
                <c:pt idx="14">
                  <c:v>203.66666666666666</c:v>
                </c:pt>
                <c:pt idx="15">
                  <c:v>28</c:v>
                </c:pt>
                <c:pt idx="16">
                  <c:v>25.222222222222221</c:v>
                </c:pt>
              </c:numCache>
            </c:numRef>
          </c:val>
          <c:smooth val="0"/>
          <c:extLst>
            <c:ext xmlns:c16="http://schemas.microsoft.com/office/drawing/2014/chart" uri="{C3380CC4-5D6E-409C-BE32-E72D297353CC}">
              <c16:uniqueId val="{00000000-46DC-44E7-8B4F-2210D43F0010}"/>
            </c:ext>
          </c:extLst>
        </c:ser>
        <c:dLbls>
          <c:showLegendKey val="0"/>
          <c:showVal val="0"/>
          <c:showCatName val="0"/>
          <c:showSerName val="0"/>
          <c:showPercent val="0"/>
          <c:showBubbleSize val="0"/>
        </c:dLbls>
        <c:smooth val="0"/>
        <c:axId val="153801088"/>
        <c:axId val="153802624"/>
      </c:lineChart>
      <c:catAx>
        <c:axId val="153801088"/>
        <c:scaling>
          <c:orientation val="minMax"/>
        </c:scaling>
        <c:delete val="0"/>
        <c:axPos val="b"/>
        <c:numFmt formatCode="General" sourceLinked="0"/>
        <c:majorTickMark val="out"/>
        <c:minorTickMark val="none"/>
        <c:tickLblPos val="nextTo"/>
        <c:txPr>
          <a:bodyPr/>
          <a:lstStyle/>
          <a:p>
            <a:pPr>
              <a:defRPr sz="800"/>
            </a:pPr>
            <a:endParaRPr lang="en-US"/>
          </a:p>
        </c:txPr>
        <c:crossAx val="153802624"/>
        <c:crosses val="autoZero"/>
        <c:auto val="1"/>
        <c:lblAlgn val="ctr"/>
        <c:lblOffset val="100"/>
        <c:noMultiLvlLbl val="0"/>
      </c:catAx>
      <c:valAx>
        <c:axId val="153802624"/>
        <c:scaling>
          <c:orientation val="minMax"/>
        </c:scaling>
        <c:delete val="0"/>
        <c:axPos val="l"/>
        <c:majorGridlines/>
        <c:numFmt formatCode="0.0" sourceLinked="1"/>
        <c:majorTickMark val="out"/>
        <c:minorTickMark val="none"/>
        <c:tickLblPos val="nextTo"/>
        <c:crossAx val="153801088"/>
        <c:crosses val="autoZero"/>
        <c:crossBetween val="between"/>
      </c:valAx>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a:noFill/>
        </a:ln>
      </c:spPr>
    </c:plotArea>
    <c:plotVisOnly val="1"/>
    <c:dispBlanksAs val="gap"/>
    <c:showDLblsOverMax val="0"/>
  </c:chart>
  <c:printSettings>
    <c:headerFooter/>
    <c:pageMargins b="0.75000000000000178" l="0.70000000000000062" r="0.70000000000000062" t="0.7500000000000017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latin typeface="+mn-lt"/>
              </a:defRPr>
            </a:pPr>
            <a:r>
              <a:rPr lang="en-US" b="1">
                <a:latin typeface="+mn-lt"/>
              </a:rPr>
              <a:t>Bear Creek Reservoir - Nitrate Trend</a:t>
            </a:r>
          </a:p>
        </c:rich>
      </c:tx>
      <c:layout>
        <c:manualLayout>
          <c:xMode val="edge"/>
          <c:yMode val="edge"/>
          <c:x val="0.36763623090160086"/>
          <c:y val="2.9544369386550046E-2"/>
        </c:manualLayout>
      </c:layout>
      <c:overlay val="0"/>
      <c:spPr>
        <a:noFill/>
        <a:ln w="25400">
          <a:noFill/>
        </a:ln>
      </c:spPr>
    </c:title>
    <c:autoTitleDeleted val="0"/>
    <c:plotArea>
      <c:layout>
        <c:manualLayout>
          <c:layoutTarget val="inner"/>
          <c:xMode val="edge"/>
          <c:yMode val="edge"/>
          <c:x val="0.11752547235943372"/>
          <c:y val="0.11286681715575585"/>
          <c:w val="0.85395559250751385"/>
          <c:h val="0.68540893688598525"/>
        </c:manualLayout>
      </c:layout>
      <c:barChart>
        <c:barDir val="col"/>
        <c:grouping val="clustered"/>
        <c:varyColors val="1"/>
        <c:ser>
          <c:idx val="0"/>
          <c:order val="0"/>
          <c:tx>
            <c:strRef>
              <c:f>'Nitrate Trends'!$A$76</c:f>
              <c:strCache>
                <c:ptCount val="1"/>
                <c:pt idx="0">
                  <c:v>Reservoir Average</c:v>
                </c:pt>
              </c:strCache>
            </c:strRef>
          </c:tx>
          <c:spPr>
            <a:solidFill>
              <a:srgbClr val="9999FF"/>
            </a:solidFill>
            <a:scene3d>
              <a:camera prst="orthographicFront"/>
              <a:lightRig rig="threePt" dir="t"/>
            </a:scene3d>
            <a:sp3d>
              <a:bevelT w="6350"/>
            </a:sp3d>
          </c:spPr>
          <c:invertIfNegative val="0"/>
          <c:trendline>
            <c:spPr>
              <a:ln w="25400">
                <a:solidFill>
                  <a:srgbClr val="000000"/>
                </a:solidFill>
                <a:prstDash val="solid"/>
              </a:ln>
            </c:spPr>
            <c:trendlineType val="poly"/>
            <c:order val="2"/>
            <c:dispRSqr val="0"/>
            <c:dispEq val="0"/>
          </c:trendline>
          <c:cat>
            <c:numRef>
              <c:f>'Nitrate Trends'!$B$77:$B$99</c:f>
              <c:numCache>
                <c:formatCode>General</c:formatCode>
                <c:ptCount val="2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numCache>
            </c:numRef>
          </c:cat>
          <c:val>
            <c:numRef>
              <c:f>'Nitrate Trends'!$C$77:$C$99</c:f>
              <c:numCache>
                <c:formatCode>0</c:formatCode>
                <c:ptCount val="23"/>
                <c:pt idx="0">
                  <c:v>388</c:v>
                </c:pt>
                <c:pt idx="1">
                  <c:v>266</c:v>
                </c:pt>
                <c:pt idx="2">
                  <c:v>429</c:v>
                </c:pt>
                <c:pt idx="3">
                  <c:v>348.66666666666669</c:v>
                </c:pt>
                <c:pt idx="4">
                  <c:v>493</c:v>
                </c:pt>
                <c:pt idx="5">
                  <c:v>575.97916666666663</c:v>
                </c:pt>
                <c:pt idx="6">
                  <c:v>366.34357142857152</c:v>
                </c:pt>
                <c:pt idx="7">
                  <c:v>367.33333333333331</c:v>
                </c:pt>
                <c:pt idx="8">
                  <c:v>225</c:v>
                </c:pt>
                <c:pt idx="9">
                  <c:v>452.33333333333331</c:v>
                </c:pt>
                <c:pt idx="10">
                  <c:v>395.33333333333331</c:v>
                </c:pt>
                <c:pt idx="11">
                  <c:v>281.66666666666669</c:v>
                </c:pt>
                <c:pt idx="12" formatCode="0.0">
                  <c:v>268</c:v>
                </c:pt>
                <c:pt idx="13" formatCode="0.0">
                  <c:v>247</c:v>
                </c:pt>
                <c:pt idx="14" formatCode="0.0">
                  <c:v>207</c:v>
                </c:pt>
                <c:pt idx="15" formatCode="0.0">
                  <c:v>153</c:v>
                </c:pt>
                <c:pt idx="16" formatCode="0.0">
                  <c:v>229</c:v>
                </c:pt>
                <c:pt idx="17" formatCode="0.0">
                  <c:v>232</c:v>
                </c:pt>
                <c:pt idx="18" formatCode="0.0">
                  <c:v>267</c:v>
                </c:pt>
                <c:pt idx="19" formatCode="0.0">
                  <c:v>254</c:v>
                </c:pt>
                <c:pt idx="20" formatCode="0.0">
                  <c:v>172</c:v>
                </c:pt>
                <c:pt idx="21" formatCode="0.0">
                  <c:v>133.5</c:v>
                </c:pt>
                <c:pt idx="22" formatCode="0.0">
                  <c:v>153</c:v>
                </c:pt>
              </c:numCache>
            </c:numRef>
          </c:val>
          <c:extLst>
            <c:ext xmlns:c16="http://schemas.microsoft.com/office/drawing/2014/chart" uri="{C3380CC4-5D6E-409C-BE32-E72D297353CC}">
              <c16:uniqueId val="{00000001-1224-41BA-859F-100BEC30643F}"/>
            </c:ext>
          </c:extLst>
        </c:ser>
        <c:dLbls>
          <c:showLegendKey val="0"/>
          <c:showVal val="0"/>
          <c:showCatName val="0"/>
          <c:showSerName val="0"/>
          <c:showPercent val="0"/>
          <c:showBubbleSize val="0"/>
        </c:dLbls>
        <c:gapWidth val="74"/>
        <c:axId val="104183680"/>
        <c:axId val="104185216"/>
      </c:barChart>
      <c:catAx>
        <c:axId val="104183680"/>
        <c:scaling>
          <c:orientation val="minMax"/>
        </c:scaling>
        <c:delete val="0"/>
        <c:axPos val="b"/>
        <c:numFmt formatCode="0" sourceLinked="0"/>
        <c:majorTickMark val="out"/>
        <c:minorTickMark val="none"/>
        <c:tickLblPos val="nextTo"/>
        <c:spPr>
          <a:ln w="3175">
            <a:solidFill>
              <a:srgbClr val="000000"/>
            </a:solidFill>
            <a:prstDash val="solid"/>
          </a:ln>
        </c:spPr>
        <c:txPr>
          <a:bodyPr rot="-2700000" vert="horz"/>
          <a:lstStyle/>
          <a:p>
            <a:pPr>
              <a:defRPr sz="800"/>
            </a:pPr>
            <a:endParaRPr lang="en-US"/>
          </a:p>
        </c:txPr>
        <c:crossAx val="104185216"/>
        <c:crosses val="autoZero"/>
        <c:auto val="1"/>
        <c:lblAlgn val="ctr"/>
        <c:lblOffset val="100"/>
        <c:tickLblSkip val="1"/>
        <c:tickMarkSkip val="1"/>
        <c:noMultiLvlLbl val="0"/>
      </c:catAx>
      <c:valAx>
        <c:axId val="104185216"/>
        <c:scaling>
          <c:orientation val="minMax"/>
        </c:scaling>
        <c:delete val="0"/>
        <c:axPos val="l"/>
        <c:majorGridlines>
          <c:spPr>
            <a:ln w="3175">
              <a:solidFill>
                <a:srgbClr val="000000"/>
              </a:solidFill>
              <a:prstDash val="solid"/>
            </a:ln>
          </c:spPr>
        </c:majorGridlines>
        <c:minorGridlines/>
        <c:title>
          <c:tx>
            <c:rich>
              <a:bodyPr/>
              <a:lstStyle/>
              <a:p>
                <a:pPr>
                  <a:defRPr b="1">
                    <a:latin typeface="+mn-lt"/>
                  </a:defRPr>
                </a:pPr>
                <a:r>
                  <a:rPr lang="en-US" b="1">
                    <a:latin typeface="+mn-lt"/>
                  </a:rPr>
                  <a:t>Nitrate (ug/l)</a:t>
                </a:r>
              </a:p>
            </c:rich>
          </c:tx>
          <c:layout>
            <c:manualLayout>
              <c:xMode val="edge"/>
              <c:yMode val="edge"/>
              <c:x val="1.5633263233400172E-2"/>
              <c:y val="0.3720456149877818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a:pPr>
            <a:endParaRPr lang="en-US"/>
          </a:p>
        </c:txPr>
        <c:crossAx val="104183680"/>
        <c:crosses val="autoZero"/>
        <c:crossBetween val="between"/>
      </c:valAx>
      <c:spPr>
        <a:solidFill>
          <a:srgbClr val="FFFFFF"/>
        </a:solidFill>
        <a:ln w="12700">
          <a:solidFill>
            <a:srgbClr val="808080"/>
          </a:solidFill>
          <a:prstDash val="solid"/>
        </a:ln>
      </c:spPr>
    </c:plotArea>
    <c:plotVisOnly val="1"/>
    <c:dispBlanksAs val="gap"/>
    <c:showDLblsOverMax val="0"/>
  </c:chart>
  <c:spPr>
    <a:gradFill>
      <a:gsLst>
        <a:gs pos="0">
          <a:schemeClr val="tx2">
            <a:lumMod val="60000"/>
            <a:lumOff val="40000"/>
          </a:schemeClr>
        </a:gs>
        <a:gs pos="50000">
          <a:srgbClr val="4F81BD">
            <a:tint val="44500"/>
            <a:satMod val="160000"/>
          </a:srgbClr>
        </a:gs>
        <a:gs pos="100000">
          <a:srgbClr val="4F81BD">
            <a:tint val="23500"/>
            <a:satMod val="160000"/>
          </a:srgbClr>
        </a:gs>
      </a:gsLst>
      <a:lin ang="5400000" scaled="0"/>
    </a:gradFill>
    <a:ln w="3175">
      <a:no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verticalDpi="0"/>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Segment 1e Stream Temperature</a:t>
            </a:r>
          </a:p>
        </c:rich>
      </c:tx>
      <c:overlay val="0"/>
    </c:title>
    <c:autoTitleDeleted val="0"/>
    <c:plotArea>
      <c:layout/>
      <c:lineChart>
        <c:grouping val="standard"/>
        <c:varyColors val="0"/>
        <c:ser>
          <c:idx val="0"/>
          <c:order val="0"/>
          <c:tx>
            <c:strRef>
              <c:f>'MWS 2013 Field'!$C$29:$C$37</c:f>
              <c:strCache>
                <c:ptCount val="9"/>
                <c:pt idx="0">
                  <c:v>Little Bear Evergreen</c:v>
                </c:pt>
              </c:strCache>
            </c:strRef>
          </c:tx>
          <c:marker>
            <c:symbol val="none"/>
          </c:marker>
          <c:cat>
            <c:numRef>
              <c:f>'MWS 2013 Field'!$D$29:$D$37</c:f>
              <c:numCache>
                <c:formatCode>m/d/yyyy</c:formatCode>
                <c:ptCount val="9"/>
                <c:pt idx="0">
                  <c:v>41361</c:v>
                </c:pt>
                <c:pt idx="1">
                  <c:v>41389</c:v>
                </c:pt>
                <c:pt idx="2">
                  <c:v>41415</c:v>
                </c:pt>
                <c:pt idx="3">
                  <c:v>41443</c:v>
                </c:pt>
                <c:pt idx="4">
                  <c:v>41478</c:v>
                </c:pt>
                <c:pt idx="5">
                  <c:v>41513</c:v>
                </c:pt>
                <c:pt idx="6">
                  <c:v>41542</c:v>
                </c:pt>
                <c:pt idx="7">
                  <c:v>41570</c:v>
                </c:pt>
                <c:pt idx="8">
                  <c:v>41603</c:v>
                </c:pt>
              </c:numCache>
            </c:numRef>
          </c:cat>
          <c:val>
            <c:numRef>
              <c:f>'MWS 2013 Field'!$G$29:$G$37</c:f>
              <c:numCache>
                <c:formatCode>0.00</c:formatCode>
                <c:ptCount val="9"/>
                <c:pt idx="0">
                  <c:v>1.6</c:v>
                </c:pt>
                <c:pt idx="1">
                  <c:v>3.1</c:v>
                </c:pt>
                <c:pt idx="2">
                  <c:v>9.1999999999999993</c:v>
                </c:pt>
                <c:pt idx="3">
                  <c:v>15.8</c:v>
                </c:pt>
                <c:pt idx="4">
                  <c:v>20.7</c:v>
                </c:pt>
                <c:pt idx="5">
                  <c:v>17.149999999999999</c:v>
                </c:pt>
                <c:pt idx="6">
                  <c:v>8.1</c:v>
                </c:pt>
                <c:pt idx="7">
                  <c:v>4</c:v>
                </c:pt>
                <c:pt idx="8">
                  <c:v>1.3</c:v>
                </c:pt>
              </c:numCache>
            </c:numRef>
          </c:val>
          <c:smooth val="0"/>
          <c:extLst>
            <c:ext xmlns:c16="http://schemas.microsoft.com/office/drawing/2014/chart" uri="{C3380CC4-5D6E-409C-BE32-E72D297353CC}">
              <c16:uniqueId val="{00000000-B864-4094-AA7D-299F5A03079C}"/>
            </c:ext>
          </c:extLst>
        </c:ser>
        <c:ser>
          <c:idx val="1"/>
          <c:order val="1"/>
          <c:tx>
            <c:strRef>
              <c:f>'MWS 2013 Field'!$C$38:$C$46</c:f>
              <c:strCache>
                <c:ptCount val="9"/>
                <c:pt idx="0">
                  <c:v>Bear Creek Cabins </c:v>
                </c:pt>
              </c:strCache>
            </c:strRef>
          </c:tx>
          <c:marker>
            <c:symbol val="none"/>
          </c:marker>
          <c:val>
            <c:numRef>
              <c:f>'MWS 2013 Field'!$G$38:$G$46</c:f>
              <c:numCache>
                <c:formatCode>0.00</c:formatCode>
                <c:ptCount val="9"/>
                <c:pt idx="0">
                  <c:v>1.7</c:v>
                </c:pt>
                <c:pt idx="1">
                  <c:v>3.1</c:v>
                </c:pt>
                <c:pt idx="2">
                  <c:v>9.5</c:v>
                </c:pt>
                <c:pt idx="3">
                  <c:v>16.8</c:v>
                </c:pt>
                <c:pt idx="4">
                  <c:v>20.8</c:v>
                </c:pt>
                <c:pt idx="5">
                  <c:v>17.87</c:v>
                </c:pt>
                <c:pt idx="6">
                  <c:v>8.5</c:v>
                </c:pt>
                <c:pt idx="7">
                  <c:v>4.5999999999999996</c:v>
                </c:pt>
                <c:pt idx="8">
                  <c:v>1.7</c:v>
                </c:pt>
              </c:numCache>
            </c:numRef>
          </c:val>
          <c:smooth val="0"/>
          <c:extLst>
            <c:ext xmlns:c16="http://schemas.microsoft.com/office/drawing/2014/chart" uri="{C3380CC4-5D6E-409C-BE32-E72D297353CC}">
              <c16:uniqueId val="{00000001-B864-4094-AA7D-299F5A03079C}"/>
            </c:ext>
          </c:extLst>
        </c:ser>
        <c:ser>
          <c:idx val="2"/>
          <c:order val="2"/>
          <c:tx>
            <c:strRef>
              <c:f>'MWS 2013 Field'!$C$47:$C$55</c:f>
              <c:strCache>
                <c:ptCount val="9"/>
                <c:pt idx="0">
                  <c:v>O'Fallon Park</c:v>
                </c:pt>
              </c:strCache>
            </c:strRef>
          </c:tx>
          <c:marker>
            <c:symbol val="none"/>
          </c:marker>
          <c:val>
            <c:numRef>
              <c:f>'MWS 2013 Field'!$G$47:$G$55</c:f>
              <c:numCache>
                <c:formatCode>0.00</c:formatCode>
                <c:ptCount val="9"/>
                <c:pt idx="0">
                  <c:v>1.3</c:v>
                </c:pt>
                <c:pt idx="1">
                  <c:v>3.3</c:v>
                </c:pt>
                <c:pt idx="2">
                  <c:v>9.8000000000000007</c:v>
                </c:pt>
                <c:pt idx="3">
                  <c:v>17.399999999999999</c:v>
                </c:pt>
                <c:pt idx="4">
                  <c:v>20</c:v>
                </c:pt>
                <c:pt idx="5">
                  <c:v>17.989999999999998</c:v>
                </c:pt>
                <c:pt idx="6">
                  <c:v>9</c:v>
                </c:pt>
                <c:pt idx="7">
                  <c:v>4.9000000000000004</c:v>
                </c:pt>
                <c:pt idx="8">
                  <c:v>1.7</c:v>
                </c:pt>
              </c:numCache>
            </c:numRef>
          </c:val>
          <c:smooth val="0"/>
          <c:extLst>
            <c:ext xmlns:c16="http://schemas.microsoft.com/office/drawing/2014/chart" uri="{C3380CC4-5D6E-409C-BE32-E72D297353CC}">
              <c16:uniqueId val="{00000002-B864-4094-AA7D-299F5A03079C}"/>
            </c:ext>
          </c:extLst>
        </c:ser>
        <c:ser>
          <c:idx val="3"/>
          <c:order val="3"/>
          <c:tx>
            <c:strRef>
              <c:f>'MWS 2013 Field'!$C$56:$C$64</c:f>
              <c:strCache>
                <c:ptCount val="9"/>
                <c:pt idx="0">
                  <c:v>Lair o' the Bear </c:v>
                </c:pt>
              </c:strCache>
            </c:strRef>
          </c:tx>
          <c:marker>
            <c:symbol val="none"/>
          </c:marker>
          <c:val>
            <c:numRef>
              <c:f>'MWS 2013 Field'!$G$56:$G$64</c:f>
              <c:numCache>
                <c:formatCode>0.00</c:formatCode>
                <c:ptCount val="9"/>
                <c:pt idx="0">
                  <c:v>2.1</c:v>
                </c:pt>
                <c:pt idx="1">
                  <c:v>4</c:v>
                </c:pt>
                <c:pt idx="2">
                  <c:v>10.4</c:v>
                </c:pt>
                <c:pt idx="3">
                  <c:v>16.8</c:v>
                </c:pt>
                <c:pt idx="4">
                  <c:v>19.5</c:v>
                </c:pt>
                <c:pt idx="5">
                  <c:v>17.91</c:v>
                </c:pt>
                <c:pt idx="6">
                  <c:v>9.6</c:v>
                </c:pt>
                <c:pt idx="7">
                  <c:v>4.9000000000000004</c:v>
                </c:pt>
                <c:pt idx="8">
                  <c:v>1.7</c:v>
                </c:pt>
              </c:numCache>
            </c:numRef>
          </c:val>
          <c:smooth val="0"/>
          <c:extLst>
            <c:ext xmlns:c16="http://schemas.microsoft.com/office/drawing/2014/chart" uri="{C3380CC4-5D6E-409C-BE32-E72D297353CC}">
              <c16:uniqueId val="{00000003-B864-4094-AA7D-299F5A03079C}"/>
            </c:ext>
          </c:extLst>
        </c:ser>
        <c:ser>
          <c:idx val="4"/>
          <c:order val="4"/>
          <c:tx>
            <c:strRef>
              <c:f>'MWS 2013 Field'!$C$65:$C$73</c:f>
              <c:strCache>
                <c:ptCount val="9"/>
                <c:pt idx="0">
                  <c:v> Idledale, Shady Lane</c:v>
                </c:pt>
              </c:strCache>
            </c:strRef>
          </c:tx>
          <c:marker>
            <c:symbol val="none"/>
          </c:marker>
          <c:val>
            <c:numRef>
              <c:f>'MWS 2013 Field'!$G$65:$G$73</c:f>
              <c:numCache>
                <c:formatCode>0.00</c:formatCode>
                <c:ptCount val="9"/>
                <c:pt idx="0">
                  <c:v>2.5</c:v>
                </c:pt>
                <c:pt idx="1">
                  <c:v>4.8</c:v>
                </c:pt>
                <c:pt idx="2">
                  <c:v>10.8</c:v>
                </c:pt>
                <c:pt idx="3">
                  <c:v>16.8</c:v>
                </c:pt>
                <c:pt idx="4">
                  <c:v>20.3</c:v>
                </c:pt>
                <c:pt idx="5">
                  <c:v>18.91</c:v>
                </c:pt>
                <c:pt idx="6">
                  <c:v>9.9</c:v>
                </c:pt>
                <c:pt idx="7">
                  <c:v>5.0999999999999996</c:v>
                </c:pt>
                <c:pt idx="8">
                  <c:v>1.8</c:v>
                </c:pt>
              </c:numCache>
            </c:numRef>
          </c:val>
          <c:smooth val="0"/>
          <c:extLst>
            <c:ext xmlns:c16="http://schemas.microsoft.com/office/drawing/2014/chart" uri="{C3380CC4-5D6E-409C-BE32-E72D297353CC}">
              <c16:uniqueId val="{00000004-B864-4094-AA7D-299F5A03079C}"/>
            </c:ext>
          </c:extLst>
        </c:ser>
        <c:ser>
          <c:idx val="5"/>
          <c:order val="5"/>
          <c:tx>
            <c:strRef>
              <c:f>'MWS 2013 Field'!$C$74:$C$82</c:f>
              <c:strCache>
                <c:ptCount val="9"/>
                <c:pt idx="0">
                  <c:v>Morrison Park west</c:v>
                </c:pt>
              </c:strCache>
            </c:strRef>
          </c:tx>
          <c:marker>
            <c:symbol val="none"/>
          </c:marker>
          <c:val>
            <c:numRef>
              <c:f>'MWS 2013 Field'!$G$74:$G$82</c:f>
              <c:numCache>
                <c:formatCode>0.00</c:formatCode>
                <c:ptCount val="9"/>
                <c:pt idx="0">
                  <c:v>3.3</c:v>
                </c:pt>
                <c:pt idx="1">
                  <c:v>5.0999999999999996</c:v>
                </c:pt>
                <c:pt idx="2">
                  <c:v>10.6</c:v>
                </c:pt>
                <c:pt idx="3">
                  <c:v>16.3</c:v>
                </c:pt>
                <c:pt idx="4">
                  <c:v>19.899999999999999</c:v>
                </c:pt>
                <c:pt idx="5">
                  <c:v>18.43</c:v>
                </c:pt>
                <c:pt idx="6">
                  <c:v>10.3</c:v>
                </c:pt>
                <c:pt idx="7">
                  <c:v>5.0999999999999996</c:v>
                </c:pt>
                <c:pt idx="8">
                  <c:v>1.9</c:v>
                </c:pt>
              </c:numCache>
            </c:numRef>
          </c:val>
          <c:smooth val="0"/>
          <c:extLst>
            <c:ext xmlns:c16="http://schemas.microsoft.com/office/drawing/2014/chart" uri="{C3380CC4-5D6E-409C-BE32-E72D297353CC}">
              <c16:uniqueId val="{00000005-B864-4094-AA7D-299F5A03079C}"/>
            </c:ext>
          </c:extLst>
        </c:ser>
        <c:dLbls>
          <c:showLegendKey val="0"/>
          <c:showVal val="0"/>
          <c:showCatName val="0"/>
          <c:showSerName val="0"/>
          <c:showPercent val="0"/>
          <c:showBubbleSize val="0"/>
        </c:dLbls>
        <c:smooth val="0"/>
        <c:axId val="154146304"/>
        <c:axId val="154147840"/>
      </c:lineChart>
      <c:dateAx>
        <c:axId val="154146304"/>
        <c:scaling>
          <c:orientation val="minMax"/>
        </c:scaling>
        <c:delete val="0"/>
        <c:axPos val="b"/>
        <c:numFmt formatCode="[$-409]mmmmm;@" sourceLinked="0"/>
        <c:majorTickMark val="none"/>
        <c:minorTickMark val="none"/>
        <c:tickLblPos val="nextTo"/>
        <c:crossAx val="154147840"/>
        <c:crosses val="autoZero"/>
        <c:auto val="1"/>
        <c:lblOffset val="100"/>
        <c:baseTimeUnit val="days"/>
        <c:majorUnit val="1"/>
        <c:majorTimeUnit val="months"/>
        <c:minorUnit val="15"/>
        <c:minorTimeUnit val="days"/>
      </c:dateAx>
      <c:valAx>
        <c:axId val="154147840"/>
        <c:scaling>
          <c:orientation val="minMax"/>
        </c:scaling>
        <c:delete val="0"/>
        <c:axPos val="l"/>
        <c:majorGridlines/>
        <c:minorGridlines/>
        <c:title>
          <c:tx>
            <c:rich>
              <a:bodyPr/>
              <a:lstStyle/>
              <a:p>
                <a:pPr>
                  <a:defRPr/>
                </a:pPr>
                <a:r>
                  <a:rPr lang="en-US"/>
                  <a:t>Temperature C</a:t>
                </a:r>
              </a:p>
            </c:rich>
          </c:tx>
          <c:layout>
            <c:manualLayout>
              <c:xMode val="edge"/>
              <c:yMode val="edge"/>
              <c:x val="9.9228346456693733E-2"/>
              <c:y val="0.27897643563785557"/>
            </c:manualLayout>
          </c:layout>
          <c:overlay val="0"/>
        </c:title>
        <c:numFmt formatCode="0.00" sourceLinked="1"/>
        <c:majorTickMark val="none"/>
        <c:minorTickMark val="none"/>
        <c:tickLblPos val="nextTo"/>
        <c:crossAx val="154146304"/>
        <c:crosses val="autoZero"/>
        <c:crossBetween val="between"/>
      </c:valAx>
      <c:dTable>
        <c:showHorzBorder val="1"/>
        <c:showVertBorder val="1"/>
        <c:showOutline val="1"/>
        <c:showKeys val="1"/>
        <c:txPr>
          <a:bodyPr/>
          <a:lstStyle/>
          <a:p>
            <a:pPr rtl="0">
              <a:defRPr sz="900"/>
            </a:pPr>
            <a:endParaRPr lang="en-US"/>
          </a:p>
        </c:txPr>
      </c:dTable>
    </c:plotArea>
    <c:plotVisOnly val="1"/>
    <c:dispBlanksAs val="gap"/>
    <c:showDLblsOverMax val="0"/>
  </c:chart>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c:spPr>
  <c:printSettings>
    <c:headerFooter/>
    <c:pageMargins b="0.75000000000000255" l="0.70000000000000062" r="0.70000000000000062" t="0.75000000000000255" header="0.30000000000000032" footer="0.30000000000000032"/>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Segment 1e pH</a:t>
            </a:r>
          </a:p>
        </c:rich>
      </c:tx>
      <c:overlay val="0"/>
    </c:title>
    <c:autoTitleDeleted val="0"/>
    <c:plotArea>
      <c:layout/>
      <c:lineChart>
        <c:grouping val="standard"/>
        <c:varyColors val="0"/>
        <c:ser>
          <c:idx val="0"/>
          <c:order val="0"/>
          <c:tx>
            <c:strRef>
              <c:f>'MWS 2013 Field'!$C$29:$C$37</c:f>
              <c:strCache>
                <c:ptCount val="9"/>
                <c:pt idx="0">
                  <c:v>Little Bear Evergreen</c:v>
                </c:pt>
              </c:strCache>
            </c:strRef>
          </c:tx>
          <c:marker>
            <c:symbol val="none"/>
          </c:marker>
          <c:cat>
            <c:numRef>
              <c:f>'MWS 2013 Field'!$D$29:$D$37</c:f>
              <c:numCache>
                <c:formatCode>m/d/yyyy</c:formatCode>
                <c:ptCount val="9"/>
                <c:pt idx="0">
                  <c:v>41361</c:v>
                </c:pt>
                <c:pt idx="1">
                  <c:v>41389</c:v>
                </c:pt>
                <c:pt idx="2">
                  <c:v>41415</c:v>
                </c:pt>
                <c:pt idx="3">
                  <c:v>41443</c:v>
                </c:pt>
                <c:pt idx="4">
                  <c:v>41478</c:v>
                </c:pt>
                <c:pt idx="5">
                  <c:v>41513</c:v>
                </c:pt>
                <c:pt idx="6">
                  <c:v>41542</c:v>
                </c:pt>
                <c:pt idx="7">
                  <c:v>41570</c:v>
                </c:pt>
                <c:pt idx="8">
                  <c:v>41603</c:v>
                </c:pt>
              </c:numCache>
            </c:numRef>
          </c:cat>
          <c:val>
            <c:numRef>
              <c:f>'MWS 2013 Field'!$F$29:$F$37</c:f>
              <c:numCache>
                <c:formatCode>0.00</c:formatCode>
                <c:ptCount val="9"/>
                <c:pt idx="0">
                  <c:v>8.39</c:v>
                </c:pt>
                <c:pt idx="1">
                  <c:v>8.58</c:v>
                </c:pt>
                <c:pt idx="2">
                  <c:v>7.88</c:v>
                </c:pt>
                <c:pt idx="3">
                  <c:v>7.92</c:v>
                </c:pt>
                <c:pt idx="4">
                  <c:v>7.67</c:v>
                </c:pt>
                <c:pt idx="5">
                  <c:v>7.76</c:v>
                </c:pt>
                <c:pt idx="6">
                  <c:v>7.9</c:v>
                </c:pt>
                <c:pt idx="7">
                  <c:v>7.59</c:v>
                </c:pt>
                <c:pt idx="8">
                  <c:v>7.64</c:v>
                </c:pt>
              </c:numCache>
            </c:numRef>
          </c:val>
          <c:smooth val="0"/>
          <c:extLst>
            <c:ext xmlns:c16="http://schemas.microsoft.com/office/drawing/2014/chart" uri="{C3380CC4-5D6E-409C-BE32-E72D297353CC}">
              <c16:uniqueId val="{00000000-0093-4B15-8E9D-59C5B18D9CE4}"/>
            </c:ext>
          </c:extLst>
        </c:ser>
        <c:ser>
          <c:idx val="1"/>
          <c:order val="1"/>
          <c:tx>
            <c:strRef>
              <c:f>'MWS 2013 Field'!$C$38:$C$46</c:f>
              <c:strCache>
                <c:ptCount val="9"/>
                <c:pt idx="0">
                  <c:v>Bear Creek Cabins </c:v>
                </c:pt>
              </c:strCache>
            </c:strRef>
          </c:tx>
          <c:marker>
            <c:symbol val="none"/>
          </c:marker>
          <c:val>
            <c:numRef>
              <c:f>'MWS 2013 Field'!$F$38:$F$46</c:f>
              <c:numCache>
                <c:formatCode>0.00</c:formatCode>
                <c:ptCount val="9"/>
                <c:pt idx="0">
                  <c:v>8.15</c:v>
                </c:pt>
                <c:pt idx="1">
                  <c:v>8.27</c:v>
                </c:pt>
                <c:pt idx="2">
                  <c:v>7.75</c:v>
                </c:pt>
                <c:pt idx="3">
                  <c:v>7.85</c:v>
                </c:pt>
                <c:pt idx="4">
                  <c:v>7.68</c:v>
                </c:pt>
                <c:pt idx="5">
                  <c:v>7.67</c:v>
                </c:pt>
                <c:pt idx="6">
                  <c:v>7.92</c:v>
                </c:pt>
                <c:pt idx="7">
                  <c:v>7.62</c:v>
                </c:pt>
                <c:pt idx="8">
                  <c:v>8.11</c:v>
                </c:pt>
              </c:numCache>
            </c:numRef>
          </c:val>
          <c:smooth val="0"/>
          <c:extLst>
            <c:ext xmlns:c16="http://schemas.microsoft.com/office/drawing/2014/chart" uri="{C3380CC4-5D6E-409C-BE32-E72D297353CC}">
              <c16:uniqueId val="{00000001-0093-4B15-8E9D-59C5B18D9CE4}"/>
            </c:ext>
          </c:extLst>
        </c:ser>
        <c:ser>
          <c:idx val="2"/>
          <c:order val="2"/>
          <c:tx>
            <c:strRef>
              <c:f>'MWS 2013 Field'!$C$47:$C$55</c:f>
              <c:strCache>
                <c:ptCount val="9"/>
                <c:pt idx="0">
                  <c:v>O'Fallon Park</c:v>
                </c:pt>
              </c:strCache>
            </c:strRef>
          </c:tx>
          <c:marker>
            <c:symbol val="none"/>
          </c:marker>
          <c:val>
            <c:numRef>
              <c:f>'MWS 2013 Field'!$F$47:$F$55</c:f>
              <c:numCache>
                <c:formatCode>0.00</c:formatCode>
                <c:ptCount val="9"/>
                <c:pt idx="0">
                  <c:v>8.1199999999999992</c:v>
                </c:pt>
                <c:pt idx="1">
                  <c:v>8.4499999999999993</c:v>
                </c:pt>
                <c:pt idx="2">
                  <c:v>8.2200000000000006</c:v>
                </c:pt>
                <c:pt idx="3">
                  <c:v>8.1999999999999993</c:v>
                </c:pt>
                <c:pt idx="4">
                  <c:v>8.17</c:v>
                </c:pt>
                <c:pt idx="5">
                  <c:v>8.15</c:v>
                </c:pt>
                <c:pt idx="6">
                  <c:v>8.17</c:v>
                </c:pt>
                <c:pt idx="7">
                  <c:v>8.1</c:v>
                </c:pt>
                <c:pt idx="8">
                  <c:v>8.67</c:v>
                </c:pt>
              </c:numCache>
            </c:numRef>
          </c:val>
          <c:smooth val="0"/>
          <c:extLst>
            <c:ext xmlns:c16="http://schemas.microsoft.com/office/drawing/2014/chart" uri="{C3380CC4-5D6E-409C-BE32-E72D297353CC}">
              <c16:uniqueId val="{00000002-0093-4B15-8E9D-59C5B18D9CE4}"/>
            </c:ext>
          </c:extLst>
        </c:ser>
        <c:ser>
          <c:idx val="3"/>
          <c:order val="3"/>
          <c:tx>
            <c:strRef>
              <c:f>'MWS 2013 Field'!$C$56:$C$64</c:f>
              <c:strCache>
                <c:ptCount val="9"/>
                <c:pt idx="0">
                  <c:v>Lair o' the Bear </c:v>
                </c:pt>
              </c:strCache>
            </c:strRef>
          </c:tx>
          <c:marker>
            <c:symbol val="none"/>
          </c:marker>
          <c:val>
            <c:numRef>
              <c:f>'MWS 2013 Field'!$F$56:$F$64</c:f>
              <c:numCache>
                <c:formatCode>0.00</c:formatCode>
                <c:ptCount val="9"/>
                <c:pt idx="0">
                  <c:v>8.35</c:v>
                </c:pt>
                <c:pt idx="1">
                  <c:v>8.4700000000000006</c:v>
                </c:pt>
                <c:pt idx="2">
                  <c:v>7.88</c:v>
                </c:pt>
                <c:pt idx="3">
                  <c:v>7.99</c:v>
                </c:pt>
                <c:pt idx="4">
                  <c:v>8.01</c:v>
                </c:pt>
                <c:pt idx="5">
                  <c:v>7.94</c:v>
                </c:pt>
                <c:pt idx="6">
                  <c:v>8.08</c:v>
                </c:pt>
                <c:pt idx="7">
                  <c:v>7.86</c:v>
                </c:pt>
                <c:pt idx="8">
                  <c:v>8.4</c:v>
                </c:pt>
              </c:numCache>
            </c:numRef>
          </c:val>
          <c:smooth val="0"/>
          <c:extLst>
            <c:ext xmlns:c16="http://schemas.microsoft.com/office/drawing/2014/chart" uri="{C3380CC4-5D6E-409C-BE32-E72D297353CC}">
              <c16:uniqueId val="{00000003-0093-4B15-8E9D-59C5B18D9CE4}"/>
            </c:ext>
          </c:extLst>
        </c:ser>
        <c:ser>
          <c:idx val="4"/>
          <c:order val="4"/>
          <c:tx>
            <c:strRef>
              <c:f>'MWS 2013 Field'!$C$65:$C$73</c:f>
              <c:strCache>
                <c:ptCount val="9"/>
                <c:pt idx="0">
                  <c:v> Idledale, Shady Lane</c:v>
                </c:pt>
              </c:strCache>
            </c:strRef>
          </c:tx>
          <c:marker>
            <c:symbol val="none"/>
          </c:marker>
          <c:val>
            <c:numRef>
              <c:f>'MWS 2013 Field'!$F$65:$F$73</c:f>
              <c:numCache>
                <c:formatCode>0.00</c:formatCode>
                <c:ptCount val="9"/>
                <c:pt idx="0">
                  <c:v>8.0399999999999991</c:v>
                </c:pt>
                <c:pt idx="1">
                  <c:v>8.5500000000000007</c:v>
                </c:pt>
                <c:pt idx="2">
                  <c:v>7.87</c:v>
                </c:pt>
                <c:pt idx="3">
                  <c:v>7.94</c:v>
                </c:pt>
                <c:pt idx="4">
                  <c:v>7.96</c:v>
                </c:pt>
                <c:pt idx="5">
                  <c:v>7.9</c:v>
                </c:pt>
                <c:pt idx="6">
                  <c:v>8.1199999999999992</c:v>
                </c:pt>
                <c:pt idx="7">
                  <c:v>7.87</c:v>
                </c:pt>
                <c:pt idx="8">
                  <c:v>8.3699999999999992</c:v>
                </c:pt>
              </c:numCache>
            </c:numRef>
          </c:val>
          <c:smooth val="0"/>
          <c:extLst>
            <c:ext xmlns:c16="http://schemas.microsoft.com/office/drawing/2014/chart" uri="{C3380CC4-5D6E-409C-BE32-E72D297353CC}">
              <c16:uniqueId val="{00000004-0093-4B15-8E9D-59C5B18D9CE4}"/>
            </c:ext>
          </c:extLst>
        </c:ser>
        <c:ser>
          <c:idx val="5"/>
          <c:order val="5"/>
          <c:tx>
            <c:strRef>
              <c:f>'MWS 2013 Field'!$C$74:$C$82</c:f>
              <c:strCache>
                <c:ptCount val="9"/>
                <c:pt idx="0">
                  <c:v>Morrison Park west</c:v>
                </c:pt>
              </c:strCache>
            </c:strRef>
          </c:tx>
          <c:marker>
            <c:symbol val="none"/>
          </c:marker>
          <c:val>
            <c:numRef>
              <c:f>'MWS 2013 Field'!$F$74:$F$82</c:f>
              <c:numCache>
                <c:formatCode>0.00</c:formatCode>
                <c:ptCount val="9"/>
                <c:pt idx="0">
                  <c:v>8.31</c:v>
                </c:pt>
                <c:pt idx="1">
                  <c:v>8.5500000000000007</c:v>
                </c:pt>
                <c:pt idx="2">
                  <c:v>7.87</c:v>
                </c:pt>
                <c:pt idx="3">
                  <c:v>7.83</c:v>
                </c:pt>
                <c:pt idx="4">
                  <c:v>7.97</c:v>
                </c:pt>
                <c:pt idx="5">
                  <c:v>7.86</c:v>
                </c:pt>
                <c:pt idx="6">
                  <c:v>8.1199999999999992</c:v>
                </c:pt>
                <c:pt idx="7">
                  <c:v>7.73</c:v>
                </c:pt>
                <c:pt idx="8">
                  <c:v>7.94</c:v>
                </c:pt>
              </c:numCache>
            </c:numRef>
          </c:val>
          <c:smooth val="0"/>
          <c:extLst>
            <c:ext xmlns:c16="http://schemas.microsoft.com/office/drawing/2014/chart" uri="{C3380CC4-5D6E-409C-BE32-E72D297353CC}">
              <c16:uniqueId val="{00000005-0093-4B15-8E9D-59C5B18D9CE4}"/>
            </c:ext>
          </c:extLst>
        </c:ser>
        <c:dLbls>
          <c:showLegendKey val="0"/>
          <c:showVal val="0"/>
          <c:showCatName val="0"/>
          <c:showSerName val="0"/>
          <c:showPercent val="0"/>
          <c:showBubbleSize val="0"/>
        </c:dLbls>
        <c:smooth val="0"/>
        <c:axId val="154231168"/>
        <c:axId val="154232704"/>
      </c:lineChart>
      <c:dateAx>
        <c:axId val="154231168"/>
        <c:scaling>
          <c:orientation val="minMax"/>
        </c:scaling>
        <c:delete val="0"/>
        <c:axPos val="b"/>
        <c:numFmt formatCode="[$-409]mmmmm;@" sourceLinked="0"/>
        <c:majorTickMark val="none"/>
        <c:minorTickMark val="none"/>
        <c:tickLblPos val="nextTo"/>
        <c:crossAx val="154232704"/>
        <c:crosses val="autoZero"/>
        <c:auto val="1"/>
        <c:lblOffset val="100"/>
        <c:baseTimeUnit val="days"/>
        <c:majorUnit val="1"/>
        <c:majorTimeUnit val="months"/>
      </c:dateAx>
      <c:valAx>
        <c:axId val="154232704"/>
        <c:scaling>
          <c:orientation val="minMax"/>
          <c:max val="8.7000000000000011"/>
          <c:min val="7.4"/>
        </c:scaling>
        <c:delete val="0"/>
        <c:axPos val="l"/>
        <c:majorGridlines/>
        <c:title>
          <c:tx>
            <c:rich>
              <a:bodyPr/>
              <a:lstStyle/>
              <a:p>
                <a:pPr>
                  <a:defRPr/>
                </a:pPr>
                <a:r>
                  <a:rPr lang="en-US"/>
                  <a:t>pH</a:t>
                </a:r>
              </a:p>
            </c:rich>
          </c:tx>
          <c:layout>
            <c:manualLayout>
              <c:xMode val="edge"/>
              <c:yMode val="edge"/>
              <c:x val="0.1360544217687075"/>
              <c:y val="0.34498810329752227"/>
            </c:manualLayout>
          </c:layout>
          <c:overlay val="0"/>
        </c:title>
        <c:numFmt formatCode="0.00" sourceLinked="1"/>
        <c:majorTickMark val="none"/>
        <c:minorTickMark val="none"/>
        <c:tickLblPos val="nextTo"/>
        <c:crossAx val="154231168"/>
        <c:crosses val="autoZero"/>
        <c:crossBetween val="between"/>
      </c:valAx>
      <c:dTable>
        <c:showHorzBorder val="1"/>
        <c:showVertBorder val="1"/>
        <c:showOutline val="1"/>
        <c:showKeys val="1"/>
        <c:txPr>
          <a:bodyPr/>
          <a:lstStyle/>
          <a:p>
            <a:pPr rtl="0">
              <a:defRPr sz="900"/>
            </a:pPr>
            <a:endParaRPr lang="en-US"/>
          </a:p>
        </c:txPr>
      </c:dTable>
    </c:plotArea>
    <c:plotVisOnly val="1"/>
    <c:dispBlanksAs val="gap"/>
    <c:showDLblsOverMax val="0"/>
  </c:chart>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c:spPr>
  <c:printSettings>
    <c:headerFooter/>
    <c:pageMargins b="0.75000000000000255" l="0.70000000000000062" r="0.70000000000000062" t="0.75000000000000255" header="0.30000000000000032" footer="0.30000000000000032"/>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Segment 1e Dissolved Oxygen</a:t>
            </a:r>
          </a:p>
        </c:rich>
      </c:tx>
      <c:overlay val="0"/>
    </c:title>
    <c:autoTitleDeleted val="0"/>
    <c:plotArea>
      <c:layout>
        <c:manualLayout>
          <c:layoutTarget val="inner"/>
          <c:xMode val="edge"/>
          <c:yMode val="edge"/>
          <c:x val="0.23579155698321216"/>
          <c:y val="0.15672639134393984"/>
          <c:w val="0.73699565904777775"/>
          <c:h val="0.54183994857785633"/>
        </c:manualLayout>
      </c:layout>
      <c:lineChart>
        <c:grouping val="standard"/>
        <c:varyColors val="0"/>
        <c:ser>
          <c:idx val="0"/>
          <c:order val="0"/>
          <c:tx>
            <c:strRef>
              <c:f>'MWS 2013 Field'!$C$29:$C$37</c:f>
              <c:strCache>
                <c:ptCount val="9"/>
                <c:pt idx="0">
                  <c:v>Little Bear Evergreen</c:v>
                </c:pt>
              </c:strCache>
            </c:strRef>
          </c:tx>
          <c:marker>
            <c:symbol val="none"/>
          </c:marker>
          <c:cat>
            <c:numRef>
              <c:f>'MWS 2013 Field'!$D$29:$D$37</c:f>
              <c:numCache>
                <c:formatCode>m/d/yyyy</c:formatCode>
                <c:ptCount val="9"/>
                <c:pt idx="0">
                  <c:v>41361</c:v>
                </c:pt>
                <c:pt idx="1">
                  <c:v>41389</c:v>
                </c:pt>
                <c:pt idx="2">
                  <c:v>41415</c:v>
                </c:pt>
                <c:pt idx="3">
                  <c:v>41443</c:v>
                </c:pt>
                <c:pt idx="4">
                  <c:v>41478</c:v>
                </c:pt>
                <c:pt idx="5">
                  <c:v>41513</c:v>
                </c:pt>
                <c:pt idx="6">
                  <c:v>41542</c:v>
                </c:pt>
                <c:pt idx="7">
                  <c:v>41570</c:v>
                </c:pt>
                <c:pt idx="8">
                  <c:v>41603</c:v>
                </c:pt>
              </c:numCache>
            </c:numRef>
          </c:cat>
          <c:val>
            <c:numRef>
              <c:f>'MWS 2013 Field'!$H$29:$H$37</c:f>
              <c:numCache>
                <c:formatCode>0.00</c:formatCode>
                <c:ptCount val="9"/>
                <c:pt idx="0">
                  <c:v>12.89</c:v>
                </c:pt>
                <c:pt idx="1">
                  <c:v>12.08</c:v>
                </c:pt>
                <c:pt idx="2">
                  <c:v>8.9499999999999993</c:v>
                </c:pt>
                <c:pt idx="3">
                  <c:v>8.9499999999999993</c:v>
                </c:pt>
                <c:pt idx="4">
                  <c:v>7.65</c:v>
                </c:pt>
                <c:pt idx="5">
                  <c:v>7.46</c:v>
                </c:pt>
                <c:pt idx="6">
                  <c:v>11.15</c:v>
                </c:pt>
                <c:pt idx="7">
                  <c:v>12.1</c:v>
                </c:pt>
                <c:pt idx="8">
                  <c:v>12.37</c:v>
                </c:pt>
              </c:numCache>
            </c:numRef>
          </c:val>
          <c:smooth val="0"/>
          <c:extLst>
            <c:ext xmlns:c16="http://schemas.microsoft.com/office/drawing/2014/chart" uri="{C3380CC4-5D6E-409C-BE32-E72D297353CC}">
              <c16:uniqueId val="{00000000-BA75-4DAF-8507-3A158E7FBDF7}"/>
            </c:ext>
          </c:extLst>
        </c:ser>
        <c:ser>
          <c:idx val="1"/>
          <c:order val="1"/>
          <c:tx>
            <c:strRef>
              <c:f>'MWS 2013 Field'!$C$38:$C$46</c:f>
              <c:strCache>
                <c:ptCount val="9"/>
                <c:pt idx="0">
                  <c:v>Bear Creek Cabins </c:v>
                </c:pt>
              </c:strCache>
            </c:strRef>
          </c:tx>
          <c:marker>
            <c:symbol val="none"/>
          </c:marker>
          <c:val>
            <c:numRef>
              <c:f>'MWS 2013 Field'!$H$38:$H$46</c:f>
              <c:numCache>
                <c:formatCode>0.00</c:formatCode>
                <c:ptCount val="9"/>
                <c:pt idx="0">
                  <c:v>13.05</c:v>
                </c:pt>
                <c:pt idx="1">
                  <c:v>12</c:v>
                </c:pt>
                <c:pt idx="2">
                  <c:v>8.8800000000000008</c:v>
                </c:pt>
                <c:pt idx="3">
                  <c:v>8.8800000000000008</c:v>
                </c:pt>
                <c:pt idx="4">
                  <c:v>8.1199999999999992</c:v>
                </c:pt>
                <c:pt idx="5">
                  <c:v>7.57</c:v>
                </c:pt>
                <c:pt idx="6">
                  <c:v>11.15</c:v>
                </c:pt>
                <c:pt idx="7">
                  <c:v>11.77</c:v>
                </c:pt>
                <c:pt idx="8">
                  <c:v>12.77</c:v>
                </c:pt>
              </c:numCache>
            </c:numRef>
          </c:val>
          <c:smooth val="0"/>
          <c:extLst>
            <c:ext xmlns:c16="http://schemas.microsoft.com/office/drawing/2014/chart" uri="{C3380CC4-5D6E-409C-BE32-E72D297353CC}">
              <c16:uniqueId val="{00000001-BA75-4DAF-8507-3A158E7FBDF7}"/>
            </c:ext>
          </c:extLst>
        </c:ser>
        <c:ser>
          <c:idx val="2"/>
          <c:order val="2"/>
          <c:tx>
            <c:strRef>
              <c:f>'MWS 2013 Field'!$C$47:$C$55</c:f>
              <c:strCache>
                <c:ptCount val="9"/>
                <c:pt idx="0">
                  <c:v>O'Fallon Park</c:v>
                </c:pt>
              </c:strCache>
            </c:strRef>
          </c:tx>
          <c:marker>
            <c:symbol val="none"/>
          </c:marker>
          <c:val>
            <c:numRef>
              <c:f>'MWS 2013 Field'!$H$47:$H$55</c:f>
              <c:numCache>
                <c:formatCode>0.00</c:formatCode>
                <c:ptCount val="9"/>
                <c:pt idx="0">
                  <c:v>13.28</c:v>
                </c:pt>
                <c:pt idx="1">
                  <c:v>13.1</c:v>
                </c:pt>
                <c:pt idx="2">
                  <c:v>8.93</c:v>
                </c:pt>
                <c:pt idx="3">
                  <c:v>8.93</c:v>
                </c:pt>
                <c:pt idx="4">
                  <c:v>8.69</c:v>
                </c:pt>
                <c:pt idx="5">
                  <c:v>7.65</c:v>
                </c:pt>
                <c:pt idx="6">
                  <c:v>10.66</c:v>
                </c:pt>
                <c:pt idx="7">
                  <c:v>11.81</c:v>
                </c:pt>
                <c:pt idx="8">
                  <c:v>13.13</c:v>
                </c:pt>
              </c:numCache>
            </c:numRef>
          </c:val>
          <c:smooth val="0"/>
          <c:extLst>
            <c:ext xmlns:c16="http://schemas.microsoft.com/office/drawing/2014/chart" uri="{C3380CC4-5D6E-409C-BE32-E72D297353CC}">
              <c16:uniqueId val="{00000002-BA75-4DAF-8507-3A158E7FBDF7}"/>
            </c:ext>
          </c:extLst>
        </c:ser>
        <c:ser>
          <c:idx val="3"/>
          <c:order val="3"/>
          <c:tx>
            <c:strRef>
              <c:f>'MWS 2013 Field'!$C$56:$C$64</c:f>
              <c:strCache>
                <c:ptCount val="9"/>
                <c:pt idx="0">
                  <c:v>Lair o' the Bear </c:v>
                </c:pt>
              </c:strCache>
            </c:strRef>
          </c:tx>
          <c:marker>
            <c:symbol val="none"/>
          </c:marker>
          <c:val>
            <c:numRef>
              <c:f>'MWS 2013 Field'!$H$56:$H$64</c:f>
              <c:numCache>
                <c:formatCode>0.00</c:formatCode>
                <c:ptCount val="9"/>
                <c:pt idx="0">
                  <c:v>13.26</c:v>
                </c:pt>
                <c:pt idx="1">
                  <c:v>12.54</c:v>
                </c:pt>
                <c:pt idx="2">
                  <c:v>8.9</c:v>
                </c:pt>
                <c:pt idx="3">
                  <c:v>8.9</c:v>
                </c:pt>
                <c:pt idx="4">
                  <c:v>8.9700000000000006</c:v>
                </c:pt>
                <c:pt idx="5">
                  <c:v>7.59</c:v>
                </c:pt>
                <c:pt idx="6">
                  <c:v>11.24</c:v>
                </c:pt>
                <c:pt idx="7">
                  <c:v>12.28</c:v>
                </c:pt>
                <c:pt idx="8">
                  <c:v>12.04</c:v>
                </c:pt>
              </c:numCache>
            </c:numRef>
          </c:val>
          <c:smooth val="0"/>
          <c:extLst>
            <c:ext xmlns:c16="http://schemas.microsoft.com/office/drawing/2014/chart" uri="{C3380CC4-5D6E-409C-BE32-E72D297353CC}">
              <c16:uniqueId val="{00000003-BA75-4DAF-8507-3A158E7FBDF7}"/>
            </c:ext>
          </c:extLst>
        </c:ser>
        <c:ser>
          <c:idx val="4"/>
          <c:order val="4"/>
          <c:tx>
            <c:strRef>
              <c:f>'MWS 2013 Field'!$C$65:$C$73</c:f>
              <c:strCache>
                <c:ptCount val="9"/>
                <c:pt idx="0">
                  <c:v> Idledale, Shady Lane</c:v>
                </c:pt>
              </c:strCache>
            </c:strRef>
          </c:tx>
          <c:marker>
            <c:symbol val="none"/>
          </c:marker>
          <c:val>
            <c:numRef>
              <c:f>'MWS 2013 Field'!$H$65:$H$73</c:f>
              <c:numCache>
                <c:formatCode>0.00</c:formatCode>
                <c:ptCount val="9"/>
                <c:pt idx="0">
                  <c:v>12.75</c:v>
                </c:pt>
                <c:pt idx="1">
                  <c:v>11.86</c:v>
                </c:pt>
                <c:pt idx="2">
                  <c:v>8.67</c:v>
                </c:pt>
                <c:pt idx="3">
                  <c:v>8.9499999999999993</c:v>
                </c:pt>
                <c:pt idx="4">
                  <c:v>8.3000000000000007</c:v>
                </c:pt>
                <c:pt idx="5">
                  <c:v>8.66</c:v>
                </c:pt>
                <c:pt idx="6">
                  <c:v>10.65</c:v>
                </c:pt>
                <c:pt idx="7">
                  <c:v>12.09</c:v>
                </c:pt>
                <c:pt idx="8">
                  <c:v>12.92</c:v>
                </c:pt>
              </c:numCache>
            </c:numRef>
          </c:val>
          <c:smooth val="0"/>
          <c:extLst>
            <c:ext xmlns:c16="http://schemas.microsoft.com/office/drawing/2014/chart" uri="{C3380CC4-5D6E-409C-BE32-E72D297353CC}">
              <c16:uniqueId val="{00000004-BA75-4DAF-8507-3A158E7FBDF7}"/>
            </c:ext>
          </c:extLst>
        </c:ser>
        <c:ser>
          <c:idx val="5"/>
          <c:order val="5"/>
          <c:tx>
            <c:strRef>
              <c:f>'MWS 2013 Field'!$C$74:$C$82</c:f>
              <c:strCache>
                <c:ptCount val="9"/>
                <c:pt idx="0">
                  <c:v>Morrison Park west</c:v>
                </c:pt>
              </c:strCache>
            </c:strRef>
          </c:tx>
          <c:marker>
            <c:symbol val="none"/>
          </c:marker>
          <c:val>
            <c:numRef>
              <c:f>'MWS 2013 Field'!$H$74:$H$82</c:f>
              <c:numCache>
                <c:formatCode>0.00</c:formatCode>
                <c:ptCount val="9"/>
                <c:pt idx="0">
                  <c:v>12.9</c:v>
                </c:pt>
                <c:pt idx="1">
                  <c:v>11.87</c:v>
                </c:pt>
                <c:pt idx="2">
                  <c:v>9.23</c:v>
                </c:pt>
                <c:pt idx="3">
                  <c:v>9.2100000000000009</c:v>
                </c:pt>
                <c:pt idx="4">
                  <c:v>9.2799999999999994</c:v>
                </c:pt>
                <c:pt idx="5">
                  <c:v>7.72</c:v>
                </c:pt>
                <c:pt idx="6">
                  <c:v>10.78</c:v>
                </c:pt>
                <c:pt idx="7">
                  <c:v>12.43</c:v>
                </c:pt>
                <c:pt idx="8">
                  <c:v>12.6</c:v>
                </c:pt>
              </c:numCache>
            </c:numRef>
          </c:val>
          <c:smooth val="0"/>
          <c:extLst>
            <c:ext xmlns:c16="http://schemas.microsoft.com/office/drawing/2014/chart" uri="{C3380CC4-5D6E-409C-BE32-E72D297353CC}">
              <c16:uniqueId val="{00000005-BA75-4DAF-8507-3A158E7FBDF7}"/>
            </c:ext>
          </c:extLst>
        </c:ser>
        <c:dLbls>
          <c:showLegendKey val="0"/>
          <c:showVal val="0"/>
          <c:showCatName val="0"/>
          <c:showSerName val="0"/>
          <c:showPercent val="0"/>
          <c:showBubbleSize val="0"/>
        </c:dLbls>
        <c:smooth val="0"/>
        <c:axId val="154283008"/>
        <c:axId val="154297088"/>
      </c:lineChart>
      <c:dateAx>
        <c:axId val="154283008"/>
        <c:scaling>
          <c:orientation val="minMax"/>
        </c:scaling>
        <c:delete val="0"/>
        <c:axPos val="b"/>
        <c:numFmt formatCode="[$-409]mmmmm;@" sourceLinked="0"/>
        <c:majorTickMark val="none"/>
        <c:minorTickMark val="none"/>
        <c:tickLblPos val="nextTo"/>
        <c:crossAx val="154297088"/>
        <c:crosses val="autoZero"/>
        <c:auto val="1"/>
        <c:lblOffset val="100"/>
        <c:baseTimeUnit val="days"/>
        <c:majorUnit val="1"/>
        <c:majorTimeUnit val="months"/>
      </c:dateAx>
      <c:valAx>
        <c:axId val="154297088"/>
        <c:scaling>
          <c:orientation val="minMax"/>
          <c:min val="6"/>
        </c:scaling>
        <c:delete val="0"/>
        <c:axPos val="l"/>
        <c:majorGridlines/>
        <c:title>
          <c:tx>
            <c:rich>
              <a:bodyPr/>
              <a:lstStyle/>
              <a:p>
                <a:pPr>
                  <a:defRPr/>
                </a:pPr>
                <a:r>
                  <a:rPr lang="en-US"/>
                  <a:t>Dissolved Oxygen mg/l</a:t>
                </a:r>
              </a:p>
            </c:rich>
          </c:tx>
          <c:layout>
            <c:manualLayout>
              <c:xMode val="edge"/>
              <c:yMode val="edge"/>
              <c:x val="0.12567501227295017"/>
              <c:y val="0.21179636329242768"/>
            </c:manualLayout>
          </c:layout>
          <c:overlay val="0"/>
        </c:title>
        <c:numFmt formatCode="0.00" sourceLinked="1"/>
        <c:majorTickMark val="none"/>
        <c:minorTickMark val="none"/>
        <c:tickLblPos val="nextTo"/>
        <c:crossAx val="154283008"/>
        <c:crosses val="autoZero"/>
        <c:crossBetween val="between"/>
      </c:valAx>
      <c:dTable>
        <c:showHorzBorder val="1"/>
        <c:showVertBorder val="1"/>
        <c:showOutline val="1"/>
        <c:showKeys val="1"/>
        <c:txPr>
          <a:bodyPr/>
          <a:lstStyle/>
          <a:p>
            <a:pPr rtl="0">
              <a:defRPr sz="900"/>
            </a:pPr>
            <a:endParaRPr lang="en-US"/>
          </a:p>
        </c:txPr>
      </c:dTable>
    </c:plotArea>
    <c:plotVisOnly val="1"/>
    <c:dispBlanksAs val="gap"/>
    <c:showDLblsOverMax val="0"/>
  </c:chart>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c:spPr>
  <c:printSettings>
    <c:headerFooter/>
    <c:pageMargins b="0.75000000000000244" l="0.70000000000000062" r="0.70000000000000062" t="0.75000000000000244" header="0.30000000000000032" footer="0.30000000000000032"/>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Segment 1e Specific Conductance</a:t>
            </a:r>
          </a:p>
        </c:rich>
      </c:tx>
      <c:overlay val="0"/>
    </c:title>
    <c:autoTitleDeleted val="0"/>
    <c:plotArea>
      <c:layout/>
      <c:lineChart>
        <c:grouping val="standard"/>
        <c:varyColors val="0"/>
        <c:ser>
          <c:idx val="0"/>
          <c:order val="0"/>
          <c:tx>
            <c:strRef>
              <c:f>'MWS 2013 Field'!$C$29:$C$37</c:f>
              <c:strCache>
                <c:ptCount val="9"/>
                <c:pt idx="0">
                  <c:v>Little Bear Evergreen</c:v>
                </c:pt>
              </c:strCache>
            </c:strRef>
          </c:tx>
          <c:marker>
            <c:symbol val="none"/>
          </c:marker>
          <c:cat>
            <c:numRef>
              <c:f>'MWS 2013 Field'!$D$29:$D$37</c:f>
              <c:numCache>
                <c:formatCode>m/d/yyyy</c:formatCode>
                <c:ptCount val="9"/>
                <c:pt idx="0">
                  <c:v>41361</c:v>
                </c:pt>
                <c:pt idx="1">
                  <c:v>41389</c:v>
                </c:pt>
                <c:pt idx="2">
                  <c:v>41415</c:v>
                </c:pt>
                <c:pt idx="3">
                  <c:v>41443</c:v>
                </c:pt>
                <c:pt idx="4">
                  <c:v>41478</c:v>
                </c:pt>
                <c:pt idx="5">
                  <c:v>41513</c:v>
                </c:pt>
                <c:pt idx="6">
                  <c:v>41542</c:v>
                </c:pt>
                <c:pt idx="7">
                  <c:v>41570</c:v>
                </c:pt>
                <c:pt idx="8">
                  <c:v>41603</c:v>
                </c:pt>
              </c:numCache>
            </c:numRef>
          </c:cat>
          <c:val>
            <c:numRef>
              <c:f>'MWS 2013 Field'!$I$29:$I$37</c:f>
              <c:numCache>
                <c:formatCode>0.000</c:formatCode>
                <c:ptCount val="9"/>
                <c:pt idx="0">
                  <c:v>0.13300000000000001</c:v>
                </c:pt>
                <c:pt idx="1">
                  <c:v>0.17</c:v>
                </c:pt>
                <c:pt idx="2">
                  <c:v>0.09</c:v>
                </c:pt>
                <c:pt idx="3">
                  <c:v>6.7000000000000004E-2</c:v>
                </c:pt>
                <c:pt idx="4">
                  <c:v>7.4999999999999997E-2</c:v>
                </c:pt>
                <c:pt idx="5">
                  <c:v>6.5000000000000002E-2</c:v>
                </c:pt>
                <c:pt idx="6">
                  <c:v>9.2999999999999999E-2</c:v>
                </c:pt>
                <c:pt idx="7">
                  <c:v>0.10100000000000001</c:v>
                </c:pt>
                <c:pt idx="8">
                  <c:v>9.7000000000000003E-2</c:v>
                </c:pt>
              </c:numCache>
            </c:numRef>
          </c:val>
          <c:smooth val="0"/>
          <c:extLst>
            <c:ext xmlns:c16="http://schemas.microsoft.com/office/drawing/2014/chart" uri="{C3380CC4-5D6E-409C-BE32-E72D297353CC}">
              <c16:uniqueId val="{00000000-7856-48A5-A813-2131B9FC6D06}"/>
            </c:ext>
          </c:extLst>
        </c:ser>
        <c:ser>
          <c:idx val="1"/>
          <c:order val="1"/>
          <c:tx>
            <c:strRef>
              <c:f>'MWS 2013 Field'!$C$38:$C$46</c:f>
              <c:strCache>
                <c:ptCount val="9"/>
                <c:pt idx="0">
                  <c:v>Bear Creek Cabins </c:v>
                </c:pt>
              </c:strCache>
            </c:strRef>
          </c:tx>
          <c:marker>
            <c:symbol val="none"/>
          </c:marker>
          <c:val>
            <c:numRef>
              <c:f>'MWS 2013 Field'!$I$38:$I$46</c:f>
              <c:numCache>
                <c:formatCode>0.000</c:formatCode>
                <c:ptCount val="9"/>
                <c:pt idx="0">
                  <c:v>0.151</c:v>
                </c:pt>
                <c:pt idx="1">
                  <c:v>0.192</c:v>
                </c:pt>
                <c:pt idx="2">
                  <c:v>9.7000000000000003E-2</c:v>
                </c:pt>
                <c:pt idx="3">
                  <c:v>8.2000000000000003E-2</c:v>
                </c:pt>
                <c:pt idx="4">
                  <c:v>9.7000000000000003E-2</c:v>
                </c:pt>
                <c:pt idx="5">
                  <c:v>7.0999999999999994E-2</c:v>
                </c:pt>
                <c:pt idx="6">
                  <c:v>9.2999999999999999E-2</c:v>
                </c:pt>
                <c:pt idx="7">
                  <c:v>0.11</c:v>
                </c:pt>
                <c:pt idx="8">
                  <c:v>0.114</c:v>
                </c:pt>
              </c:numCache>
            </c:numRef>
          </c:val>
          <c:smooth val="0"/>
          <c:extLst>
            <c:ext xmlns:c16="http://schemas.microsoft.com/office/drawing/2014/chart" uri="{C3380CC4-5D6E-409C-BE32-E72D297353CC}">
              <c16:uniqueId val="{00000001-7856-48A5-A813-2131B9FC6D06}"/>
            </c:ext>
          </c:extLst>
        </c:ser>
        <c:ser>
          <c:idx val="2"/>
          <c:order val="2"/>
          <c:tx>
            <c:strRef>
              <c:f>'MWS 2013 Field'!$C$47:$C$55</c:f>
              <c:strCache>
                <c:ptCount val="9"/>
                <c:pt idx="0">
                  <c:v>O'Fallon Park</c:v>
                </c:pt>
              </c:strCache>
            </c:strRef>
          </c:tx>
          <c:marker>
            <c:symbol val="none"/>
          </c:marker>
          <c:val>
            <c:numRef>
              <c:f>'MWS 2013 Field'!$I$47:$I$55</c:f>
              <c:numCache>
                <c:formatCode>0.000</c:formatCode>
                <c:ptCount val="9"/>
                <c:pt idx="0">
                  <c:v>0.11700000000000001</c:v>
                </c:pt>
                <c:pt idx="1">
                  <c:v>0.223</c:v>
                </c:pt>
                <c:pt idx="2">
                  <c:v>0.113</c:v>
                </c:pt>
                <c:pt idx="3">
                  <c:v>9.1999999999999998E-2</c:v>
                </c:pt>
                <c:pt idx="4">
                  <c:v>0.10100000000000001</c:v>
                </c:pt>
                <c:pt idx="5">
                  <c:v>8.3000000000000004E-2</c:v>
                </c:pt>
                <c:pt idx="6">
                  <c:v>0.111</c:v>
                </c:pt>
                <c:pt idx="7">
                  <c:v>0.13800000000000001</c:v>
                </c:pt>
                <c:pt idx="8">
                  <c:v>0.15</c:v>
                </c:pt>
              </c:numCache>
            </c:numRef>
          </c:val>
          <c:smooth val="0"/>
          <c:extLst>
            <c:ext xmlns:c16="http://schemas.microsoft.com/office/drawing/2014/chart" uri="{C3380CC4-5D6E-409C-BE32-E72D297353CC}">
              <c16:uniqueId val="{00000002-7856-48A5-A813-2131B9FC6D06}"/>
            </c:ext>
          </c:extLst>
        </c:ser>
        <c:ser>
          <c:idx val="3"/>
          <c:order val="3"/>
          <c:tx>
            <c:strRef>
              <c:f>'MWS 2013 Field'!$C$56:$C$64</c:f>
              <c:strCache>
                <c:ptCount val="9"/>
                <c:pt idx="0">
                  <c:v>Lair o' the Bear </c:v>
                </c:pt>
              </c:strCache>
            </c:strRef>
          </c:tx>
          <c:marker>
            <c:symbol val="none"/>
          </c:marker>
          <c:val>
            <c:numRef>
              <c:f>'MWS 2013 Field'!$I$56:$I$64</c:f>
              <c:numCache>
                <c:formatCode>0.000</c:formatCode>
                <c:ptCount val="9"/>
                <c:pt idx="0">
                  <c:v>0.25600000000000001</c:v>
                </c:pt>
                <c:pt idx="1">
                  <c:v>0.27200000000000002</c:v>
                </c:pt>
                <c:pt idx="2">
                  <c:v>0.11799999999999999</c:v>
                </c:pt>
                <c:pt idx="3">
                  <c:v>0.109</c:v>
                </c:pt>
                <c:pt idx="4">
                  <c:v>0.124</c:v>
                </c:pt>
                <c:pt idx="5">
                  <c:v>0.1</c:v>
                </c:pt>
                <c:pt idx="6">
                  <c:v>0.122</c:v>
                </c:pt>
                <c:pt idx="7">
                  <c:v>0.161</c:v>
                </c:pt>
                <c:pt idx="8">
                  <c:v>0.17399999999999999</c:v>
                </c:pt>
              </c:numCache>
            </c:numRef>
          </c:val>
          <c:smooth val="0"/>
          <c:extLst>
            <c:ext xmlns:c16="http://schemas.microsoft.com/office/drawing/2014/chart" uri="{C3380CC4-5D6E-409C-BE32-E72D297353CC}">
              <c16:uniqueId val="{00000003-7856-48A5-A813-2131B9FC6D06}"/>
            </c:ext>
          </c:extLst>
        </c:ser>
        <c:ser>
          <c:idx val="4"/>
          <c:order val="4"/>
          <c:tx>
            <c:strRef>
              <c:f>'MWS 2013 Field'!$C$65:$C$73</c:f>
              <c:strCache>
                <c:ptCount val="9"/>
                <c:pt idx="0">
                  <c:v> Idledale, Shady Lane</c:v>
                </c:pt>
              </c:strCache>
            </c:strRef>
          </c:tx>
          <c:marker>
            <c:symbol val="none"/>
          </c:marker>
          <c:val>
            <c:numRef>
              <c:f>'MWS 2013 Field'!$I$65:$I$73</c:f>
              <c:numCache>
                <c:formatCode>0.000</c:formatCode>
                <c:ptCount val="9"/>
                <c:pt idx="0">
                  <c:v>0.26600000000000001</c:v>
                </c:pt>
                <c:pt idx="1">
                  <c:v>0.27</c:v>
                </c:pt>
                <c:pt idx="2">
                  <c:v>0.121</c:v>
                </c:pt>
                <c:pt idx="3">
                  <c:v>8.3000000000000004E-2</c:v>
                </c:pt>
                <c:pt idx="4">
                  <c:v>0.13900000000000001</c:v>
                </c:pt>
                <c:pt idx="5">
                  <c:v>0.10100000000000001</c:v>
                </c:pt>
                <c:pt idx="6">
                  <c:v>0.124</c:v>
                </c:pt>
                <c:pt idx="7">
                  <c:v>0.16</c:v>
                </c:pt>
                <c:pt idx="8">
                  <c:v>0.16800000000000001</c:v>
                </c:pt>
              </c:numCache>
            </c:numRef>
          </c:val>
          <c:smooth val="0"/>
          <c:extLst>
            <c:ext xmlns:c16="http://schemas.microsoft.com/office/drawing/2014/chart" uri="{C3380CC4-5D6E-409C-BE32-E72D297353CC}">
              <c16:uniqueId val="{00000004-7856-48A5-A813-2131B9FC6D06}"/>
            </c:ext>
          </c:extLst>
        </c:ser>
        <c:ser>
          <c:idx val="5"/>
          <c:order val="5"/>
          <c:tx>
            <c:strRef>
              <c:f>'MWS 2013 Field'!$C$74:$C$82</c:f>
              <c:strCache>
                <c:ptCount val="9"/>
                <c:pt idx="0">
                  <c:v>Morrison Park west</c:v>
                </c:pt>
              </c:strCache>
            </c:strRef>
          </c:tx>
          <c:marker>
            <c:symbol val="none"/>
          </c:marker>
          <c:val>
            <c:numRef>
              <c:f>'MWS 2013 Field'!$I$74:$I$82</c:f>
              <c:numCache>
                <c:formatCode>0.000</c:formatCode>
                <c:ptCount val="9"/>
                <c:pt idx="0">
                  <c:v>0.30299999999999999</c:v>
                </c:pt>
                <c:pt idx="1">
                  <c:v>0.313</c:v>
                </c:pt>
                <c:pt idx="2">
                  <c:v>0.123</c:v>
                </c:pt>
                <c:pt idx="3">
                  <c:v>0.11600000000000001</c:v>
                </c:pt>
                <c:pt idx="4">
                  <c:v>0.129</c:v>
                </c:pt>
                <c:pt idx="5">
                  <c:v>0.111</c:v>
                </c:pt>
                <c:pt idx="6">
                  <c:v>0.126</c:v>
                </c:pt>
                <c:pt idx="7">
                  <c:v>0.158</c:v>
                </c:pt>
                <c:pt idx="8">
                  <c:v>0.17100000000000001</c:v>
                </c:pt>
              </c:numCache>
            </c:numRef>
          </c:val>
          <c:smooth val="0"/>
          <c:extLst>
            <c:ext xmlns:c16="http://schemas.microsoft.com/office/drawing/2014/chart" uri="{C3380CC4-5D6E-409C-BE32-E72D297353CC}">
              <c16:uniqueId val="{00000005-7856-48A5-A813-2131B9FC6D06}"/>
            </c:ext>
          </c:extLst>
        </c:ser>
        <c:dLbls>
          <c:showLegendKey val="0"/>
          <c:showVal val="0"/>
          <c:showCatName val="0"/>
          <c:showSerName val="0"/>
          <c:showPercent val="0"/>
          <c:showBubbleSize val="0"/>
        </c:dLbls>
        <c:smooth val="0"/>
        <c:axId val="154351488"/>
        <c:axId val="154353024"/>
      </c:lineChart>
      <c:dateAx>
        <c:axId val="154351488"/>
        <c:scaling>
          <c:orientation val="minMax"/>
        </c:scaling>
        <c:delete val="0"/>
        <c:axPos val="b"/>
        <c:numFmt formatCode="[$-409]mmmmm;@" sourceLinked="0"/>
        <c:majorTickMark val="none"/>
        <c:minorTickMark val="none"/>
        <c:tickLblPos val="nextTo"/>
        <c:crossAx val="154353024"/>
        <c:crosses val="autoZero"/>
        <c:auto val="1"/>
        <c:lblOffset val="100"/>
        <c:baseTimeUnit val="days"/>
        <c:majorUnit val="1"/>
        <c:majorTimeUnit val="months"/>
        <c:minorUnit val="1"/>
        <c:minorTimeUnit val="months"/>
      </c:dateAx>
      <c:valAx>
        <c:axId val="154353024"/>
        <c:scaling>
          <c:orientation val="minMax"/>
        </c:scaling>
        <c:delete val="0"/>
        <c:axPos val="l"/>
        <c:majorGridlines/>
        <c:title>
          <c:tx>
            <c:rich>
              <a:bodyPr/>
              <a:lstStyle/>
              <a:p>
                <a:pPr>
                  <a:defRPr/>
                </a:pPr>
                <a:r>
                  <a:rPr lang="en-US"/>
                  <a:t>Specific Conductance ms/cm</a:t>
                </a:r>
              </a:p>
            </c:rich>
          </c:tx>
          <c:layout>
            <c:manualLayout>
              <c:xMode val="edge"/>
              <c:yMode val="edge"/>
              <c:x val="0.11465557096625127"/>
              <c:y val="0.1166756933161137"/>
            </c:manualLayout>
          </c:layout>
          <c:overlay val="0"/>
        </c:title>
        <c:numFmt formatCode="0.000" sourceLinked="1"/>
        <c:majorTickMark val="none"/>
        <c:minorTickMark val="none"/>
        <c:tickLblPos val="nextTo"/>
        <c:crossAx val="154351488"/>
        <c:crosses val="autoZero"/>
        <c:crossBetween val="between"/>
      </c:valAx>
      <c:dTable>
        <c:showHorzBorder val="1"/>
        <c:showVertBorder val="1"/>
        <c:showOutline val="1"/>
        <c:showKeys val="1"/>
        <c:txPr>
          <a:bodyPr/>
          <a:lstStyle/>
          <a:p>
            <a:pPr rtl="0">
              <a:defRPr sz="900"/>
            </a:pPr>
            <a:endParaRPr lang="en-US"/>
          </a:p>
        </c:txPr>
      </c:dTable>
    </c:plotArea>
    <c:plotVisOnly val="1"/>
    <c:dispBlanksAs val="gap"/>
    <c:showDLblsOverMax val="0"/>
  </c:chart>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c:spPr>
  <c:printSettings>
    <c:headerFooter/>
    <c:pageMargins b="0.75000000000000244" l="0.70000000000000062" r="0.70000000000000062" t="0.75000000000000244" header="0.30000000000000032" footer="0.30000000000000032"/>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Troublesome Gulch pH</a:t>
            </a:r>
          </a:p>
        </c:rich>
      </c:tx>
      <c:overlay val="0"/>
    </c:title>
    <c:autoTitleDeleted val="0"/>
    <c:plotArea>
      <c:layout/>
      <c:lineChart>
        <c:grouping val="standard"/>
        <c:varyColors val="0"/>
        <c:ser>
          <c:idx val="0"/>
          <c:order val="0"/>
          <c:tx>
            <c:strRef>
              <c:f>'MWS 2013 Field'!$C$119:$C$127</c:f>
              <c:strCache>
                <c:ptCount val="9"/>
                <c:pt idx="0">
                  <c:v>Troublesome at Culvert above West Jeff</c:v>
                </c:pt>
              </c:strCache>
            </c:strRef>
          </c:tx>
          <c:marker>
            <c:symbol val="none"/>
          </c:marker>
          <c:cat>
            <c:numRef>
              <c:f>'MWS 2013 Field'!$D$119:$D$127</c:f>
              <c:numCache>
                <c:formatCode>m/d/yyyy</c:formatCode>
                <c:ptCount val="9"/>
                <c:pt idx="0">
                  <c:v>41361</c:v>
                </c:pt>
                <c:pt idx="1">
                  <c:v>41389</c:v>
                </c:pt>
                <c:pt idx="2">
                  <c:v>41415</c:v>
                </c:pt>
                <c:pt idx="3">
                  <c:v>41443</c:v>
                </c:pt>
                <c:pt idx="4">
                  <c:v>41478</c:v>
                </c:pt>
                <c:pt idx="5">
                  <c:v>41513</c:v>
                </c:pt>
                <c:pt idx="6">
                  <c:v>41542</c:v>
                </c:pt>
                <c:pt idx="7">
                  <c:v>41570</c:v>
                </c:pt>
                <c:pt idx="8">
                  <c:v>41603</c:v>
                </c:pt>
              </c:numCache>
            </c:numRef>
          </c:cat>
          <c:val>
            <c:numRef>
              <c:f>'MWS 2013 Field'!$F$119:$F$127</c:f>
              <c:numCache>
                <c:formatCode>0.00</c:formatCode>
                <c:ptCount val="9"/>
                <c:pt idx="0">
                  <c:v>8.61</c:v>
                </c:pt>
                <c:pt idx="1">
                  <c:v>8.2100000000000009</c:v>
                </c:pt>
                <c:pt idx="2">
                  <c:v>8.36</c:v>
                </c:pt>
                <c:pt idx="3">
                  <c:v>8.7200000000000006</c:v>
                </c:pt>
                <c:pt idx="4">
                  <c:v>7.84</c:v>
                </c:pt>
                <c:pt idx="5">
                  <c:v>8.3800000000000008</c:v>
                </c:pt>
                <c:pt idx="6">
                  <c:v>8.26</c:v>
                </c:pt>
                <c:pt idx="7">
                  <c:v>7.97</c:v>
                </c:pt>
                <c:pt idx="8">
                  <c:v>8.01</c:v>
                </c:pt>
              </c:numCache>
            </c:numRef>
          </c:val>
          <c:smooth val="0"/>
          <c:extLst>
            <c:ext xmlns:c16="http://schemas.microsoft.com/office/drawing/2014/chart" uri="{C3380CC4-5D6E-409C-BE32-E72D297353CC}">
              <c16:uniqueId val="{00000000-966B-48A7-925E-2C7CC070EBEB}"/>
            </c:ext>
          </c:extLst>
        </c:ser>
        <c:ser>
          <c:idx val="1"/>
          <c:order val="1"/>
          <c:tx>
            <c:strRef>
              <c:f>'MWS 2013 Field'!$C$128:$C$135</c:f>
              <c:strCache>
                <c:ptCount val="8"/>
                <c:pt idx="0">
                  <c:v>Troublesome Mouth</c:v>
                </c:pt>
              </c:strCache>
            </c:strRef>
          </c:tx>
          <c:marker>
            <c:symbol val="none"/>
          </c:marker>
          <c:val>
            <c:numRef>
              <c:f>'MWS 2013 Field'!$F$128:$F$136</c:f>
              <c:numCache>
                <c:formatCode>0.00</c:formatCode>
                <c:ptCount val="9"/>
                <c:pt idx="0">
                  <c:v>8.01</c:v>
                </c:pt>
                <c:pt idx="1">
                  <c:v>8.25</c:v>
                </c:pt>
                <c:pt idx="2">
                  <c:v>8.01</c:v>
                </c:pt>
                <c:pt idx="3">
                  <c:v>7.95</c:v>
                </c:pt>
                <c:pt idx="4">
                  <c:v>7.91</c:v>
                </c:pt>
                <c:pt idx="5">
                  <c:v>8.15</c:v>
                </c:pt>
                <c:pt idx="6">
                  <c:v>8.58</c:v>
                </c:pt>
                <c:pt idx="7">
                  <c:v>8.14</c:v>
                </c:pt>
                <c:pt idx="8">
                  <c:v>8.3699999999999992</c:v>
                </c:pt>
              </c:numCache>
            </c:numRef>
          </c:val>
          <c:smooth val="0"/>
          <c:extLst>
            <c:ext xmlns:c16="http://schemas.microsoft.com/office/drawing/2014/chart" uri="{C3380CC4-5D6E-409C-BE32-E72D297353CC}">
              <c16:uniqueId val="{00000001-966B-48A7-925E-2C7CC070EBEB}"/>
            </c:ext>
          </c:extLst>
        </c:ser>
        <c:dLbls>
          <c:showLegendKey val="0"/>
          <c:showVal val="0"/>
          <c:showCatName val="0"/>
          <c:showSerName val="0"/>
          <c:showPercent val="0"/>
          <c:showBubbleSize val="0"/>
        </c:dLbls>
        <c:smooth val="0"/>
        <c:axId val="154468736"/>
        <c:axId val="154470272"/>
      </c:lineChart>
      <c:dateAx>
        <c:axId val="154468736"/>
        <c:scaling>
          <c:orientation val="minMax"/>
        </c:scaling>
        <c:delete val="0"/>
        <c:axPos val="b"/>
        <c:numFmt formatCode="m/d/yyyy" sourceLinked="1"/>
        <c:majorTickMark val="none"/>
        <c:minorTickMark val="none"/>
        <c:tickLblPos val="nextTo"/>
        <c:crossAx val="154470272"/>
        <c:crosses val="autoZero"/>
        <c:auto val="1"/>
        <c:lblOffset val="100"/>
        <c:baseTimeUnit val="days"/>
      </c:dateAx>
      <c:valAx>
        <c:axId val="154470272"/>
        <c:scaling>
          <c:orientation val="minMax"/>
        </c:scaling>
        <c:delete val="0"/>
        <c:axPos val="l"/>
        <c:majorGridlines/>
        <c:numFmt formatCode="0.00" sourceLinked="1"/>
        <c:majorTickMark val="none"/>
        <c:minorTickMark val="none"/>
        <c:tickLblPos val="nextTo"/>
        <c:spPr>
          <a:ln w="9525">
            <a:noFill/>
          </a:ln>
        </c:spPr>
        <c:crossAx val="154468736"/>
        <c:crosses val="autoZero"/>
        <c:crossBetween val="between"/>
      </c:valAx>
    </c:plotArea>
    <c:legend>
      <c:legendPos val="b"/>
      <c:overlay val="0"/>
    </c:legend>
    <c:plotVisOnly val="1"/>
    <c:dispBlanksAs val="gap"/>
    <c:showDLblsOverMax val="0"/>
  </c:chart>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c:spPr>
  <c:printSettings>
    <c:headerFooter/>
    <c:pageMargins b="0.75000000000000244" l="0.70000000000000062" r="0.70000000000000062" t="0.75000000000000244" header="0.30000000000000032" footer="0.30000000000000032"/>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Troublesome Gulch Temperature C</a:t>
            </a:r>
          </a:p>
        </c:rich>
      </c:tx>
      <c:overlay val="0"/>
    </c:title>
    <c:autoTitleDeleted val="0"/>
    <c:plotArea>
      <c:layout/>
      <c:lineChart>
        <c:grouping val="standard"/>
        <c:varyColors val="0"/>
        <c:ser>
          <c:idx val="0"/>
          <c:order val="0"/>
          <c:tx>
            <c:strRef>
              <c:f>'MWS 2013 Field'!$C$119:$C$127</c:f>
              <c:strCache>
                <c:ptCount val="9"/>
                <c:pt idx="0">
                  <c:v>Troublesome at Culvert above West Jeff</c:v>
                </c:pt>
              </c:strCache>
            </c:strRef>
          </c:tx>
          <c:marker>
            <c:symbol val="none"/>
          </c:marker>
          <c:cat>
            <c:numRef>
              <c:f>'MWS 2013 Field'!$D$119:$D$127</c:f>
              <c:numCache>
                <c:formatCode>m/d/yyyy</c:formatCode>
                <c:ptCount val="9"/>
                <c:pt idx="0">
                  <c:v>41361</c:v>
                </c:pt>
                <c:pt idx="1">
                  <c:v>41389</c:v>
                </c:pt>
                <c:pt idx="2">
                  <c:v>41415</c:v>
                </c:pt>
                <c:pt idx="3">
                  <c:v>41443</c:v>
                </c:pt>
                <c:pt idx="4">
                  <c:v>41478</c:v>
                </c:pt>
                <c:pt idx="5">
                  <c:v>41513</c:v>
                </c:pt>
                <c:pt idx="6">
                  <c:v>41542</c:v>
                </c:pt>
                <c:pt idx="7">
                  <c:v>41570</c:v>
                </c:pt>
                <c:pt idx="8">
                  <c:v>41603</c:v>
                </c:pt>
              </c:numCache>
            </c:numRef>
          </c:cat>
          <c:val>
            <c:numRef>
              <c:f>'MWS 2013 Field'!$G$119:$G$127</c:f>
              <c:numCache>
                <c:formatCode>0.00</c:formatCode>
                <c:ptCount val="9"/>
                <c:pt idx="0">
                  <c:v>1.6</c:v>
                </c:pt>
                <c:pt idx="1">
                  <c:v>2.1</c:v>
                </c:pt>
                <c:pt idx="2">
                  <c:v>7.2</c:v>
                </c:pt>
                <c:pt idx="3">
                  <c:v>11.3</c:v>
                </c:pt>
                <c:pt idx="4">
                  <c:v>12</c:v>
                </c:pt>
                <c:pt idx="5">
                  <c:v>12.38</c:v>
                </c:pt>
                <c:pt idx="6">
                  <c:v>9.9</c:v>
                </c:pt>
                <c:pt idx="7">
                  <c:v>4.5999999999999996</c:v>
                </c:pt>
                <c:pt idx="8">
                  <c:v>2.4</c:v>
                </c:pt>
              </c:numCache>
            </c:numRef>
          </c:val>
          <c:smooth val="0"/>
          <c:extLst>
            <c:ext xmlns:c16="http://schemas.microsoft.com/office/drawing/2014/chart" uri="{C3380CC4-5D6E-409C-BE32-E72D297353CC}">
              <c16:uniqueId val="{00000000-A264-418A-BC98-15E46B597C60}"/>
            </c:ext>
          </c:extLst>
        </c:ser>
        <c:ser>
          <c:idx val="1"/>
          <c:order val="1"/>
          <c:tx>
            <c:strRef>
              <c:f>'MWS 2013 Field'!$C$128:$C$135</c:f>
              <c:strCache>
                <c:ptCount val="8"/>
                <c:pt idx="0">
                  <c:v>Troublesome Mouth</c:v>
                </c:pt>
              </c:strCache>
            </c:strRef>
          </c:tx>
          <c:marker>
            <c:symbol val="none"/>
          </c:marker>
          <c:val>
            <c:numRef>
              <c:f>'MWS 2013 Field'!$G$128:$G$136</c:f>
              <c:numCache>
                <c:formatCode>0.00</c:formatCode>
                <c:ptCount val="9"/>
                <c:pt idx="0">
                  <c:v>2.1</c:v>
                </c:pt>
                <c:pt idx="1">
                  <c:v>2.6</c:v>
                </c:pt>
                <c:pt idx="2">
                  <c:v>10</c:v>
                </c:pt>
                <c:pt idx="3">
                  <c:v>13.1</c:v>
                </c:pt>
                <c:pt idx="4">
                  <c:v>19.2</c:v>
                </c:pt>
                <c:pt idx="5">
                  <c:v>15.66</c:v>
                </c:pt>
                <c:pt idx="6">
                  <c:v>11.9</c:v>
                </c:pt>
                <c:pt idx="7">
                  <c:v>8.3000000000000007</c:v>
                </c:pt>
                <c:pt idx="8">
                  <c:v>3.7</c:v>
                </c:pt>
              </c:numCache>
            </c:numRef>
          </c:val>
          <c:smooth val="0"/>
          <c:extLst>
            <c:ext xmlns:c16="http://schemas.microsoft.com/office/drawing/2014/chart" uri="{C3380CC4-5D6E-409C-BE32-E72D297353CC}">
              <c16:uniqueId val="{00000001-A264-418A-BC98-15E46B597C60}"/>
            </c:ext>
          </c:extLst>
        </c:ser>
        <c:dLbls>
          <c:showLegendKey val="0"/>
          <c:showVal val="0"/>
          <c:showCatName val="0"/>
          <c:showSerName val="0"/>
          <c:showPercent val="0"/>
          <c:showBubbleSize val="0"/>
        </c:dLbls>
        <c:smooth val="0"/>
        <c:axId val="154499328"/>
        <c:axId val="154517504"/>
      </c:lineChart>
      <c:dateAx>
        <c:axId val="154499328"/>
        <c:scaling>
          <c:orientation val="minMax"/>
        </c:scaling>
        <c:delete val="0"/>
        <c:axPos val="b"/>
        <c:numFmt formatCode="m/d/yyyy" sourceLinked="1"/>
        <c:majorTickMark val="none"/>
        <c:minorTickMark val="none"/>
        <c:tickLblPos val="nextTo"/>
        <c:crossAx val="154517504"/>
        <c:crosses val="autoZero"/>
        <c:auto val="1"/>
        <c:lblOffset val="100"/>
        <c:baseTimeUnit val="days"/>
      </c:dateAx>
      <c:valAx>
        <c:axId val="154517504"/>
        <c:scaling>
          <c:orientation val="minMax"/>
        </c:scaling>
        <c:delete val="0"/>
        <c:axPos val="l"/>
        <c:majorGridlines/>
        <c:numFmt formatCode="0.00" sourceLinked="1"/>
        <c:majorTickMark val="none"/>
        <c:minorTickMark val="none"/>
        <c:tickLblPos val="nextTo"/>
        <c:spPr>
          <a:ln w="9525">
            <a:noFill/>
          </a:ln>
        </c:spPr>
        <c:crossAx val="154499328"/>
        <c:crosses val="autoZero"/>
        <c:crossBetween val="between"/>
      </c:valAx>
    </c:plotArea>
    <c:legend>
      <c:legendPos val="b"/>
      <c:overlay val="0"/>
    </c:legend>
    <c:plotVisOnly val="1"/>
    <c:dispBlanksAs val="gap"/>
    <c:showDLblsOverMax val="0"/>
  </c:chart>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c:spPr>
  <c:printSettings>
    <c:headerFooter/>
    <c:pageMargins b="0.75000000000000244" l="0.70000000000000062" r="0.70000000000000062" t="0.75000000000000244" header="0.30000000000000032" footer="0.30000000000000032"/>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Troublesome Gulch Dissolved Oxyen mg/l</a:t>
            </a:r>
          </a:p>
        </c:rich>
      </c:tx>
      <c:overlay val="0"/>
    </c:title>
    <c:autoTitleDeleted val="0"/>
    <c:plotArea>
      <c:layout/>
      <c:lineChart>
        <c:grouping val="standard"/>
        <c:varyColors val="0"/>
        <c:ser>
          <c:idx val="0"/>
          <c:order val="0"/>
          <c:tx>
            <c:strRef>
              <c:f>'MWS 2013 Field'!$C$119:$C$127</c:f>
              <c:strCache>
                <c:ptCount val="9"/>
                <c:pt idx="0">
                  <c:v>Troublesome at Culvert above West Jeff</c:v>
                </c:pt>
              </c:strCache>
            </c:strRef>
          </c:tx>
          <c:marker>
            <c:symbol val="none"/>
          </c:marker>
          <c:cat>
            <c:numRef>
              <c:f>'MWS 2013 Field'!$D$119:$D$127</c:f>
              <c:numCache>
                <c:formatCode>m/d/yyyy</c:formatCode>
                <c:ptCount val="9"/>
                <c:pt idx="0">
                  <c:v>41361</c:v>
                </c:pt>
                <c:pt idx="1">
                  <c:v>41389</c:v>
                </c:pt>
                <c:pt idx="2">
                  <c:v>41415</c:v>
                </c:pt>
                <c:pt idx="3">
                  <c:v>41443</c:v>
                </c:pt>
                <c:pt idx="4">
                  <c:v>41478</c:v>
                </c:pt>
                <c:pt idx="5">
                  <c:v>41513</c:v>
                </c:pt>
                <c:pt idx="6">
                  <c:v>41542</c:v>
                </c:pt>
                <c:pt idx="7">
                  <c:v>41570</c:v>
                </c:pt>
                <c:pt idx="8">
                  <c:v>41603</c:v>
                </c:pt>
              </c:numCache>
            </c:numRef>
          </c:cat>
          <c:val>
            <c:numRef>
              <c:f>'MWS 2013 Field'!$H$119:$H$127</c:f>
              <c:numCache>
                <c:formatCode>0.00</c:formatCode>
                <c:ptCount val="9"/>
                <c:pt idx="0">
                  <c:v>13.11</c:v>
                </c:pt>
                <c:pt idx="1">
                  <c:v>11.4</c:v>
                </c:pt>
                <c:pt idx="2">
                  <c:v>9.15</c:v>
                </c:pt>
                <c:pt idx="3">
                  <c:v>10.31</c:v>
                </c:pt>
                <c:pt idx="4">
                  <c:v>8.83</c:v>
                </c:pt>
                <c:pt idx="5">
                  <c:v>9</c:v>
                </c:pt>
                <c:pt idx="6">
                  <c:v>9.2799999999999994</c:v>
                </c:pt>
                <c:pt idx="7">
                  <c:v>11.2</c:v>
                </c:pt>
                <c:pt idx="8">
                  <c:v>11.65</c:v>
                </c:pt>
              </c:numCache>
            </c:numRef>
          </c:val>
          <c:smooth val="0"/>
          <c:extLst>
            <c:ext xmlns:c16="http://schemas.microsoft.com/office/drawing/2014/chart" uri="{C3380CC4-5D6E-409C-BE32-E72D297353CC}">
              <c16:uniqueId val="{00000000-03A5-4DF5-A618-7D151F31CC1B}"/>
            </c:ext>
          </c:extLst>
        </c:ser>
        <c:ser>
          <c:idx val="1"/>
          <c:order val="1"/>
          <c:tx>
            <c:strRef>
              <c:f>'MWS 2013 Field'!$C$128:$C$135</c:f>
              <c:strCache>
                <c:ptCount val="8"/>
                <c:pt idx="0">
                  <c:v>Troublesome Mouth</c:v>
                </c:pt>
              </c:strCache>
            </c:strRef>
          </c:tx>
          <c:marker>
            <c:symbol val="none"/>
          </c:marker>
          <c:val>
            <c:numRef>
              <c:f>'MWS 2013 Field'!$H$128:$H$136</c:f>
              <c:numCache>
                <c:formatCode>0.00</c:formatCode>
                <c:ptCount val="9"/>
                <c:pt idx="0">
                  <c:v>12.93</c:v>
                </c:pt>
                <c:pt idx="1">
                  <c:v>12.49</c:v>
                </c:pt>
                <c:pt idx="2">
                  <c:v>9.41</c:v>
                </c:pt>
                <c:pt idx="3">
                  <c:v>9.7200000000000006</c:v>
                </c:pt>
                <c:pt idx="4">
                  <c:v>10.16</c:v>
                </c:pt>
                <c:pt idx="5">
                  <c:v>8.07</c:v>
                </c:pt>
                <c:pt idx="6">
                  <c:v>7.48</c:v>
                </c:pt>
                <c:pt idx="7">
                  <c:v>11.79</c:v>
                </c:pt>
                <c:pt idx="8">
                  <c:v>12.8</c:v>
                </c:pt>
              </c:numCache>
            </c:numRef>
          </c:val>
          <c:smooth val="0"/>
          <c:extLst>
            <c:ext xmlns:c16="http://schemas.microsoft.com/office/drawing/2014/chart" uri="{C3380CC4-5D6E-409C-BE32-E72D297353CC}">
              <c16:uniqueId val="{00000001-03A5-4DF5-A618-7D151F31CC1B}"/>
            </c:ext>
          </c:extLst>
        </c:ser>
        <c:dLbls>
          <c:showLegendKey val="0"/>
          <c:showVal val="0"/>
          <c:showCatName val="0"/>
          <c:showSerName val="0"/>
          <c:showPercent val="0"/>
          <c:showBubbleSize val="0"/>
        </c:dLbls>
        <c:smooth val="0"/>
        <c:axId val="154620288"/>
        <c:axId val="154621824"/>
      </c:lineChart>
      <c:dateAx>
        <c:axId val="154620288"/>
        <c:scaling>
          <c:orientation val="minMax"/>
        </c:scaling>
        <c:delete val="0"/>
        <c:axPos val="b"/>
        <c:numFmt formatCode="m/d/yyyy" sourceLinked="1"/>
        <c:majorTickMark val="none"/>
        <c:minorTickMark val="none"/>
        <c:tickLblPos val="nextTo"/>
        <c:crossAx val="154621824"/>
        <c:crosses val="autoZero"/>
        <c:auto val="1"/>
        <c:lblOffset val="100"/>
        <c:baseTimeUnit val="days"/>
      </c:dateAx>
      <c:valAx>
        <c:axId val="154621824"/>
        <c:scaling>
          <c:orientation val="minMax"/>
          <c:min val="6"/>
        </c:scaling>
        <c:delete val="0"/>
        <c:axPos val="l"/>
        <c:majorGridlines/>
        <c:numFmt formatCode="0.00" sourceLinked="1"/>
        <c:majorTickMark val="none"/>
        <c:minorTickMark val="none"/>
        <c:tickLblPos val="nextTo"/>
        <c:spPr>
          <a:ln w="9525">
            <a:noFill/>
          </a:ln>
        </c:spPr>
        <c:crossAx val="154620288"/>
        <c:crosses val="autoZero"/>
        <c:crossBetween val="between"/>
      </c:valAx>
    </c:plotArea>
    <c:legend>
      <c:legendPos val="b"/>
      <c:overlay val="0"/>
    </c:legend>
    <c:plotVisOnly val="1"/>
    <c:dispBlanksAs val="gap"/>
    <c:showDLblsOverMax val="0"/>
  </c:chart>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c:spPr>
  <c:printSettings>
    <c:headerFooter/>
    <c:pageMargins b="0.75000000000000244" l="0.70000000000000062" r="0.70000000000000062" t="0.75000000000000244" header="0.30000000000000032" footer="0.30000000000000032"/>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Troublesome Gulch Specific Conductance ms/cm</a:t>
            </a:r>
          </a:p>
        </c:rich>
      </c:tx>
      <c:overlay val="0"/>
    </c:title>
    <c:autoTitleDeleted val="0"/>
    <c:plotArea>
      <c:layout/>
      <c:lineChart>
        <c:grouping val="standard"/>
        <c:varyColors val="0"/>
        <c:ser>
          <c:idx val="0"/>
          <c:order val="0"/>
          <c:tx>
            <c:strRef>
              <c:f>'MWS 2013 Field'!$C$119:$C$127</c:f>
              <c:strCache>
                <c:ptCount val="9"/>
                <c:pt idx="0">
                  <c:v>Troublesome at Culvert above West Jeff</c:v>
                </c:pt>
              </c:strCache>
            </c:strRef>
          </c:tx>
          <c:marker>
            <c:symbol val="none"/>
          </c:marker>
          <c:cat>
            <c:numRef>
              <c:f>'MWS 2013 Field'!$D$119:$D$127</c:f>
              <c:numCache>
                <c:formatCode>m/d/yyyy</c:formatCode>
                <c:ptCount val="9"/>
                <c:pt idx="0">
                  <c:v>41361</c:v>
                </c:pt>
                <c:pt idx="1">
                  <c:v>41389</c:v>
                </c:pt>
                <c:pt idx="2">
                  <c:v>41415</c:v>
                </c:pt>
                <c:pt idx="3">
                  <c:v>41443</c:v>
                </c:pt>
                <c:pt idx="4">
                  <c:v>41478</c:v>
                </c:pt>
                <c:pt idx="5">
                  <c:v>41513</c:v>
                </c:pt>
                <c:pt idx="6">
                  <c:v>41542</c:v>
                </c:pt>
                <c:pt idx="7">
                  <c:v>41570</c:v>
                </c:pt>
                <c:pt idx="8">
                  <c:v>41603</c:v>
                </c:pt>
              </c:numCache>
            </c:numRef>
          </c:cat>
          <c:val>
            <c:numRef>
              <c:f>'MWS 2013 Field'!$I$119:$I$127</c:f>
              <c:numCache>
                <c:formatCode>0.000</c:formatCode>
                <c:ptCount val="9"/>
                <c:pt idx="0">
                  <c:v>0.57599999999999996</c:v>
                </c:pt>
                <c:pt idx="1">
                  <c:v>0.59899999999999998</c:v>
                </c:pt>
                <c:pt idx="2">
                  <c:v>0.63</c:v>
                </c:pt>
                <c:pt idx="3">
                  <c:v>0.60899999999999999</c:v>
                </c:pt>
                <c:pt idx="4">
                  <c:v>0.64100000000000001</c:v>
                </c:pt>
                <c:pt idx="5">
                  <c:v>0.63700000000000001</c:v>
                </c:pt>
                <c:pt idx="6">
                  <c:v>0.68300000000000005</c:v>
                </c:pt>
                <c:pt idx="7">
                  <c:v>0.72699999999999998</c:v>
                </c:pt>
                <c:pt idx="8">
                  <c:v>0.73399999999999999</c:v>
                </c:pt>
              </c:numCache>
            </c:numRef>
          </c:val>
          <c:smooth val="0"/>
          <c:extLst>
            <c:ext xmlns:c16="http://schemas.microsoft.com/office/drawing/2014/chart" uri="{C3380CC4-5D6E-409C-BE32-E72D297353CC}">
              <c16:uniqueId val="{00000000-D767-4A16-BA02-32CA8953F8D4}"/>
            </c:ext>
          </c:extLst>
        </c:ser>
        <c:ser>
          <c:idx val="1"/>
          <c:order val="1"/>
          <c:tx>
            <c:strRef>
              <c:f>'MWS 2013 Field'!$C$128:$C$135</c:f>
              <c:strCache>
                <c:ptCount val="8"/>
                <c:pt idx="0">
                  <c:v>Troublesome Mouth</c:v>
                </c:pt>
              </c:strCache>
            </c:strRef>
          </c:tx>
          <c:marker>
            <c:symbol val="none"/>
          </c:marker>
          <c:val>
            <c:numRef>
              <c:f>'MWS 2013 Field'!$I$128:$I$136</c:f>
              <c:numCache>
                <c:formatCode>0.000</c:formatCode>
                <c:ptCount val="9"/>
                <c:pt idx="0">
                  <c:v>0.60799999999999998</c:v>
                </c:pt>
                <c:pt idx="1">
                  <c:v>0.67100000000000004</c:v>
                </c:pt>
                <c:pt idx="2">
                  <c:v>0.66</c:v>
                </c:pt>
                <c:pt idx="3">
                  <c:v>0.67</c:v>
                </c:pt>
                <c:pt idx="4">
                  <c:v>0.65</c:v>
                </c:pt>
                <c:pt idx="5">
                  <c:v>0.54800000000000004</c:v>
                </c:pt>
                <c:pt idx="6">
                  <c:v>0.68</c:v>
                </c:pt>
                <c:pt idx="7">
                  <c:v>0.67300000000000004</c:v>
                </c:pt>
                <c:pt idx="8">
                  <c:v>0.70399999999999996</c:v>
                </c:pt>
              </c:numCache>
            </c:numRef>
          </c:val>
          <c:smooth val="0"/>
          <c:extLst>
            <c:ext xmlns:c16="http://schemas.microsoft.com/office/drawing/2014/chart" uri="{C3380CC4-5D6E-409C-BE32-E72D297353CC}">
              <c16:uniqueId val="{00000001-D767-4A16-BA02-32CA8953F8D4}"/>
            </c:ext>
          </c:extLst>
        </c:ser>
        <c:dLbls>
          <c:showLegendKey val="0"/>
          <c:showVal val="0"/>
          <c:showCatName val="0"/>
          <c:showSerName val="0"/>
          <c:showPercent val="0"/>
          <c:showBubbleSize val="0"/>
        </c:dLbls>
        <c:smooth val="0"/>
        <c:axId val="154650880"/>
        <c:axId val="154673152"/>
      </c:lineChart>
      <c:dateAx>
        <c:axId val="154650880"/>
        <c:scaling>
          <c:orientation val="minMax"/>
        </c:scaling>
        <c:delete val="0"/>
        <c:axPos val="b"/>
        <c:numFmt formatCode="m/d/yyyy" sourceLinked="1"/>
        <c:majorTickMark val="none"/>
        <c:minorTickMark val="none"/>
        <c:tickLblPos val="nextTo"/>
        <c:crossAx val="154673152"/>
        <c:crosses val="autoZero"/>
        <c:auto val="1"/>
        <c:lblOffset val="100"/>
        <c:baseTimeUnit val="days"/>
      </c:dateAx>
      <c:valAx>
        <c:axId val="154673152"/>
        <c:scaling>
          <c:orientation val="minMax"/>
          <c:min val="0.5"/>
        </c:scaling>
        <c:delete val="0"/>
        <c:axPos val="l"/>
        <c:majorGridlines/>
        <c:numFmt formatCode="0.000" sourceLinked="1"/>
        <c:majorTickMark val="none"/>
        <c:minorTickMark val="none"/>
        <c:tickLblPos val="nextTo"/>
        <c:spPr>
          <a:ln w="9525">
            <a:noFill/>
          </a:ln>
        </c:spPr>
        <c:crossAx val="154650880"/>
        <c:crosses val="autoZero"/>
        <c:crossBetween val="between"/>
      </c:valAx>
    </c:plotArea>
    <c:legend>
      <c:legendPos val="b"/>
      <c:overlay val="0"/>
    </c:legend>
    <c:plotVisOnly val="1"/>
    <c:dispBlanksAs val="gap"/>
    <c:showDLblsOverMax val="0"/>
  </c:chart>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c:spPr>
  <c:printSettings>
    <c:headerFooter/>
    <c:pageMargins b="0.75000000000000244" l="0.70000000000000062" r="0.70000000000000062" t="0.75000000000000244" header="0.30000000000000032" footer="0.30000000000000032"/>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Troublesome Gulch Flow cfs</a:t>
            </a:r>
          </a:p>
        </c:rich>
      </c:tx>
      <c:overlay val="0"/>
    </c:title>
    <c:autoTitleDeleted val="0"/>
    <c:plotArea>
      <c:layout/>
      <c:lineChart>
        <c:grouping val="standard"/>
        <c:varyColors val="0"/>
        <c:ser>
          <c:idx val="0"/>
          <c:order val="0"/>
          <c:tx>
            <c:strRef>
              <c:f>'MWS 2013 Field'!$C$119:$C$127</c:f>
              <c:strCache>
                <c:ptCount val="9"/>
                <c:pt idx="0">
                  <c:v>Troublesome at Culvert above West Jeff</c:v>
                </c:pt>
              </c:strCache>
            </c:strRef>
          </c:tx>
          <c:marker>
            <c:symbol val="none"/>
          </c:marker>
          <c:cat>
            <c:numRef>
              <c:f>'MWS 2013 Field'!$D$119:$D$127</c:f>
              <c:numCache>
                <c:formatCode>m/d/yyyy</c:formatCode>
                <c:ptCount val="9"/>
                <c:pt idx="0">
                  <c:v>41361</c:v>
                </c:pt>
                <c:pt idx="1">
                  <c:v>41389</c:v>
                </c:pt>
                <c:pt idx="2">
                  <c:v>41415</c:v>
                </c:pt>
                <c:pt idx="3">
                  <c:v>41443</c:v>
                </c:pt>
                <c:pt idx="4">
                  <c:v>41478</c:v>
                </c:pt>
                <c:pt idx="5">
                  <c:v>41513</c:v>
                </c:pt>
                <c:pt idx="6">
                  <c:v>41542</c:v>
                </c:pt>
                <c:pt idx="7">
                  <c:v>41570</c:v>
                </c:pt>
                <c:pt idx="8">
                  <c:v>41603</c:v>
                </c:pt>
              </c:numCache>
            </c:numRef>
          </c:cat>
          <c:val>
            <c:numRef>
              <c:f>'MWS 2013 Field'!$J$119:$J$127</c:f>
              <c:numCache>
                <c:formatCode>0.00</c:formatCode>
                <c:ptCount val="9"/>
                <c:pt idx="0">
                  <c:v>0.77</c:v>
                </c:pt>
                <c:pt idx="1">
                  <c:v>0.52500000000000002</c:v>
                </c:pt>
                <c:pt idx="2">
                  <c:v>0.312</c:v>
                </c:pt>
                <c:pt idx="3">
                  <c:v>0.112</c:v>
                </c:pt>
                <c:pt idx="4">
                  <c:v>9.7000000000000003E-2</c:v>
                </c:pt>
                <c:pt idx="5">
                  <c:v>1.74</c:v>
                </c:pt>
                <c:pt idx="6">
                  <c:v>1.49</c:v>
                </c:pt>
                <c:pt idx="7">
                  <c:v>1.57</c:v>
                </c:pt>
                <c:pt idx="8">
                  <c:v>1.74</c:v>
                </c:pt>
              </c:numCache>
            </c:numRef>
          </c:val>
          <c:smooth val="0"/>
          <c:extLst>
            <c:ext xmlns:c16="http://schemas.microsoft.com/office/drawing/2014/chart" uri="{C3380CC4-5D6E-409C-BE32-E72D297353CC}">
              <c16:uniqueId val="{00000000-73F8-4375-9437-D97F557FAF11}"/>
            </c:ext>
          </c:extLst>
        </c:ser>
        <c:ser>
          <c:idx val="1"/>
          <c:order val="1"/>
          <c:tx>
            <c:strRef>
              <c:f>'MWS 2013 Field'!$C$128:$C$136</c:f>
              <c:strCache>
                <c:ptCount val="9"/>
                <c:pt idx="0">
                  <c:v>Troublesome Mouth</c:v>
                </c:pt>
              </c:strCache>
            </c:strRef>
          </c:tx>
          <c:marker>
            <c:symbol val="none"/>
          </c:marker>
          <c:val>
            <c:numRef>
              <c:f>'MWS 2013 Field'!$J$128:$J$136</c:f>
              <c:numCache>
                <c:formatCode>0.00</c:formatCode>
                <c:ptCount val="9"/>
                <c:pt idx="0">
                  <c:v>1.53</c:v>
                </c:pt>
                <c:pt idx="1">
                  <c:v>1.96</c:v>
                </c:pt>
                <c:pt idx="2">
                  <c:v>0.95</c:v>
                </c:pt>
                <c:pt idx="3">
                  <c:v>0.74</c:v>
                </c:pt>
                <c:pt idx="4">
                  <c:v>0.9</c:v>
                </c:pt>
                <c:pt idx="5">
                  <c:v>0.55000000000000004</c:v>
                </c:pt>
                <c:pt idx="6">
                  <c:v>6.23</c:v>
                </c:pt>
                <c:pt idx="7">
                  <c:v>2.98</c:v>
                </c:pt>
                <c:pt idx="8">
                  <c:v>2.52</c:v>
                </c:pt>
              </c:numCache>
            </c:numRef>
          </c:val>
          <c:smooth val="0"/>
          <c:extLst>
            <c:ext xmlns:c16="http://schemas.microsoft.com/office/drawing/2014/chart" uri="{C3380CC4-5D6E-409C-BE32-E72D297353CC}">
              <c16:uniqueId val="{00000001-73F8-4375-9437-D97F557FAF11}"/>
            </c:ext>
          </c:extLst>
        </c:ser>
        <c:dLbls>
          <c:showLegendKey val="0"/>
          <c:showVal val="0"/>
          <c:showCatName val="0"/>
          <c:showSerName val="0"/>
          <c:showPercent val="0"/>
          <c:showBubbleSize val="0"/>
        </c:dLbls>
        <c:smooth val="0"/>
        <c:axId val="154706304"/>
        <c:axId val="154707840"/>
      </c:lineChart>
      <c:dateAx>
        <c:axId val="154706304"/>
        <c:scaling>
          <c:orientation val="minMax"/>
        </c:scaling>
        <c:delete val="0"/>
        <c:axPos val="b"/>
        <c:numFmt formatCode="m/d/yyyy" sourceLinked="1"/>
        <c:majorTickMark val="none"/>
        <c:minorTickMark val="none"/>
        <c:tickLblPos val="nextTo"/>
        <c:crossAx val="154707840"/>
        <c:crosses val="autoZero"/>
        <c:auto val="1"/>
        <c:lblOffset val="100"/>
        <c:baseTimeUnit val="days"/>
      </c:dateAx>
      <c:valAx>
        <c:axId val="154707840"/>
        <c:scaling>
          <c:orientation val="minMax"/>
        </c:scaling>
        <c:delete val="0"/>
        <c:axPos val="l"/>
        <c:majorGridlines/>
        <c:numFmt formatCode="0.00" sourceLinked="1"/>
        <c:majorTickMark val="none"/>
        <c:minorTickMark val="none"/>
        <c:tickLblPos val="nextTo"/>
        <c:spPr>
          <a:ln w="9525">
            <a:noFill/>
          </a:ln>
        </c:spPr>
        <c:crossAx val="154706304"/>
        <c:crosses val="autoZero"/>
        <c:crossBetween val="between"/>
      </c:valAx>
    </c:plotArea>
    <c:legend>
      <c:legendPos val="b"/>
      <c:overlay val="0"/>
    </c:legend>
    <c:plotVisOnly val="1"/>
    <c:dispBlanksAs val="gap"/>
    <c:showDLblsOverMax val="0"/>
  </c:chart>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c:spPr>
  <c:printSettings>
    <c:headerFooter/>
    <c:pageMargins b="0.75000000000000244" l="0.70000000000000062" r="0.70000000000000062" t="0.75000000000000244" header="0.30000000000000032" footer="0.30000000000000032"/>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Estimated Periphyton Coverage Substrate %</a:t>
            </a:r>
          </a:p>
        </c:rich>
      </c:tx>
      <c:overlay val="0"/>
    </c:title>
    <c:autoTitleDeleted val="0"/>
    <c:plotArea>
      <c:layout/>
      <c:lineChart>
        <c:grouping val="standard"/>
        <c:varyColors val="0"/>
        <c:ser>
          <c:idx val="0"/>
          <c:order val="0"/>
          <c:tx>
            <c:strRef>
              <c:f>'MWS 2013 Field'!$C$119:$C$127</c:f>
              <c:strCache>
                <c:ptCount val="9"/>
                <c:pt idx="0">
                  <c:v>Troublesome at Culvert above West Jeff</c:v>
                </c:pt>
              </c:strCache>
            </c:strRef>
          </c:tx>
          <c:marker>
            <c:symbol val="none"/>
          </c:marker>
          <c:cat>
            <c:numRef>
              <c:f>'MWS 2013 Field'!$D$119:$D$127</c:f>
              <c:numCache>
                <c:formatCode>m/d/yyyy</c:formatCode>
                <c:ptCount val="9"/>
                <c:pt idx="0">
                  <c:v>41361</c:v>
                </c:pt>
                <c:pt idx="1">
                  <c:v>41389</c:v>
                </c:pt>
                <c:pt idx="2">
                  <c:v>41415</c:v>
                </c:pt>
                <c:pt idx="3">
                  <c:v>41443</c:v>
                </c:pt>
                <c:pt idx="4">
                  <c:v>41478</c:v>
                </c:pt>
                <c:pt idx="5">
                  <c:v>41513</c:v>
                </c:pt>
                <c:pt idx="6">
                  <c:v>41542</c:v>
                </c:pt>
                <c:pt idx="7">
                  <c:v>41570</c:v>
                </c:pt>
                <c:pt idx="8">
                  <c:v>41603</c:v>
                </c:pt>
              </c:numCache>
            </c:numRef>
          </c:cat>
          <c:val>
            <c:numRef>
              <c:f>'MWS 2013 Field'!$K$119:$K$127</c:f>
              <c:numCache>
                <c:formatCode>0%</c:formatCode>
                <c:ptCount val="9"/>
                <c:pt idx="0">
                  <c:v>0.02</c:v>
                </c:pt>
                <c:pt idx="1">
                  <c:v>0.2</c:v>
                </c:pt>
                <c:pt idx="2">
                  <c:v>0.05</c:v>
                </c:pt>
                <c:pt idx="3">
                  <c:v>0.2</c:v>
                </c:pt>
                <c:pt idx="4">
                  <c:v>0.4</c:v>
                </c:pt>
                <c:pt idx="5">
                  <c:v>0.05</c:v>
                </c:pt>
                <c:pt idx="6">
                  <c:v>0</c:v>
                </c:pt>
                <c:pt idx="7">
                  <c:v>0.05</c:v>
                </c:pt>
                <c:pt idx="8">
                  <c:v>0.2</c:v>
                </c:pt>
              </c:numCache>
            </c:numRef>
          </c:val>
          <c:smooth val="0"/>
          <c:extLst>
            <c:ext xmlns:c16="http://schemas.microsoft.com/office/drawing/2014/chart" uri="{C3380CC4-5D6E-409C-BE32-E72D297353CC}">
              <c16:uniqueId val="{00000000-B90B-4AE9-BDE7-8C059D7F61AB}"/>
            </c:ext>
          </c:extLst>
        </c:ser>
        <c:ser>
          <c:idx val="1"/>
          <c:order val="1"/>
          <c:tx>
            <c:strRef>
              <c:f>'MWS 2013 Field'!$C$128:$C$135</c:f>
              <c:strCache>
                <c:ptCount val="8"/>
                <c:pt idx="0">
                  <c:v>Troublesome Mouth</c:v>
                </c:pt>
              </c:strCache>
            </c:strRef>
          </c:tx>
          <c:marker>
            <c:symbol val="none"/>
          </c:marker>
          <c:val>
            <c:numRef>
              <c:f>'MWS 2013 Field'!$K$128:$K$136</c:f>
              <c:numCache>
                <c:formatCode>0%</c:formatCode>
                <c:ptCount val="9"/>
                <c:pt idx="0">
                  <c:v>0.01</c:v>
                </c:pt>
                <c:pt idx="1">
                  <c:v>0.1</c:v>
                </c:pt>
                <c:pt idx="2">
                  <c:v>0.05</c:v>
                </c:pt>
                <c:pt idx="3">
                  <c:v>0.1</c:v>
                </c:pt>
                <c:pt idx="4">
                  <c:v>0.05</c:v>
                </c:pt>
                <c:pt idx="5">
                  <c:v>0.15</c:v>
                </c:pt>
                <c:pt idx="6">
                  <c:v>0</c:v>
                </c:pt>
                <c:pt idx="7">
                  <c:v>0</c:v>
                </c:pt>
                <c:pt idx="8">
                  <c:v>0.25</c:v>
                </c:pt>
              </c:numCache>
            </c:numRef>
          </c:val>
          <c:smooth val="0"/>
          <c:extLst>
            <c:ext xmlns:c16="http://schemas.microsoft.com/office/drawing/2014/chart" uri="{C3380CC4-5D6E-409C-BE32-E72D297353CC}">
              <c16:uniqueId val="{00000001-B90B-4AE9-BDE7-8C059D7F61AB}"/>
            </c:ext>
          </c:extLst>
        </c:ser>
        <c:dLbls>
          <c:showLegendKey val="0"/>
          <c:showVal val="0"/>
          <c:showCatName val="0"/>
          <c:showSerName val="0"/>
          <c:showPercent val="0"/>
          <c:showBubbleSize val="0"/>
        </c:dLbls>
        <c:smooth val="0"/>
        <c:axId val="154729088"/>
        <c:axId val="154747264"/>
      </c:lineChart>
      <c:dateAx>
        <c:axId val="154729088"/>
        <c:scaling>
          <c:orientation val="minMax"/>
        </c:scaling>
        <c:delete val="0"/>
        <c:axPos val="t"/>
        <c:numFmt formatCode="m/d/yyyy" sourceLinked="1"/>
        <c:majorTickMark val="none"/>
        <c:minorTickMark val="none"/>
        <c:tickLblPos val="nextTo"/>
        <c:crossAx val="154747264"/>
        <c:crosses val="autoZero"/>
        <c:auto val="1"/>
        <c:lblOffset val="100"/>
        <c:baseTimeUnit val="days"/>
      </c:dateAx>
      <c:valAx>
        <c:axId val="154747264"/>
        <c:scaling>
          <c:orientation val="maxMin"/>
        </c:scaling>
        <c:delete val="0"/>
        <c:axPos val="l"/>
        <c:majorGridlines/>
        <c:numFmt formatCode="0%" sourceLinked="1"/>
        <c:majorTickMark val="none"/>
        <c:minorTickMark val="none"/>
        <c:tickLblPos val="nextTo"/>
        <c:spPr>
          <a:ln w="9525">
            <a:noFill/>
          </a:ln>
        </c:spPr>
        <c:crossAx val="154729088"/>
        <c:crosses val="autoZero"/>
        <c:crossBetween val="between"/>
      </c:valAx>
    </c:plotArea>
    <c:legend>
      <c:legendPos val="b"/>
      <c:overlay val="0"/>
    </c:legend>
    <c:plotVisOnly val="1"/>
    <c:dispBlanksAs val="gap"/>
    <c:showDLblsOverMax val="0"/>
  </c:chart>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c:spPr>
  <c:printSettings>
    <c:headerFooter/>
    <c:pageMargins b="0.75000000000000244" l="0.70000000000000062" r="0.70000000000000062" t="0.750000000000002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Bear Creek Watershed - Nitrate Inflow Trend </a:t>
            </a:r>
          </a:p>
        </c:rich>
      </c:tx>
      <c:layout>
        <c:manualLayout>
          <c:xMode val="edge"/>
          <c:yMode val="edge"/>
          <c:x val="0.23296354992076071"/>
          <c:y val="3.3846153846153845E-2"/>
        </c:manualLayout>
      </c:layout>
      <c:overlay val="0"/>
    </c:title>
    <c:autoTitleDeleted val="0"/>
    <c:plotArea>
      <c:layout>
        <c:manualLayout>
          <c:layoutTarget val="inner"/>
          <c:xMode val="edge"/>
          <c:yMode val="edge"/>
          <c:x val="0.14616781237433921"/>
          <c:y val="0.14247349229644238"/>
          <c:w val="0.82709591392316195"/>
          <c:h val="0.72580835698182944"/>
        </c:manualLayout>
      </c:layout>
      <c:barChart>
        <c:barDir val="col"/>
        <c:grouping val="clustered"/>
        <c:varyColors val="0"/>
        <c:ser>
          <c:idx val="0"/>
          <c:order val="0"/>
          <c:tx>
            <c:strRef>
              <c:f>'Nitrate Trends'!$A$3</c:f>
              <c:strCache>
                <c:ptCount val="1"/>
                <c:pt idx="0">
                  <c:v>Bear Creek Inflow</c:v>
                </c:pt>
              </c:strCache>
            </c:strRef>
          </c:tx>
          <c:invertIfNegative val="0"/>
          <c:trendline>
            <c:trendlineType val="linear"/>
            <c:dispRSqr val="0"/>
            <c:dispEq val="0"/>
          </c:trendline>
          <c:cat>
            <c:numRef>
              <c:f>'Nitrate Trends'!$B$3:$B$26</c:f>
              <c:numCache>
                <c:formatCode>General</c:formatCode>
                <c:ptCount val="2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numCache>
            </c:numRef>
          </c:cat>
          <c:val>
            <c:numRef>
              <c:f>'Nitrate Trends'!$C$3:$C$26</c:f>
              <c:numCache>
                <c:formatCode>0</c:formatCode>
                <c:ptCount val="24"/>
                <c:pt idx="0">
                  <c:v>773</c:v>
                </c:pt>
                <c:pt idx="1">
                  <c:v>1078</c:v>
                </c:pt>
                <c:pt idx="2">
                  <c:v>931</c:v>
                </c:pt>
                <c:pt idx="3">
                  <c:v>1253</c:v>
                </c:pt>
                <c:pt idx="4">
                  <c:v>1472</c:v>
                </c:pt>
                <c:pt idx="5">
                  <c:v>1932</c:v>
                </c:pt>
                <c:pt idx="6">
                  <c:v>1367.4375</c:v>
                </c:pt>
                <c:pt idx="7">
                  <c:v>798.58375000000012</c:v>
                </c:pt>
                <c:pt idx="8">
                  <c:v>525</c:v>
                </c:pt>
                <c:pt idx="9">
                  <c:v>521</c:v>
                </c:pt>
                <c:pt idx="10">
                  <c:v>1483</c:v>
                </c:pt>
                <c:pt idx="11">
                  <c:v>974</c:v>
                </c:pt>
                <c:pt idx="12">
                  <c:v>4314</c:v>
                </c:pt>
                <c:pt idx="13" formatCode="0.0">
                  <c:v>1757</c:v>
                </c:pt>
                <c:pt idx="14" formatCode="0.0">
                  <c:v>444</c:v>
                </c:pt>
                <c:pt idx="15" formatCode="0.0">
                  <c:v>1100</c:v>
                </c:pt>
                <c:pt idx="16" formatCode="0.0">
                  <c:v>1570</c:v>
                </c:pt>
                <c:pt idx="17" formatCode="0.0">
                  <c:v>747</c:v>
                </c:pt>
                <c:pt idx="18" formatCode="0.0">
                  <c:v>1093</c:v>
                </c:pt>
                <c:pt idx="19" formatCode="0.0">
                  <c:v>322</c:v>
                </c:pt>
                <c:pt idx="20" formatCode="0.0">
                  <c:v>1296</c:v>
                </c:pt>
                <c:pt idx="21" formatCode="0.0">
                  <c:v>760</c:v>
                </c:pt>
                <c:pt idx="22" formatCode="0.0">
                  <c:v>1024</c:v>
                </c:pt>
                <c:pt idx="23" formatCode="0.0">
                  <c:v>800</c:v>
                </c:pt>
              </c:numCache>
            </c:numRef>
          </c:val>
          <c:extLst>
            <c:ext xmlns:c16="http://schemas.microsoft.com/office/drawing/2014/chart" uri="{C3380CC4-5D6E-409C-BE32-E72D297353CC}">
              <c16:uniqueId val="{00000001-32FE-461C-8484-8A1923D25F02}"/>
            </c:ext>
          </c:extLst>
        </c:ser>
        <c:ser>
          <c:idx val="1"/>
          <c:order val="1"/>
          <c:tx>
            <c:strRef>
              <c:f>'Nitrate Trends'!$A$49</c:f>
              <c:strCache>
                <c:ptCount val="1"/>
                <c:pt idx="0">
                  <c:v>Turkey Creek Inflow</c:v>
                </c:pt>
              </c:strCache>
            </c:strRef>
          </c:tx>
          <c:invertIfNegative val="0"/>
          <c:trendline>
            <c:trendlineType val="linear"/>
            <c:dispRSqr val="0"/>
            <c:dispEq val="0"/>
          </c:trendline>
          <c:cat>
            <c:numRef>
              <c:f>'Nitrate Trends'!$B$3:$B$26</c:f>
              <c:numCache>
                <c:formatCode>General</c:formatCode>
                <c:ptCount val="2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numCache>
            </c:numRef>
          </c:cat>
          <c:val>
            <c:numRef>
              <c:f>'Nitrate Trends'!$C$49:$C$72</c:f>
              <c:numCache>
                <c:formatCode>0</c:formatCode>
                <c:ptCount val="24"/>
                <c:pt idx="0">
                  <c:v>1121</c:v>
                </c:pt>
                <c:pt idx="1">
                  <c:v>1590</c:v>
                </c:pt>
                <c:pt idx="2">
                  <c:v>2941</c:v>
                </c:pt>
                <c:pt idx="3">
                  <c:v>1224</c:v>
                </c:pt>
                <c:pt idx="4">
                  <c:v>963</c:v>
                </c:pt>
                <c:pt idx="5">
                  <c:v>476</c:v>
                </c:pt>
                <c:pt idx="6">
                  <c:v>618.3125</c:v>
                </c:pt>
                <c:pt idx="7">
                  <c:v>419.54062500000003</c:v>
                </c:pt>
                <c:pt idx="8">
                  <c:v>536</c:v>
                </c:pt>
                <c:pt idx="9">
                  <c:v>192</c:v>
                </c:pt>
                <c:pt idx="10">
                  <c:v>803</c:v>
                </c:pt>
                <c:pt idx="11">
                  <c:v>486</c:v>
                </c:pt>
                <c:pt idx="12">
                  <c:v>686</c:v>
                </c:pt>
                <c:pt idx="13" formatCode="0.0">
                  <c:v>764</c:v>
                </c:pt>
                <c:pt idx="14" formatCode="0.0">
                  <c:v>385</c:v>
                </c:pt>
                <c:pt idx="15" formatCode="0.0">
                  <c:v>481</c:v>
                </c:pt>
                <c:pt idx="16" formatCode="0.0">
                  <c:v>419</c:v>
                </c:pt>
                <c:pt idx="17" formatCode="0.0">
                  <c:v>410</c:v>
                </c:pt>
                <c:pt idx="18" formatCode="0.0">
                  <c:v>671</c:v>
                </c:pt>
                <c:pt idx="19" formatCode="0.0">
                  <c:v>1018</c:v>
                </c:pt>
                <c:pt idx="20" formatCode="0.0">
                  <c:v>569</c:v>
                </c:pt>
                <c:pt idx="21" formatCode="0.0">
                  <c:v>433</c:v>
                </c:pt>
                <c:pt idx="22" formatCode="0.0">
                  <c:v>445</c:v>
                </c:pt>
                <c:pt idx="23" formatCode="0.0">
                  <c:v>443</c:v>
                </c:pt>
              </c:numCache>
            </c:numRef>
          </c:val>
          <c:extLst>
            <c:ext xmlns:c16="http://schemas.microsoft.com/office/drawing/2014/chart" uri="{C3380CC4-5D6E-409C-BE32-E72D297353CC}">
              <c16:uniqueId val="{00000003-32FE-461C-8484-8A1923D25F02}"/>
            </c:ext>
          </c:extLst>
        </c:ser>
        <c:dLbls>
          <c:showLegendKey val="0"/>
          <c:showVal val="0"/>
          <c:showCatName val="0"/>
          <c:showSerName val="0"/>
          <c:showPercent val="0"/>
          <c:showBubbleSize val="0"/>
        </c:dLbls>
        <c:gapWidth val="150"/>
        <c:axId val="122505472"/>
        <c:axId val="122519552"/>
      </c:barChart>
      <c:catAx>
        <c:axId val="122505472"/>
        <c:scaling>
          <c:orientation val="minMax"/>
        </c:scaling>
        <c:delete val="0"/>
        <c:axPos val="b"/>
        <c:numFmt formatCode="0" sourceLinked="0"/>
        <c:majorTickMark val="out"/>
        <c:minorTickMark val="none"/>
        <c:tickLblPos val="nextTo"/>
        <c:txPr>
          <a:bodyPr rot="-2700000" vert="horz"/>
          <a:lstStyle/>
          <a:p>
            <a:pPr>
              <a:defRPr/>
            </a:pPr>
            <a:endParaRPr lang="en-US"/>
          </a:p>
        </c:txPr>
        <c:crossAx val="122519552"/>
        <c:crosses val="autoZero"/>
        <c:auto val="1"/>
        <c:lblAlgn val="ctr"/>
        <c:lblOffset val="100"/>
        <c:tickLblSkip val="1"/>
        <c:tickMarkSkip val="1"/>
        <c:noMultiLvlLbl val="0"/>
      </c:catAx>
      <c:valAx>
        <c:axId val="122519552"/>
        <c:scaling>
          <c:orientation val="minMax"/>
        </c:scaling>
        <c:delete val="0"/>
        <c:axPos val="l"/>
        <c:majorGridlines/>
        <c:minorGridlines/>
        <c:title>
          <c:tx>
            <c:rich>
              <a:bodyPr/>
              <a:lstStyle/>
              <a:p>
                <a:pPr>
                  <a:defRPr/>
                </a:pPr>
                <a:r>
                  <a:rPr lang="en-US"/>
                  <a:t>Nitrate (ug/l)</a:t>
                </a:r>
              </a:p>
            </c:rich>
          </c:tx>
          <c:layout>
            <c:manualLayout>
              <c:xMode val="edge"/>
              <c:yMode val="edge"/>
              <c:x val="1.6042859935693463E-2"/>
              <c:y val="0.37365669291338588"/>
            </c:manualLayout>
          </c:layout>
          <c:overlay val="0"/>
        </c:title>
        <c:numFmt formatCode="#,##0" sourceLinked="0"/>
        <c:majorTickMark val="out"/>
        <c:minorTickMark val="none"/>
        <c:tickLblPos val="nextTo"/>
        <c:txPr>
          <a:bodyPr rot="0" vert="horz"/>
          <a:lstStyle/>
          <a:p>
            <a:pPr>
              <a:defRPr/>
            </a:pPr>
            <a:endParaRPr lang="en-US"/>
          </a:p>
        </c:txPr>
        <c:crossAx val="122505472"/>
        <c:crosses val="autoZero"/>
        <c:crossBetween val="between"/>
      </c:valAx>
    </c:plotArea>
    <c:legend>
      <c:legendPos val="r"/>
      <c:layout>
        <c:manualLayout>
          <c:xMode val="edge"/>
          <c:yMode val="edge"/>
          <c:x val="0.65671998736550075"/>
          <c:y val="0.16975840215095594"/>
          <c:w val="0.28837277861758465"/>
          <c:h val="0.22992835355040225"/>
        </c:manualLayout>
      </c:layout>
      <c:overlay val="0"/>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c:spPr>
      <c:txPr>
        <a:bodyPr/>
        <a:lstStyle/>
        <a:p>
          <a:pPr>
            <a:defRPr sz="1050"/>
          </a:pPr>
          <a:endParaRPr lang="en-US"/>
        </a:p>
      </c:txPr>
    </c:legend>
    <c:plotVisOnly val="1"/>
    <c:dispBlanksAs val="gap"/>
    <c:showDLblsOverMax val="0"/>
  </c:chart>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c:spPr>
  <c:printSettings>
    <c:headerFooter alignWithMargins="0"/>
    <c:pageMargins b="1" l="0.75000000000001465" r="0.75000000000001465" t="1" header="0.5" footer="0.5"/>
    <c:pageSetup orientation="landscape" horizontalDpi="-2" verticalDpi="0"/>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Bear Creek Reservoir </a:t>
            </a:r>
          </a:p>
        </c:rich>
      </c:tx>
      <c:overlay val="0"/>
    </c:title>
    <c:autoTitleDeleted val="0"/>
    <c:plotArea>
      <c:layout/>
      <c:lineChart>
        <c:grouping val="standard"/>
        <c:varyColors val="0"/>
        <c:ser>
          <c:idx val="0"/>
          <c:order val="0"/>
          <c:marker>
            <c:symbol val="none"/>
          </c:marker>
          <c:cat>
            <c:numRef>
              <c:f>'Flood Chemistry'!$AE$11:$AE$64</c:f>
              <c:numCache>
                <c:formatCode>m/d/yyyy</c:formatCode>
                <c:ptCount val="54"/>
                <c:pt idx="0">
                  <c:v>41518</c:v>
                </c:pt>
                <c:pt idx="1">
                  <c:v>41519</c:v>
                </c:pt>
                <c:pt idx="2">
                  <c:v>41520</c:v>
                </c:pt>
                <c:pt idx="3">
                  <c:v>41521</c:v>
                </c:pt>
                <c:pt idx="4">
                  <c:v>41522</c:v>
                </c:pt>
                <c:pt idx="5">
                  <c:v>41523</c:v>
                </c:pt>
                <c:pt idx="6">
                  <c:v>41524</c:v>
                </c:pt>
                <c:pt idx="7">
                  <c:v>41525</c:v>
                </c:pt>
                <c:pt idx="8">
                  <c:v>41526</c:v>
                </c:pt>
                <c:pt idx="9">
                  <c:v>41527</c:v>
                </c:pt>
                <c:pt idx="10">
                  <c:v>41528</c:v>
                </c:pt>
                <c:pt idx="11">
                  <c:v>41529</c:v>
                </c:pt>
                <c:pt idx="12">
                  <c:v>41530</c:v>
                </c:pt>
                <c:pt idx="13">
                  <c:v>41531</c:v>
                </c:pt>
                <c:pt idx="14">
                  <c:v>41532</c:v>
                </c:pt>
                <c:pt idx="15">
                  <c:v>41533</c:v>
                </c:pt>
                <c:pt idx="16">
                  <c:v>41534</c:v>
                </c:pt>
                <c:pt idx="17">
                  <c:v>41535</c:v>
                </c:pt>
                <c:pt idx="18">
                  <c:v>41536</c:v>
                </c:pt>
                <c:pt idx="19">
                  <c:v>41537</c:v>
                </c:pt>
                <c:pt idx="20">
                  <c:v>41538</c:v>
                </c:pt>
                <c:pt idx="21">
                  <c:v>41539</c:v>
                </c:pt>
                <c:pt idx="22">
                  <c:v>41540</c:v>
                </c:pt>
                <c:pt idx="23">
                  <c:v>41541</c:v>
                </c:pt>
                <c:pt idx="24">
                  <c:v>41542</c:v>
                </c:pt>
                <c:pt idx="25">
                  <c:v>41543</c:v>
                </c:pt>
                <c:pt idx="26">
                  <c:v>41544</c:v>
                </c:pt>
                <c:pt idx="27">
                  <c:v>41545</c:v>
                </c:pt>
                <c:pt idx="28">
                  <c:v>41546</c:v>
                </c:pt>
                <c:pt idx="29">
                  <c:v>41547</c:v>
                </c:pt>
                <c:pt idx="30">
                  <c:v>41548</c:v>
                </c:pt>
                <c:pt idx="31">
                  <c:v>41549</c:v>
                </c:pt>
                <c:pt idx="32">
                  <c:v>41550</c:v>
                </c:pt>
                <c:pt idx="33">
                  <c:v>41551</c:v>
                </c:pt>
                <c:pt idx="34">
                  <c:v>41552</c:v>
                </c:pt>
                <c:pt idx="35">
                  <c:v>41553</c:v>
                </c:pt>
                <c:pt idx="36">
                  <c:v>41554</c:v>
                </c:pt>
                <c:pt idx="37">
                  <c:v>41555</c:v>
                </c:pt>
                <c:pt idx="38">
                  <c:v>41556</c:v>
                </c:pt>
                <c:pt idx="39">
                  <c:v>41557</c:v>
                </c:pt>
                <c:pt idx="40">
                  <c:v>41558</c:v>
                </c:pt>
                <c:pt idx="41">
                  <c:v>41559</c:v>
                </c:pt>
                <c:pt idx="42">
                  <c:v>41560</c:v>
                </c:pt>
                <c:pt idx="43">
                  <c:v>41561</c:v>
                </c:pt>
                <c:pt idx="44">
                  <c:v>41562</c:v>
                </c:pt>
                <c:pt idx="45">
                  <c:v>41563</c:v>
                </c:pt>
                <c:pt idx="46">
                  <c:v>41564</c:v>
                </c:pt>
                <c:pt idx="47">
                  <c:v>41565</c:v>
                </c:pt>
                <c:pt idx="48">
                  <c:v>41566</c:v>
                </c:pt>
                <c:pt idx="49">
                  <c:v>41567</c:v>
                </c:pt>
                <c:pt idx="50">
                  <c:v>41568</c:v>
                </c:pt>
                <c:pt idx="51">
                  <c:v>41569</c:v>
                </c:pt>
                <c:pt idx="52">
                  <c:v>41570</c:v>
                </c:pt>
                <c:pt idx="53">
                  <c:v>41571</c:v>
                </c:pt>
              </c:numCache>
            </c:numRef>
          </c:cat>
          <c:val>
            <c:numRef>
              <c:f>'Flood Chemistry'!$AF$11:$AF$64</c:f>
              <c:numCache>
                <c:formatCode>0.0</c:formatCode>
                <c:ptCount val="54"/>
                <c:pt idx="0">
                  <c:v>1954</c:v>
                </c:pt>
                <c:pt idx="1">
                  <c:v>1977</c:v>
                </c:pt>
                <c:pt idx="2">
                  <c:v>1955</c:v>
                </c:pt>
                <c:pt idx="3">
                  <c:v>1932</c:v>
                </c:pt>
                <c:pt idx="4">
                  <c:v>1899</c:v>
                </c:pt>
                <c:pt idx="5">
                  <c:v>1867</c:v>
                </c:pt>
                <c:pt idx="6">
                  <c:v>1849</c:v>
                </c:pt>
                <c:pt idx="7">
                  <c:v>1831</c:v>
                </c:pt>
                <c:pt idx="8">
                  <c:v>1817</c:v>
                </c:pt>
                <c:pt idx="9">
                  <c:v>1955</c:v>
                </c:pt>
                <c:pt idx="10">
                  <c:v>2093</c:v>
                </c:pt>
                <c:pt idx="11">
                  <c:v>2270</c:v>
                </c:pt>
                <c:pt idx="12">
                  <c:v>3857</c:v>
                </c:pt>
                <c:pt idx="13">
                  <c:v>5975</c:v>
                </c:pt>
                <c:pt idx="14">
                  <c:v>7742</c:v>
                </c:pt>
                <c:pt idx="15">
                  <c:v>10077</c:v>
                </c:pt>
                <c:pt idx="16">
                  <c:v>11500</c:v>
                </c:pt>
                <c:pt idx="17">
                  <c:v>12693</c:v>
                </c:pt>
                <c:pt idx="18">
                  <c:v>13404</c:v>
                </c:pt>
                <c:pt idx="19">
                  <c:v>13912</c:v>
                </c:pt>
                <c:pt idx="20">
                  <c:v>14250</c:v>
                </c:pt>
                <c:pt idx="21">
                  <c:v>14500</c:v>
                </c:pt>
                <c:pt idx="22">
                  <c:v>14270</c:v>
                </c:pt>
                <c:pt idx="23">
                  <c:v>13934</c:v>
                </c:pt>
                <c:pt idx="24">
                  <c:v>13369</c:v>
                </c:pt>
                <c:pt idx="25">
                  <c:v>12742</c:v>
                </c:pt>
                <c:pt idx="26">
                  <c:v>12101</c:v>
                </c:pt>
                <c:pt idx="27">
                  <c:v>11482</c:v>
                </c:pt>
                <c:pt idx="28">
                  <c:v>11000</c:v>
                </c:pt>
                <c:pt idx="29">
                  <c:v>10000</c:v>
                </c:pt>
                <c:pt idx="30">
                  <c:v>9250</c:v>
                </c:pt>
                <c:pt idx="31">
                  <c:v>8670</c:v>
                </c:pt>
                <c:pt idx="32">
                  <c:v>7927</c:v>
                </c:pt>
                <c:pt idx="33">
                  <c:v>7265</c:v>
                </c:pt>
                <c:pt idx="34">
                  <c:v>6831</c:v>
                </c:pt>
                <c:pt idx="35">
                  <c:v>6382</c:v>
                </c:pt>
                <c:pt idx="36">
                  <c:v>5927</c:v>
                </c:pt>
                <c:pt idx="37">
                  <c:v>5459</c:v>
                </c:pt>
                <c:pt idx="38">
                  <c:v>4966</c:v>
                </c:pt>
                <c:pt idx="39">
                  <c:v>4470</c:v>
                </c:pt>
                <c:pt idx="40">
                  <c:v>4004</c:v>
                </c:pt>
                <c:pt idx="41">
                  <c:v>3724</c:v>
                </c:pt>
                <c:pt idx="42">
                  <c:v>3466</c:v>
                </c:pt>
                <c:pt idx="43">
                  <c:v>3210</c:v>
                </c:pt>
                <c:pt idx="44">
                  <c:v>2955</c:v>
                </c:pt>
                <c:pt idx="45">
                  <c:v>2701</c:v>
                </c:pt>
                <c:pt idx="46">
                  <c:v>2418</c:v>
                </c:pt>
                <c:pt idx="47">
                  <c:v>2118</c:v>
                </c:pt>
                <c:pt idx="48">
                  <c:v>2004</c:v>
                </c:pt>
                <c:pt idx="49">
                  <c:v>1992</c:v>
                </c:pt>
                <c:pt idx="50">
                  <c:v>1992</c:v>
                </c:pt>
                <c:pt idx="51">
                  <c:v>1988</c:v>
                </c:pt>
                <c:pt idx="52">
                  <c:v>1985</c:v>
                </c:pt>
                <c:pt idx="53">
                  <c:v>1983</c:v>
                </c:pt>
              </c:numCache>
            </c:numRef>
          </c:val>
          <c:smooth val="0"/>
          <c:extLst>
            <c:ext xmlns:c16="http://schemas.microsoft.com/office/drawing/2014/chart" uri="{C3380CC4-5D6E-409C-BE32-E72D297353CC}">
              <c16:uniqueId val="{00000000-FF53-4180-B3A9-C919F0E14940}"/>
            </c:ext>
          </c:extLst>
        </c:ser>
        <c:dLbls>
          <c:showLegendKey val="0"/>
          <c:showVal val="0"/>
          <c:showCatName val="0"/>
          <c:showSerName val="0"/>
          <c:showPercent val="0"/>
          <c:showBubbleSize val="0"/>
        </c:dLbls>
        <c:smooth val="0"/>
        <c:axId val="154845568"/>
        <c:axId val="154847104"/>
      </c:lineChart>
      <c:dateAx>
        <c:axId val="154845568"/>
        <c:scaling>
          <c:orientation val="minMax"/>
        </c:scaling>
        <c:delete val="0"/>
        <c:axPos val="b"/>
        <c:majorGridlines/>
        <c:minorGridlines/>
        <c:numFmt formatCode="[$-409]d\-mmm;@" sourceLinked="0"/>
        <c:majorTickMark val="none"/>
        <c:minorTickMark val="none"/>
        <c:tickLblPos val="nextTo"/>
        <c:crossAx val="154847104"/>
        <c:crosses val="autoZero"/>
        <c:auto val="1"/>
        <c:lblOffset val="100"/>
        <c:baseTimeUnit val="days"/>
      </c:dateAx>
      <c:valAx>
        <c:axId val="154847104"/>
        <c:scaling>
          <c:orientation val="minMax"/>
        </c:scaling>
        <c:delete val="0"/>
        <c:axPos val="l"/>
        <c:majorGridlines/>
        <c:minorGridlines/>
        <c:title>
          <c:tx>
            <c:rich>
              <a:bodyPr/>
              <a:lstStyle/>
              <a:p>
                <a:pPr>
                  <a:defRPr/>
                </a:pPr>
                <a:r>
                  <a:rPr lang="en-US"/>
                  <a:t>Acre-Feet Storage</a:t>
                </a:r>
              </a:p>
            </c:rich>
          </c:tx>
          <c:overlay val="0"/>
        </c:title>
        <c:numFmt formatCode="#,##0.0" sourceLinked="0"/>
        <c:majorTickMark val="none"/>
        <c:minorTickMark val="none"/>
        <c:tickLblPos val="nextTo"/>
        <c:crossAx val="154845568"/>
        <c:crosses val="autoZero"/>
        <c:crossBetween val="between"/>
      </c:valAx>
      <c:spPr>
        <a:gradFill>
          <a:gsLst>
            <a:gs pos="0">
              <a:schemeClr val="accent6">
                <a:lumMod val="60000"/>
                <a:lumOff val="40000"/>
              </a:schemeClr>
            </a:gs>
            <a:gs pos="50000">
              <a:srgbClr val="4F81BD">
                <a:tint val="44500"/>
                <a:satMod val="160000"/>
              </a:srgbClr>
            </a:gs>
            <a:gs pos="100000">
              <a:srgbClr val="4F81BD">
                <a:tint val="23500"/>
                <a:satMod val="160000"/>
              </a:srgbClr>
            </a:gs>
          </a:gsLst>
          <a:lin ang="5400000" scaled="0"/>
        </a:gradFill>
      </c:spPr>
    </c:plotArea>
    <c:plotVisOnly val="1"/>
    <c:dispBlanksAs val="gap"/>
    <c:showDLblsOverMax val="0"/>
  </c:chart>
  <c:printSettings>
    <c:headerFooter/>
    <c:pageMargins b="0.75000000000000622" l="0.70000000000000062" r="0.70000000000000062" t="0.75000000000000622" header="0.30000000000000032" footer="0.30000000000000032"/>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'Flood Chemistry'!$J$47</c:f>
              <c:strCache>
                <c:ptCount val="1"/>
                <c:pt idx="0">
                  <c:v>4-Jul</c:v>
                </c:pt>
              </c:strCache>
            </c:strRef>
          </c:tx>
          <c:invertIfNegative val="0"/>
          <c:cat>
            <c:strRef>
              <c:f>'Flood Chemistry'!$I$48:$I$59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'Flood Chemistry'!$J$48:$J$59</c:f>
              <c:numCache>
                <c:formatCode>#,##0</c:formatCode>
                <c:ptCount val="12"/>
                <c:pt idx="0">
                  <c:v>1965.4831145907301</c:v>
                </c:pt>
                <c:pt idx="1">
                  <c:v>2595.7086926043007</c:v>
                </c:pt>
                <c:pt idx="2">
                  <c:v>1513.9777530242402</c:v>
                </c:pt>
                <c:pt idx="3">
                  <c:v>967.72126776570019</c:v>
                </c:pt>
                <c:pt idx="4">
                  <c:v>2298.63635836506</c:v>
                </c:pt>
                <c:pt idx="5">
                  <c:v>883.70773540560003</c:v>
                </c:pt>
                <c:pt idx="6">
                  <c:v>1797.4112727836477</c:v>
                </c:pt>
                <c:pt idx="7">
                  <c:v>961.35484886342999</c:v>
                </c:pt>
                <c:pt idx="8">
                  <c:v>676.53264544267506</c:v>
                </c:pt>
                <c:pt idx="9">
                  <c:v>759.96843593832</c:v>
                </c:pt>
                <c:pt idx="10">
                  <c:v>692.71354842480002</c:v>
                </c:pt>
                <c:pt idx="11">
                  <c:v>773.46684448488008</c:v>
                </c:pt>
              </c:numCache>
            </c:numRef>
          </c:val>
          <c:extLst>
            <c:ext xmlns:c16="http://schemas.microsoft.com/office/drawing/2014/chart" uri="{C3380CC4-5D6E-409C-BE32-E72D297353CC}">
              <c16:uniqueId val="{00000000-7E3A-4B8F-8C99-D69B34A24DE0}"/>
            </c:ext>
          </c:extLst>
        </c:ser>
        <c:ser>
          <c:idx val="1"/>
          <c:order val="1"/>
          <c:tx>
            <c:strRef>
              <c:f>'Flood Chemistry'!$K$47</c:f>
              <c:strCache>
                <c:ptCount val="1"/>
                <c:pt idx="0">
                  <c:v>5-Jul</c:v>
                </c:pt>
              </c:strCache>
            </c:strRef>
          </c:tx>
          <c:invertIfNegative val="0"/>
          <c:cat>
            <c:strRef>
              <c:f>'Flood Chemistry'!$I$48:$I$59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'Flood Chemistry'!$K$48:$K$59</c:f>
              <c:numCache>
                <c:formatCode>#,##0</c:formatCode>
                <c:ptCount val="12"/>
                <c:pt idx="0">
                  <c:v>1860.3984057941102</c:v>
                </c:pt>
                <c:pt idx="1">
                  <c:v>177.39944762568004</c:v>
                </c:pt>
                <c:pt idx="2">
                  <c:v>302.29806461526005</c:v>
                </c:pt>
                <c:pt idx="3">
                  <c:v>939.52506730950006</c:v>
                </c:pt>
                <c:pt idx="4">
                  <c:v>14514.113572394941</c:v>
                </c:pt>
                <c:pt idx="5">
                  <c:v>1515.9710016045001</c:v>
                </c:pt>
                <c:pt idx="6">
                  <c:v>1194.95063396772</c:v>
                </c:pt>
                <c:pt idx="7">
                  <c:v>3340</c:v>
                </c:pt>
                <c:pt idx="8">
                  <c:v>81560</c:v>
                </c:pt>
                <c:pt idx="9">
                  <c:v>9228</c:v>
                </c:pt>
              </c:numCache>
            </c:numRef>
          </c:val>
          <c:extLst>
            <c:ext xmlns:c16="http://schemas.microsoft.com/office/drawing/2014/chart" uri="{C3380CC4-5D6E-409C-BE32-E72D297353CC}">
              <c16:uniqueId val="{00000001-7E3A-4B8F-8C99-D69B34A24DE0}"/>
            </c:ext>
          </c:extLst>
        </c:ser>
        <c:dLbls>
          <c:showLegendKey val="0"/>
          <c:showVal val="0"/>
          <c:showCatName val="0"/>
          <c:showSerName val="0"/>
          <c:showPercent val="0"/>
          <c:showBubbleSize val="0"/>
        </c:dLbls>
        <c:gapWidth val="150"/>
        <c:axId val="131471616"/>
        <c:axId val="131481600"/>
      </c:barChart>
      <c:catAx>
        <c:axId val="131471616"/>
        <c:scaling>
          <c:orientation val="minMax"/>
        </c:scaling>
        <c:delete val="0"/>
        <c:axPos val="b"/>
        <c:numFmt formatCode="General" sourceLinked="0"/>
        <c:majorTickMark val="out"/>
        <c:minorTickMark val="none"/>
        <c:tickLblPos val="nextTo"/>
        <c:crossAx val="131481600"/>
        <c:crosses val="autoZero"/>
        <c:auto val="1"/>
        <c:lblAlgn val="ctr"/>
        <c:lblOffset val="100"/>
        <c:noMultiLvlLbl val="0"/>
      </c:catAx>
      <c:valAx>
        <c:axId val="131481600"/>
        <c:scaling>
          <c:orientation val="minMax"/>
        </c:scaling>
        <c:delete val="0"/>
        <c:axPos val="l"/>
        <c:majorGridlines/>
        <c:numFmt formatCode="#,##0" sourceLinked="1"/>
        <c:majorTickMark val="out"/>
        <c:minorTickMark val="none"/>
        <c:tickLblPos val="nextTo"/>
        <c:crossAx val="131471616"/>
        <c:crosses val="autoZero"/>
        <c:crossBetween val="between"/>
      </c:valAx>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c:spPr>
    </c:plotArea>
    <c:legend>
      <c:legendPos val="r"/>
      <c:overlay val="0"/>
    </c:legend>
    <c:plotVisOnly val="1"/>
    <c:dispBlanksAs val="gap"/>
    <c:showDLblsOverMax val="0"/>
  </c:chart>
  <c:printSettings>
    <c:headerFooter/>
    <c:pageMargins b="0.75000000000000544" l="0.70000000000000062" r="0.70000000000000062" t="0.75000000000000544" header="0.30000000000000032" footer="0.30000000000000032"/>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'Flood Chemistry'!$I$48</c:f>
              <c:strCache>
                <c:ptCount val="1"/>
                <c:pt idx="0">
                  <c:v>Jan</c:v>
                </c:pt>
              </c:strCache>
            </c:strRef>
          </c:tx>
          <c:invertIfNegative val="0"/>
          <c:cat>
            <c:numRef>
              <c:f>'Flood Chemistry'!$J$47:$K$47</c:f>
              <c:numCache>
                <c:formatCode>[$-409]d\-mmm;@</c:formatCode>
                <c:ptCount val="2"/>
                <c:pt idx="0">
                  <c:v>2012</c:v>
                </c:pt>
                <c:pt idx="1">
                  <c:v>2013</c:v>
                </c:pt>
              </c:numCache>
            </c:numRef>
          </c:cat>
          <c:val>
            <c:numRef>
              <c:f>'Flood Chemistry'!$J$48:$K$48</c:f>
              <c:numCache>
                <c:formatCode>#,##0</c:formatCode>
                <c:ptCount val="2"/>
                <c:pt idx="0">
                  <c:v>1965.4831145907301</c:v>
                </c:pt>
                <c:pt idx="1">
                  <c:v>1860.3984057941102</c:v>
                </c:pt>
              </c:numCache>
            </c:numRef>
          </c:val>
          <c:extLst>
            <c:ext xmlns:c16="http://schemas.microsoft.com/office/drawing/2014/chart" uri="{C3380CC4-5D6E-409C-BE32-E72D297353CC}">
              <c16:uniqueId val="{00000000-BAF5-42FA-BF4C-20F298CF09B2}"/>
            </c:ext>
          </c:extLst>
        </c:ser>
        <c:ser>
          <c:idx val="1"/>
          <c:order val="1"/>
          <c:tx>
            <c:strRef>
              <c:f>'Flood Chemistry'!$I$49</c:f>
              <c:strCache>
                <c:ptCount val="1"/>
                <c:pt idx="0">
                  <c:v>Feb</c:v>
                </c:pt>
              </c:strCache>
            </c:strRef>
          </c:tx>
          <c:invertIfNegative val="0"/>
          <c:cat>
            <c:numRef>
              <c:f>'Flood Chemistry'!$J$47:$K$47</c:f>
              <c:numCache>
                <c:formatCode>[$-409]d\-mmm;@</c:formatCode>
                <c:ptCount val="2"/>
                <c:pt idx="0">
                  <c:v>2012</c:v>
                </c:pt>
                <c:pt idx="1">
                  <c:v>2013</c:v>
                </c:pt>
              </c:numCache>
            </c:numRef>
          </c:cat>
          <c:val>
            <c:numRef>
              <c:f>'Flood Chemistry'!$J$49:$K$49</c:f>
              <c:numCache>
                <c:formatCode>#,##0</c:formatCode>
                <c:ptCount val="2"/>
                <c:pt idx="0">
                  <c:v>2595.7086926043007</c:v>
                </c:pt>
                <c:pt idx="1">
                  <c:v>177.39944762568004</c:v>
                </c:pt>
              </c:numCache>
            </c:numRef>
          </c:val>
          <c:extLst>
            <c:ext xmlns:c16="http://schemas.microsoft.com/office/drawing/2014/chart" uri="{C3380CC4-5D6E-409C-BE32-E72D297353CC}">
              <c16:uniqueId val="{00000001-BAF5-42FA-BF4C-20F298CF09B2}"/>
            </c:ext>
          </c:extLst>
        </c:ser>
        <c:ser>
          <c:idx val="2"/>
          <c:order val="2"/>
          <c:tx>
            <c:strRef>
              <c:f>'Flood Chemistry'!$I$50</c:f>
              <c:strCache>
                <c:ptCount val="1"/>
                <c:pt idx="0">
                  <c:v>Mar</c:v>
                </c:pt>
              </c:strCache>
            </c:strRef>
          </c:tx>
          <c:invertIfNegative val="0"/>
          <c:cat>
            <c:numRef>
              <c:f>'Flood Chemistry'!$J$47:$K$47</c:f>
              <c:numCache>
                <c:formatCode>[$-409]d\-mmm;@</c:formatCode>
                <c:ptCount val="2"/>
                <c:pt idx="0">
                  <c:v>2012</c:v>
                </c:pt>
                <c:pt idx="1">
                  <c:v>2013</c:v>
                </c:pt>
              </c:numCache>
            </c:numRef>
          </c:cat>
          <c:val>
            <c:numRef>
              <c:f>'Flood Chemistry'!$J$50:$K$50</c:f>
              <c:numCache>
                <c:formatCode>#,##0</c:formatCode>
                <c:ptCount val="2"/>
                <c:pt idx="0">
                  <c:v>1513.9777530242402</c:v>
                </c:pt>
                <c:pt idx="1">
                  <c:v>302.29806461526005</c:v>
                </c:pt>
              </c:numCache>
            </c:numRef>
          </c:val>
          <c:extLst>
            <c:ext xmlns:c16="http://schemas.microsoft.com/office/drawing/2014/chart" uri="{C3380CC4-5D6E-409C-BE32-E72D297353CC}">
              <c16:uniqueId val="{00000002-BAF5-42FA-BF4C-20F298CF09B2}"/>
            </c:ext>
          </c:extLst>
        </c:ser>
        <c:ser>
          <c:idx val="3"/>
          <c:order val="3"/>
          <c:tx>
            <c:strRef>
              <c:f>'Flood Chemistry'!$I$51</c:f>
              <c:strCache>
                <c:ptCount val="1"/>
                <c:pt idx="0">
                  <c:v>Apr</c:v>
                </c:pt>
              </c:strCache>
            </c:strRef>
          </c:tx>
          <c:invertIfNegative val="0"/>
          <c:cat>
            <c:numRef>
              <c:f>'Flood Chemistry'!$J$47:$K$47</c:f>
              <c:numCache>
                <c:formatCode>[$-409]d\-mmm;@</c:formatCode>
                <c:ptCount val="2"/>
                <c:pt idx="0">
                  <c:v>2012</c:v>
                </c:pt>
                <c:pt idx="1">
                  <c:v>2013</c:v>
                </c:pt>
              </c:numCache>
            </c:numRef>
          </c:cat>
          <c:val>
            <c:numRef>
              <c:f>'Flood Chemistry'!$J$51:$K$51</c:f>
              <c:numCache>
                <c:formatCode>#,##0</c:formatCode>
                <c:ptCount val="2"/>
                <c:pt idx="0">
                  <c:v>967.72126776570019</c:v>
                </c:pt>
                <c:pt idx="1">
                  <c:v>939.52506730950006</c:v>
                </c:pt>
              </c:numCache>
            </c:numRef>
          </c:val>
          <c:extLst>
            <c:ext xmlns:c16="http://schemas.microsoft.com/office/drawing/2014/chart" uri="{C3380CC4-5D6E-409C-BE32-E72D297353CC}">
              <c16:uniqueId val="{00000003-BAF5-42FA-BF4C-20F298CF09B2}"/>
            </c:ext>
          </c:extLst>
        </c:ser>
        <c:ser>
          <c:idx val="4"/>
          <c:order val="4"/>
          <c:tx>
            <c:strRef>
              <c:f>'Flood Chemistry'!$I$52</c:f>
              <c:strCache>
                <c:ptCount val="1"/>
                <c:pt idx="0">
                  <c:v>May</c:v>
                </c:pt>
              </c:strCache>
            </c:strRef>
          </c:tx>
          <c:invertIfNegative val="0"/>
          <c:cat>
            <c:numRef>
              <c:f>'Flood Chemistry'!$J$47:$K$47</c:f>
              <c:numCache>
                <c:formatCode>[$-409]d\-mmm;@</c:formatCode>
                <c:ptCount val="2"/>
                <c:pt idx="0">
                  <c:v>2012</c:v>
                </c:pt>
                <c:pt idx="1">
                  <c:v>2013</c:v>
                </c:pt>
              </c:numCache>
            </c:numRef>
          </c:cat>
          <c:val>
            <c:numRef>
              <c:f>'Flood Chemistry'!$J$52:$K$52</c:f>
              <c:numCache>
                <c:formatCode>#,##0</c:formatCode>
                <c:ptCount val="2"/>
                <c:pt idx="0">
                  <c:v>2298.63635836506</c:v>
                </c:pt>
                <c:pt idx="1">
                  <c:v>14514.113572394941</c:v>
                </c:pt>
              </c:numCache>
            </c:numRef>
          </c:val>
          <c:extLst>
            <c:ext xmlns:c16="http://schemas.microsoft.com/office/drawing/2014/chart" uri="{C3380CC4-5D6E-409C-BE32-E72D297353CC}">
              <c16:uniqueId val="{00000004-BAF5-42FA-BF4C-20F298CF09B2}"/>
            </c:ext>
          </c:extLst>
        </c:ser>
        <c:ser>
          <c:idx val="5"/>
          <c:order val="5"/>
          <c:tx>
            <c:strRef>
              <c:f>'Flood Chemistry'!$I$53</c:f>
              <c:strCache>
                <c:ptCount val="1"/>
                <c:pt idx="0">
                  <c:v>Jun</c:v>
                </c:pt>
              </c:strCache>
            </c:strRef>
          </c:tx>
          <c:invertIfNegative val="0"/>
          <c:cat>
            <c:numRef>
              <c:f>'Flood Chemistry'!$J$47:$K$47</c:f>
              <c:numCache>
                <c:formatCode>[$-409]d\-mmm;@</c:formatCode>
                <c:ptCount val="2"/>
                <c:pt idx="0">
                  <c:v>2012</c:v>
                </c:pt>
                <c:pt idx="1">
                  <c:v>2013</c:v>
                </c:pt>
              </c:numCache>
            </c:numRef>
          </c:cat>
          <c:val>
            <c:numRef>
              <c:f>'Flood Chemistry'!$J$53:$K$53</c:f>
              <c:numCache>
                <c:formatCode>#,##0</c:formatCode>
                <c:ptCount val="2"/>
                <c:pt idx="0">
                  <c:v>883.70773540560003</c:v>
                </c:pt>
                <c:pt idx="1">
                  <c:v>1515.9710016045001</c:v>
                </c:pt>
              </c:numCache>
            </c:numRef>
          </c:val>
          <c:extLst>
            <c:ext xmlns:c16="http://schemas.microsoft.com/office/drawing/2014/chart" uri="{C3380CC4-5D6E-409C-BE32-E72D297353CC}">
              <c16:uniqueId val="{00000005-BAF5-42FA-BF4C-20F298CF09B2}"/>
            </c:ext>
          </c:extLst>
        </c:ser>
        <c:ser>
          <c:idx val="6"/>
          <c:order val="6"/>
          <c:tx>
            <c:strRef>
              <c:f>'Flood Chemistry'!$I$54</c:f>
              <c:strCache>
                <c:ptCount val="1"/>
                <c:pt idx="0">
                  <c:v>Jul</c:v>
                </c:pt>
              </c:strCache>
            </c:strRef>
          </c:tx>
          <c:invertIfNegative val="0"/>
          <c:cat>
            <c:numRef>
              <c:f>'Flood Chemistry'!$J$47:$K$47</c:f>
              <c:numCache>
                <c:formatCode>[$-409]d\-mmm;@</c:formatCode>
                <c:ptCount val="2"/>
                <c:pt idx="0">
                  <c:v>2012</c:v>
                </c:pt>
                <c:pt idx="1">
                  <c:v>2013</c:v>
                </c:pt>
              </c:numCache>
            </c:numRef>
          </c:cat>
          <c:val>
            <c:numRef>
              <c:f>'Flood Chemistry'!$J$54:$K$54</c:f>
              <c:numCache>
                <c:formatCode>#,##0</c:formatCode>
                <c:ptCount val="2"/>
                <c:pt idx="0">
                  <c:v>1797.4112727836477</c:v>
                </c:pt>
                <c:pt idx="1">
                  <c:v>1194.95063396772</c:v>
                </c:pt>
              </c:numCache>
            </c:numRef>
          </c:val>
          <c:extLst>
            <c:ext xmlns:c16="http://schemas.microsoft.com/office/drawing/2014/chart" uri="{C3380CC4-5D6E-409C-BE32-E72D297353CC}">
              <c16:uniqueId val="{00000006-BAF5-42FA-BF4C-20F298CF09B2}"/>
            </c:ext>
          </c:extLst>
        </c:ser>
        <c:ser>
          <c:idx val="7"/>
          <c:order val="7"/>
          <c:tx>
            <c:strRef>
              <c:f>'Flood Chemistry'!$I$55</c:f>
              <c:strCache>
                <c:ptCount val="1"/>
                <c:pt idx="0">
                  <c:v>Aug</c:v>
                </c:pt>
              </c:strCache>
            </c:strRef>
          </c:tx>
          <c:invertIfNegative val="0"/>
          <c:cat>
            <c:numRef>
              <c:f>'Flood Chemistry'!$J$47:$K$47</c:f>
              <c:numCache>
                <c:formatCode>[$-409]d\-mmm;@</c:formatCode>
                <c:ptCount val="2"/>
                <c:pt idx="0">
                  <c:v>2012</c:v>
                </c:pt>
                <c:pt idx="1">
                  <c:v>2013</c:v>
                </c:pt>
              </c:numCache>
            </c:numRef>
          </c:cat>
          <c:val>
            <c:numRef>
              <c:f>'Flood Chemistry'!$J$55:$K$55</c:f>
              <c:numCache>
                <c:formatCode>#,##0</c:formatCode>
                <c:ptCount val="2"/>
                <c:pt idx="0">
                  <c:v>961.35484886342999</c:v>
                </c:pt>
                <c:pt idx="1">
                  <c:v>3340</c:v>
                </c:pt>
              </c:numCache>
            </c:numRef>
          </c:val>
          <c:extLst>
            <c:ext xmlns:c16="http://schemas.microsoft.com/office/drawing/2014/chart" uri="{C3380CC4-5D6E-409C-BE32-E72D297353CC}">
              <c16:uniqueId val="{00000007-BAF5-42FA-BF4C-20F298CF09B2}"/>
            </c:ext>
          </c:extLst>
        </c:ser>
        <c:dLbls>
          <c:showLegendKey val="0"/>
          <c:showVal val="0"/>
          <c:showCatName val="0"/>
          <c:showSerName val="0"/>
          <c:showPercent val="0"/>
          <c:showBubbleSize val="0"/>
        </c:dLbls>
        <c:gapWidth val="150"/>
        <c:axId val="131523328"/>
        <c:axId val="131524864"/>
      </c:barChart>
      <c:dateAx>
        <c:axId val="131523328"/>
        <c:scaling>
          <c:orientation val="minMax"/>
        </c:scaling>
        <c:delete val="0"/>
        <c:axPos val="b"/>
        <c:numFmt formatCode="[$-409]d\-mmm;@" sourceLinked="1"/>
        <c:majorTickMark val="out"/>
        <c:minorTickMark val="none"/>
        <c:tickLblPos val="nextTo"/>
        <c:crossAx val="131524864"/>
        <c:crosses val="autoZero"/>
        <c:auto val="1"/>
        <c:lblOffset val="100"/>
        <c:baseTimeUnit val="days"/>
      </c:dateAx>
      <c:valAx>
        <c:axId val="131524864"/>
        <c:scaling>
          <c:orientation val="minMax"/>
        </c:scaling>
        <c:delete val="0"/>
        <c:axPos val="l"/>
        <c:majorGridlines/>
        <c:numFmt formatCode="#,##0" sourceLinked="1"/>
        <c:majorTickMark val="out"/>
        <c:minorTickMark val="none"/>
        <c:tickLblPos val="nextTo"/>
        <c:crossAx val="131523328"/>
        <c:crosses val="autoZero"/>
        <c:crossBetween val="between"/>
      </c:valAx>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c:spPr>
    </c:plotArea>
    <c:legend>
      <c:legendPos val="r"/>
      <c:overlay val="0"/>
    </c:legend>
    <c:plotVisOnly val="1"/>
    <c:dispBlanksAs val="gap"/>
    <c:showDLblsOverMax val="0"/>
  </c:chart>
  <c:printSettings>
    <c:headerFooter/>
    <c:pageMargins b="0.75000000000000533" l="0.70000000000000062" r="0.70000000000000062" t="0.75000000000000533" header="0.30000000000000032" footer="0.30000000000000032"/>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Total Nitrogen EGL</a:t>
            </a:r>
          </a:p>
        </c:rich>
      </c:tx>
      <c:overlay val="0"/>
    </c:title>
    <c:autoTitleDeleted val="0"/>
    <c:plotArea>
      <c:layout>
        <c:manualLayout>
          <c:layoutTarget val="inner"/>
          <c:xMode val="edge"/>
          <c:yMode val="edge"/>
          <c:x val="0.13273729420186195"/>
          <c:y val="0.12031663239547286"/>
          <c:w val="0.84504048357591932"/>
          <c:h val="0.47960680074226592"/>
        </c:manualLayout>
      </c:layout>
      <c:lineChart>
        <c:grouping val="standard"/>
        <c:varyColors val="0"/>
        <c:ser>
          <c:idx val="0"/>
          <c:order val="0"/>
          <c:tx>
            <c:strRef>
              <c:f>'Evergreen Lake'!$A$4:$A$12</c:f>
              <c:strCache>
                <c:ptCount val="1"/>
                <c:pt idx="0">
                  <c:v>EGL 4a</c:v>
                </c:pt>
              </c:strCache>
            </c:strRef>
          </c:tx>
          <c:marker>
            <c:symbol val="none"/>
          </c:marker>
          <c:cat>
            <c:numRef>
              <c:f>'Evergreen Lake'!$C$3:$I$3</c:f>
              <c:numCache>
                <c:formatCode>[$-409]d\-mmm;@</c:formatCode>
                <c:ptCount val="7"/>
                <c:pt idx="0">
                  <c:v>41414</c:v>
                </c:pt>
                <c:pt idx="1">
                  <c:v>41442</c:v>
                </c:pt>
                <c:pt idx="2">
                  <c:v>41477</c:v>
                </c:pt>
                <c:pt idx="3">
                  <c:v>41512</c:v>
                </c:pt>
                <c:pt idx="4">
                  <c:v>41541</c:v>
                </c:pt>
                <c:pt idx="5">
                  <c:v>41556</c:v>
                </c:pt>
                <c:pt idx="6">
                  <c:v>41568</c:v>
                </c:pt>
              </c:numCache>
            </c:numRef>
          </c:cat>
          <c:val>
            <c:numRef>
              <c:f>'Evergreen Lake'!$C$4:$I$4</c:f>
              <c:numCache>
                <c:formatCode>0</c:formatCode>
                <c:ptCount val="7"/>
                <c:pt idx="0">
                  <c:v>477</c:v>
                </c:pt>
                <c:pt idx="1">
                  <c:v>243</c:v>
                </c:pt>
                <c:pt idx="2">
                  <c:v>392</c:v>
                </c:pt>
                <c:pt idx="3">
                  <c:v>451</c:v>
                </c:pt>
                <c:pt idx="4">
                  <c:v>401</c:v>
                </c:pt>
                <c:pt idx="5">
                  <c:v>183</c:v>
                </c:pt>
                <c:pt idx="6">
                  <c:v>247</c:v>
                </c:pt>
              </c:numCache>
            </c:numRef>
          </c:val>
          <c:smooth val="0"/>
          <c:extLst>
            <c:ext xmlns:c16="http://schemas.microsoft.com/office/drawing/2014/chart" uri="{C3380CC4-5D6E-409C-BE32-E72D297353CC}">
              <c16:uniqueId val="{00000000-E661-48F7-B58E-8712928F57AB}"/>
            </c:ext>
          </c:extLst>
        </c:ser>
        <c:ser>
          <c:idx val="1"/>
          <c:order val="1"/>
          <c:tx>
            <c:strRef>
              <c:f>'Evergreen Lake'!$A$13:$A$18</c:f>
              <c:strCache>
                <c:ptCount val="1"/>
                <c:pt idx="0">
                  <c:v>EGL 4e</c:v>
                </c:pt>
              </c:strCache>
            </c:strRef>
          </c:tx>
          <c:marker>
            <c:symbol val="none"/>
          </c:marker>
          <c:val>
            <c:numRef>
              <c:f>'Evergreen Lake'!$C$13:$I$13</c:f>
              <c:numCache>
                <c:formatCode>0</c:formatCode>
                <c:ptCount val="7"/>
                <c:pt idx="0">
                  <c:v>446</c:v>
                </c:pt>
                <c:pt idx="1">
                  <c:v>253</c:v>
                </c:pt>
                <c:pt idx="2">
                  <c:v>422</c:v>
                </c:pt>
                <c:pt idx="3">
                  <c:v>253</c:v>
                </c:pt>
                <c:pt idx="4">
                  <c:v>382</c:v>
                </c:pt>
                <c:pt idx="5">
                  <c:v>186</c:v>
                </c:pt>
                <c:pt idx="6">
                  <c:v>224</c:v>
                </c:pt>
              </c:numCache>
            </c:numRef>
          </c:val>
          <c:smooth val="0"/>
          <c:extLst>
            <c:ext xmlns:c16="http://schemas.microsoft.com/office/drawing/2014/chart" uri="{C3380CC4-5D6E-409C-BE32-E72D297353CC}">
              <c16:uniqueId val="{00000001-E661-48F7-B58E-8712928F57AB}"/>
            </c:ext>
          </c:extLst>
        </c:ser>
        <c:dLbls>
          <c:showLegendKey val="0"/>
          <c:showVal val="0"/>
          <c:showCatName val="0"/>
          <c:showSerName val="0"/>
          <c:showPercent val="0"/>
          <c:showBubbleSize val="0"/>
        </c:dLbls>
        <c:smooth val="0"/>
        <c:axId val="136264320"/>
        <c:axId val="136278400"/>
      </c:lineChart>
      <c:dateAx>
        <c:axId val="136264320"/>
        <c:scaling>
          <c:orientation val="minMax"/>
        </c:scaling>
        <c:delete val="0"/>
        <c:axPos val="b"/>
        <c:numFmt formatCode="[$-409]mmmmm;@" sourceLinked="0"/>
        <c:majorTickMark val="none"/>
        <c:minorTickMark val="none"/>
        <c:tickLblPos val="nextTo"/>
        <c:crossAx val="136278400"/>
        <c:crosses val="autoZero"/>
        <c:auto val="1"/>
        <c:lblOffset val="100"/>
        <c:baseTimeUnit val="days"/>
        <c:majorUnit val="1"/>
        <c:majorTimeUnit val="months"/>
        <c:minorUnit val="1"/>
        <c:minorTimeUnit val="days"/>
      </c:dateAx>
      <c:valAx>
        <c:axId val="136278400"/>
        <c:scaling>
          <c:orientation val="minMax"/>
        </c:scaling>
        <c:delete val="0"/>
        <c:axPos val="l"/>
        <c:majorGridlines/>
        <c:minorGridlines/>
        <c:title>
          <c:tx>
            <c:rich>
              <a:bodyPr/>
              <a:lstStyle/>
              <a:p>
                <a:pPr>
                  <a:defRPr/>
                </a:pPr>
                <a:r>
                  <a:rPr lang="en-US"/>
                  <a:t>Total Nitrogrn ug/l</a:t>
                </a:r>
              </a:p>
            </c:rich>
          </c:tx>
          <c:overlay val="0"/>
        </c:title>
        <c:numFmt formatCode="0" sourceLinked="1"/>
        <c:majorTickMark val="none"/>
        <c:minorTickMark val="none"/>
        <c:tickLblPos val="nextTo"/>
        <c:crossAx val="136264320"/>
        <c:crosses val="autoZero"/>
        <c:crossBetween val="between"/>
      </c:valAx>
      <c:dTable>
        <c:showHorzBorder val="1"/>
        <c:showVertBorder val="1"/>
        <c:showOutline val="1"/>
        <c:showKeys val="1"/>
      </c:dTable>
    </c:plotArea>
    <c:plotVisOnly val="1"/>
    <c:dispBlanksAs val="gap"/>
    <c:showDLblsOverMax val="0"/>
  </c:chart>
  <c:spPr>
    <a:gradFill>
      <a:gsLst>
        <a:gs pos="0">
          <a:srgbClr val="4F81BD">
            <a:tint val="66000"/>
            <a:satMod val="160000"/>
            <a:alpha val="36000"/>
          </a:srgbClr>
        </a:gs>
        <a:gs pos="50000">
          <a:srgbClr val="4F81BD">
            <a:tint val="44500"/>
            <a:satMod val="160000"/>
          </a:srgbClr>
        </a:gs>
        <a:gs pos="100000">
          <a:srgbClr val="4F81BD">
            <a:tint val="23500"/>
            <a:satMod val="160000"/>
          </a:srgbClr>
        </a:gs>
      </a:gsLst>
      <a:lin ang="5400000" scaled="0"/>
    </a:gradFill>
  </c:spPr>
  <c:printSettings>
    <c:headerFooter/>
    <c:pageMargins b="0.75000000000000278" l="0.70000000000000062" r="0.70000000000000062" t="0.75000000000000278" header="0.30000000000000032" footer="0.30000000000000032"/>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areaChart>
        <c:grouping val="standard"/>
        <c:varyColors val="0"/>
        <c:ser>
          <c:idx val="0"/>
          <c:order val="0"/>
          <c:tx>
            <c:strRef>
              <c:f>'Evergreen Lake'!$B$11</c:f>
              <c:strCache>
                <c:ptCount val="1"/>
                <c:pt idx="0">
                  <c:v>Chlorophyll a</c:v>
                </c:pt>
              </c:strCache>
            </c:strRef>
          </c:tx>
          <c:spPr>
            <a:ln w="25400">
              <a:noFill/>
            </a:ln>
          </c:spPr>
          <c:cat>
            <c:numRef>
              <c:f>'Evergreen Lake'!$C$3:$I$3</c:f>
              <c:numCache>
                <c:formatCode>[$-409]d\-mmm;@</c:formatCode>
                <c:ptCount val="7"/>
                <c:pt idx="0">
                  <c:v>41414</c:v>
                </c:pt>
                <c:pt idx="1">
                  <c:v>41442</c:v>
                </c:pt>
                <c:pt idx="2">
                  <c:v>41477</c:v>
                </c:pt>
                <c:pt idx="3">
                  <c:v>41512</c:v>
                </c:pt>
                <c:pt idx="4">
                  <c:v>41541</c:v>
                </c:pt>
                <c:pt idx="5">
                  <c:v>41556</c:v>
                </c:pt>
                <c:pt idx="6">
                  <c:v>41568</c:v>
                </c:pt>
              </c:numCache>
            </c:numRef>
          </c:cat>
          <c:val>
            <c:numRef>
              <c:f>'Evergreen Lake'!$C$10:$I$10</c:f>
              <c:numCache>
                <c:formatCode>0</c:formatCode>
                <c:ptCount val="7"/>
                <c:pt idx="0">
                  <c:v>1.8</c:v>
                </c:pt>
                <c:pt idx="1">
                  <c:v>4.05</c:v>
                </c:pt>
                <c:pt idx="2">
                  <c:v>7.6999999999999993</c:v>
                </c:pt>
                <c:pt idx="3">
                  <c:v>25.35</c:v>
                </c:pt>
                <c:pt idx="4">
                  <c:v>0.3</c:v>
                </c:pt>
                <c:pt idx="5">
                  <c:v>1.25</c:v>
                </c:pt>
                <c:pt idx="6">
                  <c:v>1.2</c:v>
                </c:pt>
              </c:numCache>
            </c:numRef>
          </c:val>
          <c:extLst>
            <c:ext xmlns:c16="http://schemas.microsoft.com/office/drawing/2014/chart" uri="{C3380CC4-5D6E-409C-BE32-E72D297353CC}">
              <c16:uniqueId val="{00000000-1922-4190-906F-0568A51EA56C}"/>
            </c:ext>
          </c:extLst>
        </c:ser>
        <c:dLbls>
          <c:showLegendKey val="0"/>
          <c:showVal val="0"/>
          <c:showCatName val="0"/>
          <c:showSerName val="0"/>
          <c:showPercent val="0"/>
          <c:showBubbleSize val="0"/>
        </c:dLbls>
        <c:axId val="136295936"/>
        <c:axId val="136297472"/>
      </c:areaChart>
      <c:dateAx>
        <c:axId val="136295936"/>
        <c:scaling>
          <c:orientation val="minMax"/>
        </c:scaling>
        <c:delete val="0"/>
        <c:axPos val="b"/>
        <c:numFmt formatCode="[$-409]d\-mmm;@" sourceLinked="1"/>
        <c:majorTickMark val="out"/>
        <c:minorTickMark val="none"/>
        <c:tickLblPos val="nextTo"/>
        <c:crossAx val="136297472"/>
        <c:crosses val="autoZero"/>
        <c:auto val="1"/>
        <c:lblOffset val="100"/>
        <c:baseTimeUnit val="days"/>
      </c:dateAx>
      <c:valAx>
        <c:axId val="136297472"/>
        <c:scaling>
          <c:orientation val="minMax"/>
        </c:scaling>
        <c:delete val="0"/>
        <c:axPos val="l"/>
        <c:majorGridlines/>
        <c:minorGridlines/>
        <c:numFmt formatCode="0" sourceLinked="1"/>
        <c:majorTickMark val="out"/>
        <c:minorTickMark val="none"/>
        <c:tickLblPos val="nextTo"/>
        <c:crossAx val="136295936"/>
        <c:crosses val="autoZero"/>
        <c:crossBetween val="midCat"/>
      </c:valAx>
    </c:plotArea>
    <c:plotVisOnly val="1"/>
    <c:dispBlanksAs val="gap"/>
    <c:showDLblsOverMax val="0"/>
  </c:chart>
  <c:spPr>
    <a:gradFill>
      <a:gsLst>
        <a:gs pos="0">
          <a:srgbClr val="4F81BD">
            <a:tint val="66000"/>
            <a:satMod val="160000"/>
            <a:alpha val="36000"/>
          </a:srgbClr>
        </a:gs>
        <a:gs pos="50000">
          <a:srgbClr val="4F81BD">
            <a:tint val="44500"/>
            <a:satMod val="160000"/>
          </a:srgbClr>
        </a:gs>
        <a:gs pos="100000">
          <a:srgbClr val="4F81BD">
            <a:tint val="23500"/>
            <a:satMod val="160000"/>
          </a:srgbClr>
        </a:gs>
      </a:gsLst>
      <a:lin ang="5400000" scaled="0"/>
    </a:gradFill>
  </c:spPr>
  <c:printSettings>
    <c:headerFooter/>
    <c:pageMargins b="0.75000000000000278" l="0.70000000000000062" r="0.70000000000000062" t="0.75000000000000278" header="0.30000000000000032" footer="0.30000000000000032"/>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Total Phosphorus EGL </a:t>
            </a:r>
          </a:p>
        </c:rich>
      </c:tx>
      <c:overlay val="0"/>
    </c:title>
    <c:autoTitleDeleted val="0"/>
    <c:plotArea>
      <c:layout>
        <c:manualLayout>
          <c:layoutTarget val="inner"/>
          <c:xMode val="edge"/>
          <c:yMode val="edge"/>
          <c:x val="0.12940431190562041"/>
          <c:y val="0.12385425780110819"/>
          <c:w val="0.84893148326917633"/>
          <c:h val="0.50384696704578591"/>
        </c:manualLayout>
      </c:layout>
      <c:lineChart>
        <c:grouping val="standard"/>
        <c:varyColors val="0"/>
        <c:ser>
          <c:idx val="0"/>
          <c:order val="0"/>
          <c:tx>
            <c:strRef>
              <c:f>'Evergreen Lake'!$A$4:$A$12</c:f>
              <c:strCache>
                <c:ptCount val="1"/>
                <c:pt idx="0">
                  <c:v>EGL 4a</c:v>
                </c:pt>
              </c:strCache>
            </c:strRef>
          </c:tx>
          <c:marker>
            <c:symbol val="none"/>
          </c:marker>
          <c:cat>
            <c:numRef>
              <c:f>'Evergreen Lake'!$C$19:$I$19</c:f>
              <c:numCache>
                <c:formatCode>m/d/yyyy</c:formatCode>
                <c:ptCount val="7"/>
                <c:pt idx="0">
                  <c:v>41414</c:v>
                </c:pt>
                <c:pt idx="1">
                  <c:v>41442</c:v>
                </c:pt>
                <c:pt idx="2">
                  <c:v>41477</c:v>
                </c:pt>
                <c:pt idx="3">
                  <c:v>41512</c:v>
                </c:pt>
                <c:pt idx="4">
                  <c:v>41541</c:v>
                </c:pt>
                <c:pt idx="5">
                  <c:v>41556</c:v>
                </c:pt>
                <c:pt idx="6">
                  <c:v>41568</c:v>
                </c:pt>
              </c:numCache>
            </c:numRef>
          </c:cat>
          <c:val>
            <c:numRef>
              <c:f>'Evergreen Lake'!$C$7:$I$7</c:f>
              <c:numCache>
                <c:formatCode>0</c:formatCode>
                <c:ptCount val="7"/>
                <c:pt idx="0">
                  <c:v>31</c:v>
                </c:pt>
                <c:pt idx="1">
                  <c:v>15</c:v>
                </c:pt>
                <c:pt idx="2">
                  <c:v>4</c:v>
                </c:pt>
                <c:pt idx="3">
                  <c:v>26</c:v>
                </c:pt>
                <c:pt idx="4">
                  <c:v>26</c:v>
                </c:pt>
                <c:pt idx="5">
                  <c:v>16</c:v>
                </c:pt>
                <c:pt idx="6">
                  <c:v>2</c:v>
                </c:pt>
              </c:numCache>
            </c:numRef>
          </c:val>
          <c:smooth val="0"/>
          <c:extLst>
            <c:ext xmlns:c16="http://schemas.microsoft.com/office/drawing/2014/chart" uri="{C3380CC4-5D6E-409C-BE32-E72D297353CC}">
              <c16:uniqueId val="{00000000-03CF-4310-A09A-7C9EC436C7AA}"/>
            </c:ext>
          </c:extLst>
        </c:ser>
        <c:ser>
          <c:idx val="1"/>
          <c:order val="1"/>
          <c:tx>
            <c:strRef>
              <c:f>'Evergreen Lake'!$A$13:$A$18</c:f>
              <c:strCache>
                <c:ptCount val="1"/>
                <c:pt idx="0">
                  <c:v>EGL 4e</c:v>
                </c:pt>
              </c:strCache>
            </c:strRef>
          </c:tx>
          <c:marker>
            <c:symbol val="none"/>
          </c:marker>
          <c:cat>
            <c:numRef>
              <c:f>'Evergreen Lake'!$C$19:$I$19</c:f>
              <c:numCache>
                <c:formatCode>m/d/yyyy</c:formatCode>
                <c:ptCount val="7"/>
                <c:pt idx="0">
                  <c:v>41414</c:v>
                </c:pt>
                <c:pt idx="1">
                  <c:v>41442</c:v>
                </c:pt>
                <c:pt idx="2">
                  <c:v>41477</c:v>
                </c:pt>
                <c:pt idx="3">
                  <c:v>41512</c:v>
                </c:pt>
                <c:pt idx="4">
                  <c:v>41541</c:v>
                </c:pt>
                <c:pt idx="5">
                  <c:v>41556</c:v>
                </c:pt>
                <c:pt idx="6">
                  <c:v>41568</c:v>
                </c:pt>
              </c:numCache>
            </c:numRef>
          </c:cat>
          <c:val>
            <c:numRef>
              <c:f>'Evergreen Lake'!$C$16:$I$16</c:f>
              <c:numCache>
                <c:formatCode>0</c:formatCode>
                <c:ptCount val="7"/>
                <c:pt idx="0">
                  <c:v>21</c:v>
                </c:pt>
                <c:pt idx="1">
                  <c:v>20</c:v>
                </c:pt>
                <c:pt idx="2">
                  <c:v>3</c:v>
                </c:pt>
                <c:pt idx="3">
                  <c:v>26</c:v>
                </c:pt>
                <c:pt idx="4">
                  <c:v>31</c:v>
                </c:pt>
                <c:pt idx="5">
                  <c:v>43</c:v>
                </c:pt>
                <c:pt idx="6">
                  <c:v>2</c:v>
                </c:pt>
              </c:numCache>
            </c:numRef>
          </c:val>
          <c:smooth val="0"/>
          <c:extLst>
            <c:ext xmlns:c16="http://schemas.microsoft.com/office/drawing/2014/chart" uri="{C3380CC4-5D6E-409C-BE32-E72D297353CC}">
              <c16:uniqueId val="{00000001-03CF-4310-A09A-7C9EC436C7AA}"/>
            </c:ext>
          </c:extLst>
        </c:ser>
        <c:dLbls>
          <c:showLegendKey val="0"/>
          <c:showVal val="0"/>
          <c:showCatName val="0"/>
          <c:showSerName val="0"/>
          <c:showPercent val="0"/>
          <c:showBubbleSize val="0"/>
        </c:dLbls>
        <c:smooth val="0"/>
        <c:axId val="136137728"/>
        <c:axId val="136155904"/>
      </c:lineChart>
      <c:dateAx>
        <c:axId val="136137728"/>
        <c:scaling>
          <c:orientation val="minMax"/>
        </c:scaling>
        <c:delete val="0"/>
        <c:axPos val="b"/>
        <c:numFmt formatCode="[$-409]mmmmm;@" sourceLinked="0"/>
        <c:majorTickMark val="none"/>
        <c:minorTickMark val="none"/>
        <c:tickLblPos val="nextTo"/>
        <c:crossAx val="136155904"/>
        <c:crosses val="autoZero"/>
        <c:auto val="1"/>
        <c:lblOffset val="100"/>
        <c:baseTimeUnit val="days"/>
        <c:majorUnit val="1"/>
        <c:majorTimeUnit val="months"/>
      </c:dateAx>
      <c:valAx>
        <c:axId val="136155904"/>
        <c:scaling>
          <c:orientation val="minMax"/>
        </c:scaling>
        <c:delete val="0"/>
        <c:axPos val="l"/>
        <c:majorGridlines/>
        <c:minorGridlines/>
        <c:title>
          <c:tx>
            <c:rich>
              <a:bodyPr/>
              <a:lstStyle/>
              <a:p>
                <a:pPr>
                  <a:defRPr/>
                </a:pPr>
                <a:r>
                  <a:rPr lang="en-US"/>
                  <a:t>Total Phosphorus ug/l</a:t>
                </a:r>
              </a:p>
            </c:rich>
          </c:tx>
          <c:layout>
            <c:manualLayout>
              <c:xMode val="edge"/>
              <c:yMode val="edge"/>
              <c:x val="3.1511570654849851E-2"/>
              <c:y val="0.18221274424030409"/>
            </c:manualLayout>
          </c:layout>
          <c:overlay val="0"/>
        </c:title>
        <c:numFmt formatCode="0" sourceLinked="1"/>
        <c:majorTickMark val="none"/>
        <c:minorTickMark val="none"/>
        <c:tickLblPos val="nextTo"/>
        <c:crossAx val="136137728"/>
        <c:crosses val="autoZero"/>
        <c:crossBetween val="between"/>
      </c:valAx>
      <c:dTable>
        <c:showHorzBorder val="1"/>
        <c:showVertBorder val="1"/>
        <c:showOutline val="1"/>
        <c:showKeys val="1"/>
      </c:dTable>
    </c:plotArea>
    <c:plotVisOnly val="1"/>
    <c:dispBlanksAs val="gap"/>
    <c:showDLblsOverMax val="0"/>
  </c:chart>
  <c:spPr>
    <a:gradFill>
      <a:gsLst>
        <a:gs pos="0">
          <a:srgbClr val="4F81BD">
            <a:tint val="66000"/>
            <a:satMod val="160000"/>
            <a:alpha val="36000"/>
          </a:srgbClr>
        </a:gs>
        <a:gs pos="50000">
          <a:srgbClr val="4F81BD">
            <a:tint val="44500"/>
            <a:satMod val="160000"/>
          </a:srgbClr>
        </a:gs>
        <a:gs pos="100000">
          <a:srgbClr val="4F81BD">
            <a:tint val="23500"/>
            <a:satMod val="160000"/>
          </a:srgbClr>
        </a:gs>
      </a:gsLst>
      <a:lin ang="5400000" scaled="0"/>
    </a:gradFill>
  </c:spPr>
  <c:printSettings>
    <c:headerFooter/>
    <c:pageMargins b="0.75000000000000278" l="0.70000000000000062" r="0.70000000000000062" t="0.75000000000000278" header="0.30000000000000032" footer="0.30000000000000032"/>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Nitrogen Evergreen Lake Site 4a (Surface)</a:t>
            </a:r>
          </a:p>
        </c:rich>
      </c:tx>
      <c:layout>
        <c:manualLayout>
          <c:xMode val="edge"/>
          <c:yMode val="edge"/>
          <c:x val="0.42438271604938405"/>
          <c:y val="1.3888888888888944E-2"/>
        </c:manualLayout>
      </c:layout>
      <c:overlay val="0"/>
    </c:title>
    <c:autoTitleDeleted val="0"/>
    <c:plotArea>
      <c:layout>
        <c:manualLayout>
          <c:layoutTarget val="inner"/>
          <c:xMode val="edge"/>
          <c:yMode val="edge"/>
          <c:x val="0.28912037037037147"/>
          <c:y val="0.10684055118110257"/>
          <c:w val="0.687731481481483"/>
          <c:h val="0.43817548848060739"/>
        </c:manualLayout>
      </c:layout>
      <c:lineChart>
        <c:grouping val="standard"/>
        <c:varyColors val="0"/>
        <c:ser>
          <c:idx val="0"/>
          <c:order val="0"/>
          <c:tx>
            <c:strRef>
              <c:f>'Evergreen Lake'!$B$5</c:f>
              <c:strCache>
                <c:ptCount val="1"/>
                <c:pt idx="0">
                  <c:v>Nitrate/Nitrite as N, dissolved</c:v>
                </c:pt>
              </c:strCache>
            </c:strRef>
          </c:tx>
          <c:marker>
            <c:symbol val="none"/>
          </c:marker>
          <c:cat>
            <c:numRef>
              <c:f>'Evergreen Lake'!$C$3:$I$3</c:f>
              <c:numCache>
                <c:formatCode>[$-409]d\-mmm;@</c:formatCode>
                <c:ptCount val="7"/>
                <c:pt idx="0">
                  <c:v>41414</c:v>
                </c:pt>
                <c:pt idx="1">
                  <c:v>41442</c:v>
                </c:pt>
                <c:pt idx="2">
                  <c:v>41477</c:v>
                </c:pt>
                <c:pt idx="3">
                  <c:v>41512</c:v>
                </c:pt>
                <c:pt idx="4">
                  <c:v>41541</c:v>
                </c:pt>
                <c:pt idx="5">
                  <c:v>41556</c:v>
                </c:pt>
                <c:pt idx="6">
                  <c:v>41568</c:v>
                </c:pt>
              </c:numCache>
            </c:numRef>
          </c:cat>
          <c:val>
            <c:numRef>
              <c:f>'Evergreen Lake'!$C$5:$I$5</c:f>
              <c:numCache>
                <c:formatCode>0</c:formatCode>
                <c:ptCount val="7"/>
                <c:pt idx="0">
                  <c:v>46</c:v>
                </c:pt>
                <c:pt idx="1">
                  <c:v>12</c:v>
                </c:pt>
                <c:pt idx="2">
                  <c:v>35</c:v>
                </c:pt>
                <c:pt idx="3">
                  <c:v>3</c:v>
                </c:pt>
                <c:pt idx="4">
                  <c:v>106</c:v>
                </c:pt>
                <c:pt idx="5">
                  <c:v>118</c:v>
                </c:pt>
                <c:pt idx="6">
                  <c:v>104</c:v>
                </c:pt>
              </c:numCache>
            </c:numRef>
          </c:val>
          <c:smooth val="0"/>
          <c:extLst>
            <c:ext xmlns:c16="http://schemas.microsoft.com/office/drawing/2014/chart" uri="{C3380CC4-5D6E-409C-BE32-E72D297353CC}">
              <c16:uniqueId val="{00000000-10DE-4F8D-92F5-6EDDC685FD52}"/>
            </c:ext>
          </c:extLst>
        </c:ser>
        <c:ser>
          <c:idx val="1"/>
          <c:order val="1"/>
          <c:tx>
            <c:strRef>
              <c:f>'Evergreen Lake'!$B$6</c:f>
              <c:strCache>
                <c:ptCount val="1"/>
                <c:pt idx="0">
                  <c:v>Nitrogen, ammonia</c:v>
                </c:pt>
              </c:strCache>
            </c:strRef>
          </c:tx>
          <c:marker>
            <c:symbol val="none"/>
          </c:marker>
          <c:val>
            <c:numRef>
              <c:f>'Evergreen Lake'!$C$6:$I$6</c:f>
              <c:numCache>
                <c:formatCode>0</c:formatCode>
                <c:ptCount val="7"/>
                <c:pt idx="0">
                  <c:v>34</c:v>
                </c:pt>
                <c:pt idx="1">
                  <c:v>49</c:v>
                </c:pt>
                <c:pt idx="2">
                  <c:v>62</c:v>
                </c:pt>
                <c:pt idx="3">
                  <c:v>50</c:v>
                </c:pt>
                <c:pt idx="4">
                  <c:v>22</c:v>
                </c:pt>
                <c:pt idx="5">
                  <c:v>31</c:v>
                </c:pt>
                <c:pt idx="6">
                  <c:v>7</c:v>
                </c:pt>
              </c:numCache>
            </c:numRef>
          </c:val>
          <c:smooth val="0"/>
          <c:extLst>
            <c:ext xmlns:c16="http://schemas.microsoft.com/office/drawing/2014/chart" uri="{C3380CC4-5D6E-409C-BE32-E72D297353CC}">
              <c16:uniqueId val="{00000001-10DE-4F8D-92F5-6EDDC685FD52}"/>
            </c:ext>
          </c:extLst>
        </c:ser>
        <c:ser>
          <c:idx val="2"/>
          <c:order val="2"/>
          <c:tx>
            <c:strRef>
              <c:f>'Evergreen Lake'!$B$4</c:f>
              <c:strCache>
                <c:ptCount val="1"/>
                <c:pt idx="0">
                  <c:v>Total Nitrogen </c:v>
                </c:pt>
              </c:strCache>
            </c:strRef>
          </c:tx>
          <c:marker>
            <c:symbol val="none"/>
          </c:marker>
          <c:val>
            <c:numRef>
              <c:f>'Evergreen Lake'!$C$4:$I$4</c:f>
              <c:numCache>
                <c:formatCode>0</c:formatCode>
                <c:ptCount val="7"/>
                <c:pt idx="0">
                  <c:v>477</c:v>
                </c:pt>
                <c:pt idx="1">
                  <c:v>243</c:v>
                </c:pt>
                <c:pt idx="2">
                  <c:v>392</c:v>
                </c:pt>
                <c:pt idx="3">
                  <c:v>451</c:v>
                </c:pt>
                <c:pt idx="4">
                  <c:v>401</c:v>
                </c:pt>
                <c:pt idx="5">
                  <c:v>183</c:v>
                </c:pt>
                <c:pt idx="6">
                  <c:v>247</c:v>
                </c:pt>
              </c:numCache>
            </c:numRef>
          </c:val>
          <c:smooth val="0"/>
          <c:extLst>
            <c:ext xmlns:c16="http://schemas.microsoft.com/office/drawing/2014/chart" uri="{C3380CC4-5D6E-409C-BE32-E72D297353CC}">
              <c16:uniqueId val="{00000002-10DE-4F8D-92F5-6EDDC685FD52}"/>
            </c:ext>
          </c:extLst>
        </c:ser>
        <c:dLbls>
          <c:showLegendKey val="0"/>
          <c:showVal val="0"/>
          <c:showCatName val="0"/>
          <c:showSerName val="0"/>
          <c:showPercent val="0"/>
          <c:showBubbleSize val="0"/>
        </c:dLbls>
        <c:smooth val="0"/>
        <c:axId val="142639872"/>
        <c:axId val="142641408"/>
      </c:lineChart>
      <c:dateAx>
        <c:axId val="142639872"/>
        <c:scaling>
          <c:orientation val="minMax"/>
        </c:scaling>
        <c:delete val="0"/>
        <c:axPos val="b"/>
        <c:numFmt formatCode="[$-409]mmmmm;@" sourceLinked="0"/>
        <c:majorTickMark val="none"/>
        <c:minorTickMark val="none"/>
        <c:tickLblPos val="nextTo"/>
        <c:crossAx val="142641408"/>
        <c:crosses val="autoZero"/>
        <c:auto val="1"/>
        <c:lblOffset val="100"/>
        <c:baseTimeUnit val="days"/>
        <c:majorUnit val="1"/>
        <c:majorTimeUnit val="months"/>
      </c:dateAx>
      <c:valAx>
        <c:axId val="142641408"/>
        <c:scaling>
          <c:orientation val="minMax"/>
        </c:scaling>
        <c:delete val="0"/>
        <c:axPos val="l"/>
        <c:majorGridlines/>
        <c:title>
          <c:tx>
            <c:rich>
              <a:bodyPr/>
              <a:lstStyle/>
              <a:p>
                <a:pPr>
                  <a:defRPr/>
                </a:pPr>
                <a:r>
                  <a:rPr lang="en-US"/>
                  <a:t>ug/l</a:t>
                </a:r>
              </a:p>
            </c:rich>
          </c:tx>
          <c:overlay val="0"/>
        </c:title>
        <c:numFmt formatCode="0" sourceLinked="1"/>
        <c:majorTickMark val="none"/>
        <c:minorTickMark val="none"/>
        <c:tickLblPos val="nextTo"/>
        <c:crossAx val="142639872"/>
        <c:crosses val="autoZero"/>
        <c:crossBetween val="between"/>
      </c:valAx>
      <c:dTable>
        <c:showHorzBorder val="1"/>
        <c:showVertBorder val="1"/>
        <c:showOutline val="1"/>
        <c:showKeys val="1"/>
        <c:txPr>
          <a:bodyPr/>
          <a:lstStyle/>
          <a:p>
            <a:pPr rtl="0">
              <a:defRPr sz="900"/>
            </a:pPr>
            <a:endParaRPr lang="en-US"/>
          </a:p>
        </c:txPr>
      </c:dTable>
    </c:plotArea>
    <c:plotVisOnly val="1"/>
    <c:dispBlanksAs val="gap"/>
    <c:showDLblsOverMax val="0"/>
  </c:chart>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c:spPr>
  <c:printSettings>
    <c:headerFooter/>
    <c:pageMargins b="0.75000000000000167" l="0.70000000000000062" r="0.70000000000000062" t="0.75000000000000167" header="0.30000000000000032" footer="0.30000000000000032"/>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Total Suspended Sediments EGL </a:t>
            </a:r>
          </a:p>
        </c:rich>
      </c:tx>
      <c:overlay val="0"/>
    </c:title>
    <c:autoTitleDeleted val="0"/>
    <c:plotArea>
      <c:layout/>
      <c:lineChart>
        <c:grouping val="standard"/>
        <c:varyColors val="0"/>
        <c:ser>
          <c:idx val="0"/>
          <c:order val="0"/>
          <c:tx>
            <c:strRef>
              <c:f>'Evergreen Lake'!$A$4:$A$12</c:f>
              <c:strCache>
                <c:ptCount val="1"/>
                <c:pt idx="0">
                  <c:v>EGL 4a</c:v>
                </c:pt>
              </c:strCache>
            </c:strRef>
          </c:tx>
          <c:marker>
            <c:symbol val="none"/>
          </c:marker>
          <c:cat>
            <c:numRef>
              <c:f>'Evergreen Lake'!$C$3:$I$3</c:f>
              <c:numCache>
                <c:formatCode>[$-409]d\-mmm;@</c:formatCode>
                <c:ptCount val="7"/>
                <c:pt idx="0">
                  <c:v>41414</c:v>
                </c:pt>
                <c:pt idx="1">
                  <c:v>41442</c:v>
                </c:pt>
                <c:pt idx="2">
                  <c:v>41477</c:v>
                </c:pt>
                <c:pt idx="3">
                  <c:v>41512</c:v>
                </c:pt>
                <c:pt idx="4">
                  <c:v>41541</c:v>
                </c:pt>
                <c:pt idx="5">
                  <c:v>41556</c:v>
                </c:pt>
                <c:pt idx="6">
                  <c:v>41568</c:v>
                </c:pt>
              </c:numCache>
            </c:numRef>
          </c:cat>
          <c:val>
            <c:numRef>
              <c:f>'Evergreen Lake'!$C$9:$I$9</c:f>
              <c:numCache>
                <c:formatCode>0</c:formatCode>
                <c:ptCount val="7"/>
                <c:pt idx="0">
                  <c:v>8</c:v>
                </c:pt>
                <c:pt idx="1">
                  <c:v>5.4</c:v>
                </c:pt>
                <c:pt idx="2">
                  <c:v>7.4</c:v>
                </c:pt>
                <c:pt idx="3">
                  <c:v>14.4</c:v>
                </c:pt>
                <c:pt idx="4">
                  <c:v>7.6</c:v>
                </c:pt>
                <c:pt idx="5">
                  <c:v>10</c:v>
                </c:pt>
                <c:pt idx="6">
                  <c:v>4</c:v>
                </c:pt>
              </c:numCache>
            </c:numRef>
          </c:val>
          <c:smooth val="0"/>
          <c:extLst>
            <c:ext xmlns:c16="http://schemas.microsoft.com/office/drawing/2014/chart" uri="{C3380CC4-5D6E-409C-BE32-E72D297353CC}">
              <c16:uniqueId val="{00000000-EB52-4ADE-8494-F2376FB8B810}"/>
            </c:ext>
          </c:extLst>
        </c:ser>
        <c:ser>
          <c:idx val="1"/>
          <c:order val="1"/>
          <c:tx>
            <c:strRef>
              <c:f>'Evergreen Lake'!$A$13:$A$18</c:f>
              <c:strCache>
                <c:ptCount val="1"/>
                <c:pt idx="0">
                  <c:v>EGL 4e</c:v>
                </c:pt>
              </c:strCache>
            </c:strRef>
          </c:tx>
          <c:marker>
            <c:symbol val="none"/>
          </c:marker>
          <c:val>
            <c:numRef>
              <c:f>'Evergreen Lake'!$C$18:$I$18</c:f>
              <c:numCache>
                <c:formatCode>0.0</c:formatCode>
                <c:ptCount val="7"/>
                <c:pt idx="0">
                  <c:v>10.199999999999999</c:v>
                </c:pt>
                <c:pt idx="1">
                  <c:v>8.4</c:v>
                </c:pt>
                <c:pt idx="2">
                  <c:v>8</c:v>
                </c:pt>
                <c:pt idx="3">
                  <c:v>15.2</c:v>
                </c:pt>
                <c:pt idx="4">
                  <c:v>12.8</c:v>
                </c:pt>
                <c:pt idx="5">
                  <c:v>26.2</c:v>
                </c:pt>
                <c:pt idx="6">
                  <c:v>4</c:v>
                </c:pt>
              </c:numCache>
            </c:numRef>
          </c:val>
          <c:smooth val="0"/>
          <c:extLst>
            <c:ext xmlns:c16="http://schemas.microsoft.com/office/drawing/2014/chart" uri="{C3380CC4-5D6E-409C-BE32-E72D297353CC}">
              <c16:uniqueId val="{00000001-EB52-4ADE-8494-F2376FB8B810}"/>
            </c:ext>
          </c:extLst>
        </c:ser>
        <c:dLbls>
          <c:showLegendKey val="0"/>
          <c:showVal val="0"/>
          <c:showCatName val="0"/>
          <c:showSerName val="0"/>
          <c:showPercent val="0"/>
          <c:showBubbleSize val="0"/>
        </c:dLbls>
        <c:smooth val="0"/>
        <c:axId val="142654464"/>
        <c:axId val="136381184"/>
      </c:lineChart>
      <c:dateAx>
        <c:axId val="142654464"/>
        <c:scaling>
          <c:orientation val="minMax"/>
        </c:scaling>
        <c:delete val="0"/>
        <c:axPos val="b"/>
        <c:numFmt formatCode="[$-409]mmmmm;@" sourceLinked="0"/>
        <c:majorTickMark val="none"/>
        <c:minorTickMark val="none"/>
        <c:tickLblPos val="nextTo"/>
        <c:crossAx val="136381184"/>
        <c:crosses val="autoZero"/>
        <c:auto val="1"/>
        <c:lblOffset val="100"/>
        <c:baseTimeUnit val="days"/>
        <c:majorUnit val="1"/>
        <c:majorTimeUnit val="months"/>
      </c:dateAx>
      <c:valAx>
        <c:axId val="136381184"/>
        <c:scaling>
          <c:orientation val="minMax"/>
        </c:scaling>
        <c:delete val="0"/>
        <c:axPos val="l"/>
        <c:majorGridlines/>
        <c:title>
          <c:tx>
            <c:rich>
              <a:bodyPr/>
              <a:lstStyle/>
              <a:p>
                <a:pPr>
                  <a:defRPr/>
                </a:pPr>
                <a:r>
                  <a:rPr lang="en-US"/>
                  <a:t>TSS mg/l</a:t>
                </a:r>
              </a:p>
            </c:rich>
          </c:tx>
          <c:overlay val="0"/>
        </c:title>
        <c:numFmt formatCode="0" sourceLinked="1"/>
        <c:majorTickMark val="none"/>
        <c:minorTickMark val="none"/>
        <c:tickLblPos val="nextTo"/>
        <c:crossAx val="142654464"/>
        <c:crosses val="autoZero"/>
        <c:crossBetween val="between"/>
      </c:valAx>
      <c:dTable>
        <c:showHorzBorder val="1"/>
        <c:showVertBorder val="1"/>
        <c:showOutline val="1"/>
        <c:showKeys val="1"/>
      </c:dTable>
    </c:plotArea>
    <c:plotVisOnly val="1"/>
    <c:dispBlanksAs val="gap"/>
    <c:showDLblsOverMax val="0"/>
  </c:chart>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c:spPr>
  <c:printSettings>
    <c:headerFooter/>
    <c:pageMargins b="0.75000000000000167" l="0.70000000000000062" r="0.70000000000000062" t="0.75000000000000167" header="0.30000000000000032" footer="0.30000000000000032"/>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571741032371027E-2"/>
          <c:y val="5.1400554097404488E-2"/>
          <c:w val="0.84973381452323338"/>
          <c:h val="0.71729512977544452"/>
        </c:manualLayout>
      </c:layout>
      <c:lineChart>
        <c:grouping val="standard"/>
        <c:varyColors val="0"/>
        <c:ser>
          <c:idx val="0"/>
          <c:order val="0"/>
          <c:tx>
            <c:strRef>
              <c:f>'Rec Use'!$A$4</c:f>
              <c:strCache>
                <c:ptCount val="1"/>
                <c:pt idx="0">
                  <c:v>Walking/ Running </c:v>
                </c:pt>
              </c:strCache>
            </c:strRef>
          </c:tx>
          <c:marker>
            <c:symbol val="none"/>
          </c:marker>
          <c:cat>
            <c:strRef>
              <c:f>'Rec Use'!$B$2:$O$2</c:f>
              <c:strCache>
                <c:ptCount val="14"/>
                <c:pt idx="0">
                  <c:v>Jan</c:v>
                </c:pt>
                <c:pt idx="1">
                  <c:v>Feb</c:v>
                </c:pt>
                <c:pt idx="2">
                  <c:v>Mar</c:v>
                </c:pt>
                <c:pt idx="3">
                  <c:v>Apr</c:v>
                </c:pt>
                <c:pt idx="4">
                  <c:v>May</c:v>
                </c:pt>
                <c:pt idx="5">
                  <c:v>Jun</c:v>
                </c:pt>
                <c:pt idx="6">
                  <c:v>Jul</c:v>
                </c:pt>
                <c:pt idx="7">
                  <c:v>Jul</c:v>
                </c:pt>
                <c:pt idx="8">
                  <c:v>Aug</c:v>
                </c:pt>
                <c:pt idx="9">
                  <c:v>Aug</c:v>
                </c:pt>
                <c:pt idx="10">
                  <c:v>Sep</c:v>
                </c:pt>
                <c:pt idx="11">
                  <c:v>Oct</c:v>
                </c:pt>
                <c:pt idx="12">
                  <c:v>Nov</c:v>
                </c:pt>
                <c:pt idx="13">
                  <c:v>Dec</c:v>
                </c:pt>
              </c:strCache>
            </c:strRef>
          </c:cat>
          <c:val>
            <c:numRef>
              <c:f>'Rec Use'!$B$4:$O$4</c:f>
              <c:numCache>
                <c:formatCode>0</c:formatCode>
                <c:ptCount val="14"/>
                <c:pt idx="0">
                  <c:v>23</c:v>
                </c:pt>
                <c:pt idx="1">
                  <c:v>22</c:v>
                </c:pt>
                <c:pt idx="2">
                  <c:v>13</c:v>
                </c:pt>
                <c:pt idx="3">
                  <c:v>26</c:v>
                </c:pt>
                <c:pt idx="4">
                  <c:v>33</c:v>
                </c:pt>
                <c:pt idx="5">
                  <c:v>48</c:v>
                </c:pt>
                <c:pt idx="6">
                  <c:v>18</c:v>
                </c:pt>
                <c:pt idx="7">
                  <c:v>66</c:v>
                </c:pt>
                <c:pt idx="8">
                  <c:v>39</c:v>
                </c:pt>
                <c:pt idx="9">
                  <c:v>21</c:v>
                </c:pt>
                <c:pt idx="10">
                  <c:v>23</c:v>
                </c:pt>
                <c:pt idx="11">
                  <c:v>27</c:v>
                </c:pt>
                <c:pt idx="12">
                  <c:v>39</c:v>
                </c:pt>
                <c:pt idx="13">
                  <c:v>19</c:v>
                </c:pt>
              </c:numCache>
            </c:numRef>
          </c:val>
          <c:smooth val="0"/>
          <c:extLst>
            <c:ext xmlns:c16="http://schemas.microsoft.com/office/drawing/2014/chart" uri="{C3380CC4-5D6E-409C-BE32-E72D297353CC}">
              <c16:uniqueId val="{00000000-5838-468F-9DD3-6D4CC3FDC101}"/>
            </c:ext>
          </c:extLst>
        </c:ser>
        <c:ser>
          <c:idx val="1"/>
          <c:order val="1"/>
          <c:tx>
            <c:strRef>
              <c:f>'Rec Use'!$A$7</c:f>
              <c:strCache>
                <c:ptCount val="1"/>
                <c:pt idx="0">
                  <c:v>Bicycle</c:v>
                </c:pt>
              </c:strCache>
            </c:strRef>
          </c:tx>
          <c:marker>
            <c:symbol val="none"/>
          </c:marker>
          <c:cat>
            <c:strRef>
              <c:f>'Rec Use'!$B$2:$O$2</c:f>
              <c:strCache>
                <c:ptCount val="14"/>
                <c:pt idx="0">
                  <c:v>Jan</c:v>
                </c:pt>
                <c:pt idx="1">
                  <c:v>Feb</c:v>
                </c:pt>
                <c:pt idx="2">
                  <c:v>Mar</c:v>
                </c:pt>
                <c:pt idx="3">
                  <c:v>Apr</c:v>
                </c:pt>
                <c:pt idx="4">
                  <c:v>May</c:v>
                </c:pt>
                <c:pt idx="5">
                  <c:v>Jun</c:v>
                </c:pt>
                <c:pt idx="6">
                  <c:v>Jul</c:v>
                </c:pt>
                <c:pt idx="7">
                  <c:v>Jul</c:v>
                </c:pt>
                <c:pt idx="8">
                  <c:v>Aug</c:v>
                </c:pt>
                <c:pt idx="9">
                  <c:v>Aug</c:v>
                </c:pt>
                <c:pt idx="10">
                  <c:v>Sep</c:v>
                </c:pt>
                <c:pt idx="11">
                  <c:v>Oct</c:v>
                </c:pt>
                <c:pt idx="12">
                  <c:v>Nov</c:v>
                </c:pt>
                <c:pt idx="13">
                  <c:v>Dec</c:v>
                </c:pt>
              </c:strCache>
            </c:strRef>
          </c:cat>
          <c:val>
            <c:numRef>
              <c:f>'Rec Use'!$B$7:$O$7</c:f>
              <c:numCache>
                <c:formatCode>0</c:formatCode>
                <c:ptCount val="14"/>
                <c:pt idx="0">
                  <c:v>28</c:v>
                </c:pt>
                <c:pt idx="1">
                  <c:v>7</c:v>
                </c:pt>
                <c:pt idx="2">
                  <c:v>8</c:v>
                </c:pt>
                <c:pt idx="3">
                  <c:v>9</c:v>
                </c:pt>
                <c:pt idx="4">
                  <c:v>31</c:v>
                </c:pt>
                <c:pt idx="5">
                  <c:v>43</c:v>
                </c:pt>
                <c:pt idx="6">
                  <c:v>44</c:v>
                </c:pt>
                <c:pt idx="7">
                  <c:v>54</c:v>
                </c:pt>
                <c:pt idx="8">
                  <c:v>49</c:v>
                </c:pt>
                <c:pt idx="9">
                  <c:v>37</c:v>
                </c:pt>
                <c:pt idx="10">
                  <c:v>44</c:v>
                </c:pt>
                <c:pt idx="11">
                  <c:v>26</c:v>
                </c:pt>
                <c:pt idx="12">
                  <c:v>36</c:v>
                </c:pt>
                <c:pt idx="13">
                  <c:v>16</c:v>
                </c:pt>
              </c:numCache>
            </c:numRef>
          </c:val>
          <c:smooth val="0"/>
          <c:extLst>
            <c:ext xmlns:c16="http://schemas.microsoft.com/office/drawing/2014/chart" uri="{C3380CC4-5D6E-409C-BE32-E72D297353CC}">
              <c16:uniqueId val="{00000001-5838-468F-9DD3-6D4CC3FDC101}"/>
            </c:ext>
          </c:extLst>
        </c:ser>
        <c:ser>
          <c:idx val="2"/>
          <c:order val="2"/>
          <c:tx>
            <c:strRef>
              <c:f>'Rec Use'!$A$11</c:f>
              <c:strCache>
                <c:ptCount val="1"/>
                <c:pt idx="0">
                  <c:v>Fishing</c:v>
                </c:pt>
              </c:strCache>
            </c:strRef>
          </c:tx>
          <c:marker>
            <c:symbol val="none"/>
          </c:marker>
          <c:cat>
            <c:strRef>
              <c:f>'Rec Use'!$B$2:$O$2</c:f>
              <c:strCache>
                <c:ptCount val="14"/>
                <c:pt idx="0">
                  <c:v>Jan</c:v>
                </c:pt>
                <c:pt idx="1">
                  <c:v>Feb</c:v>
                </c:pt>
                <c:pt idx="2">
                  <c:v>Mar</c:v>
                </c:pt>
                <c:pt idx="3">
                  <c:v>Apr</c:v>
                </c:pt>
                <c:pt idx="4">
                  <c:v>May</c:v>
                </c:pt>
                <c:pt idx="5">
                  <c:v>Jun</c:v>
                </c:pt>
                <c:pt idx="6">
                  <c:v>Jul</c:v>
                </c:pt>
                <c:pt idx="7">
                  <c:v>Jul</c:v>
                </c:pt>
                <c:pt idx="8">
                  <c:v>Aug</c:v>
                </c:pt>
                <c:pt idx="9">
                  <c:v>Aug</c:v>
                </c:pt>
                <c:pt idx="10">
                  <c:v>Sep</c:v>
                </c:pt>
                <c:pt idx="11">
                  <c:v>Oct</c:v>
                </c:pt>
                <c:pt idx="12">
                  <c:v>Nov</c:v>
                </c:pt>
                <c:pt idx="13">
                  <c:v>Dec</c:v>
                </c:pt>
              </c:strCache>
            </c:strRef>
          </c:cat>
          <c:val>
            <c:numRef>
              <c:f>'Rec Use'!$B$11:$O$11</c:f>
              <c:numCache>
                <c:formatCode>0</c:formatCode>
                <c:ptCount val="14"/>
                <c:pt idx="0">
                  <c:v>11</c:v>
                </c:pt>
                <c:pt idx="1">
                  <c:v>15</c:v>
                </c:pt>
                <c:pt idx="2">
                  <c:v>5</c:v>
                </c:pt>
                <c:pt idx="3">
                  <c:v>12</c:v>
                </c:pt>
                <c:pt idx="4">
                  <c:v>38</c:v>
                </c:pt>
                <c:pt idx="5">
                  <c:v>41</c:v>
                </c:pt>
                <c:pt idx="6">
                  <c:v>39</c:v>
                </c:pt>
                <c:pt idx="7">
                  <c:v>27</c:v>
                </c:pt>
                <c:pt idx="8">
                  <c:v>46</c:v>
                </c:pt>
                <c:pt idx="9">
                  <c:v>18</c:v>
                </c:pt>
                <c:pt idx="10">
                  <c:v>26</c:v>
                </c:pt>
                <c:pt idx="11">
                  <c:v>13</c:v>
                </c:pt>
                <c:pt idx="12">
                  <c:v>13</c:v>
                </c:pt>
                <c:pt idx="13">
                  <c:v>6</c:v>
                </c:pt>
              </c:numCache>
            </c:numRef>
          </c:val>
          <c:smooth val="0"/>
          <c:extLst>
            <c:ext xmlns:c16="http://schemas.microsoft.com/office/drawing/2014/chart" uri="{C3380CC4-5D6E-409C-BE32-E72D297353CC}">
              <c16:uniqueId val="{00000002-5838-468F-9DD3-6D4CC3FDC101}"/>
            </c:ext>
          </c:extLst>
        </c:ser>
        <c:ser>
          <c:idx val="3"/>
          <c:order val="3"/>
          <c:tx>
            <c:strRef>
              <c:f>'Rec Use'!$A$13</c:f>
              <c:strCache>
                <c:ptCount val="1"/>
                <c:pt idx="0">
                  <c:v>Camping</c:v>
                </c:pt>
              </c:strCache>
            </c:strRef>
          </c:tx>
          <c:marker>
            <c:symbol val="none"/>
          </c:marker>
          <c:cat>
            <c:strRef>
              <c:f>'Rec Use'!$B$2:$O$2</c:f>
              <c:strCache>
                <c:ptCount val="14"/>
                <c:pt idx="0">
                  <c:v>Jan</c:v>
                </c:pt>
                <c:pt idx="1">
                  <c:v>Feb</c:v>
                </c:pt>
                <c:pt idx="2">
                  <c:v>Mar</c:v>
                </c:pt>
                <c:pt idx="3">
                  <c:v>Apr</c:v>
                </c:pt>
                <c:pt idx="4">
                  <c:v>May</c:v>
                </c:pt>
                <c:pt idx="5">
                  <c:v>Jun</c:v>
                </c:pt>
                <c:pt idx="6">
                  <c:v>Jul</c:v>
                </c:pt>
                <c:pt idx="7">
                  <c:v>Jul</c:v>
                </c:pt>
                <c:pt idx="8">
                  <c:v>Aug</c:v>
                </c:pt>
                <c:pt idx="9">
                  <c:v>Aug</c:v>
                </c:pt>
                <c:pt idx="10">
                  <c:v>Sep</c:v>
                </c:pt>
                <c:pt idx="11">
                  <c:v>Oct</c:v>
                </c:pt>
                <c:pt idx="12">
                  <c:v>Nov</c:v>
                </c:pt>
                <c:pt idx="13">
                  <c:v>Dec</c:v>
                </c:pt>
              </c:strCache>
            </c:strRef>
          </c:cat>
          <c:val>
            <c:numRef>
              <c:f>'Rec Use'!$B$13:$O$13</c:f>
              <c:numCache>
                <c:formatCode>0</c:formatCode>
                <c:ptCount val="14"/>
                <c:pt idx="0">
                  <c:v>0</c:v>
                </c:pt>
                <c:pt idx="1">
                  <c:v>0</c:v>
                </c:pt>
                <c:pt idx="2">
                  <c:v>0</c:v>
                </c:pt>
                <c:pt idx="3">
                  <c:v>13</c:v>
                </c:pt>
                <c:pt idx="4">
                  <c:v>17</c:v>
                </c:pt>
                <c:pt idx="5">
                  <c:v>28</c:v>
                </c:pt>
                <c:pt idx="6">
                  <c:v>23</c:v>
                </c:pt>
                <c:pt idx="7">
                  <c:v>21</c:v>
                </c:pt>
                <c:pt idx="8">
                  <c:v>27</c:v>
                </c:pt>
                <c:pt idx="9">
                  <c:v>14</c:v>
                </c:pt>
                <c:pt idx="10">
                  <c:v>13</c:v>
                </c:pt>
                <c:pt idx="11">
                  <c:v>8</c:v>
                </c:pt>
                <c:pt idx="12">
                  <c:v>0</c:v>
                </c:pt>
                <c:pt idx="13">
                  <c:v>0</c:v>
                </c:pt>
              </c:numCache>
            </c:numRef>
          </c:val>
          <c:smooth val="0"/>
          <c:extLst>
            <c:ext xmlns:c16="http://schemas.microsoft.com/office/drawing/2014/chart" uri="{C3380CC4-5D6E-409C-BE32-E72D297353CC}">
              <c16:uniqueId val="{00000003-5838-468F-9DD3-6D4CC3FDC101}"/>
            </c:ext>
          </c:extLst>
        </c:ser>
        <c:ser>
          <c:idx val="4"/>
          <c:order val="4"/>
          <c:tx>
            <c:strRef>
              <c:f>'Rec Use'!$A$14</c:f>
              <c:strCache>
                <c:ptCount val="1"/>
                <c:pt idx="0">
                  <c:v>Beach</c:v>
                </c:pt>
              </c:strCache>
            </c:strRef>
          </c:tx>
          <c:marker>
            <c:symbol val="none"/>
          </c:marker>
          <c:val>
            <c:numRef>
              <c:f>'Rec Use'!$B$14:$O$14</c:f>
              <c:numCache>
                <c:formatCode>0</c:formatCode>
                <c:ptCount val="14"/>
                <c:pt idx="0">
                  <c:v>0</c:v>
                </c:pt>
                <c:pt idx="1">
                  <c:v>0</c:v>
                </c:pt>
                <c:pt idx="2">
                  <c:v>0</c:v>
                </c:pt>
                <c:pt idx="3">
                  <c:v>8</c:v>
                </c:pt>
                <c:pt idx="4">
                  <c:v>11</c:v>
                </c:pt>
                <c:pt idx="5">
                  <c:v>85</c:v>
                </c:pt>
                <c:pt idx="6">
                  <c:v>100</c:v>
                </c:pt>
                <c:pt idx="7">
                  <c:v>125</c:v>
                </c:pt>
                <c:pt idx="8">
                  <c:v>20</c:v>
                </c:pt>
                <c:pt idx="9">
                  <c:v>26</c:v>
                </c:pt>
                <c:pt idx="10">
                  <c:v>12</c:v>
                </c:pt>
                <c:pt idx="11">
                  <c:v>0</c:v>
                </c:pt>
                <c:pt idx="12">
                  <c:v>0</c:v>
                </c:pt>
                <c:pt idx="13">
                  <c:v>0</c:v>
                </c:pt>
              </c:numCache>
            </c:numRef>
          </c:val>
          <c:smooth val="0"/>
          <c:extLst>
            <c:ext xmlns:c16="http://schemas.microsoft.com/office/drawing/2014/chart" uri="{C3380CC4-5D6E-409C-BE32-E72D297353CC}">
              <c16:uniqueId val="{00000004-5838-468F-9DD3-6D4CC3FDC101}"/>
            </c:ext>
          </c:extLst>
        </c:ser>
        <c:dLbls>
          <c:showLegendKey val="0"/>
          <c:showVal val="0"/>
          <c:showCatName val="0"/>
          <c:showSerName val="0"/>
          <c:showPercent val="0"/>
          <c:showBubbleSize val="0"/>
        </c:dLbls>
        <c:smooth val="0"/>
        <c:axId val="143239040"/>
        <c:axId val="143240576"/>
      </c:lineChart>
      <c:catAx>
        <c:axId val="143239040"/>
        <c:scaling>
          <c:orientation val="minMax"/>
        </c:scaling>
        <c:delete val="0"/>
        <c:axPos val="b"/>
        <c:numFmt formatCode="[$-409]mmm\-yy;@" sourceLinked="0"/>
        <c:majorTickMark val="out"/>
        <c:minorTickMark val="none"/>
        <c:tickLblPos val="nextTo"/>
        <c:crossAx val="143240576"/>
        <c:crosses val="autoZero"/>
        <c:auto val="1"/>
        <c:lblAlgn val="ctr"/>
        <c:lblOffset val="100"/>
        <c:noMultiLvlLbl val="0"/>
      </c:catAx>
      <c:valAx>
        <c:axId val="143240576"/>
        <c:scaling>
          <c:orientation val="minMax"/>
        </c:scaling>
        <c:delete val="0"/>
        <c:axPos val="l"/>
        <c:majorGridlines/>
        <c:numFmt formatCode="0" sourceLinked="1"/>
        <c:majorTickMark val="out"/>
        <c:minorTickMark val="none"/>
        <c:tickLblPos val="nextTo"/>
        <c:crossAx val="143239040"/>
        <c:crosses val="autoZero"/>
        <c:crossBetween val="between"/>
      </c:valAx>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plotArea>
    <c:legend>
      <c:legendPos val="r"/>
      <c:layout>
        <c:manualLayout>
          <c:xMode val="edge"/>
          <c:yMode val="edge"/>
          <c:x val="0.65354227442885271"/>
          <c:y val="5.2618847301621537E-2"/>
          <c:w val="0.29058333333333336"/>
          <c:h val="0.25616506270049577"/>
        </c:manualLayout>
      </c:layout>
      <c:overlay val="0"/>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c:spPr>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BCR Park Daily Use Estimates for Week-Days 2013</a:t>
            </a:r>
          </a:p>
        </c:rich>
      </c:tx>
      <c:overlay val="1"/>
    </c:title>
    <c:autoTitleDeleted val="0"/>
    <c:plotArea>
      <c:layout>
        <c:manualLayout>
          <c:layoutTarget val="inner"/>
          <c:xMode val="edge"/>
          <c:yMode val="edge"/>
          <c:x val="9.8571741032371027E-2"/>
          <c:y val="0.13399639204391744"/>
          <c:w val="0.86084492563433201"/>
          <c:h val="0.68942559171254036"/>
        </c:manualLayout>
      </c:layout>
      <c:lineChart>
        <c:grouping val="standard"/>
        <c:varyColors val="0"/>
        <c:ser>
          <c:idx val="0"/>
          <c:order val="0"/>
          <c:tx>
            <c:strRef>
              <c:f>'Rec Use'!$R$4</c:f>
              <c:strCache>
                <c:ptCount val="1"/>
                <c:pt idx="0">
                  <c:v>Walking/ Running </c:v>
                </c:pt>
              </c:strCache>
            </c:strRef>
          </c:tx>
          <c:marker>
            <c:symbol val="none"/>
          </c:marker>
          <c:cat>
            <c:strRef>
              <c:f>'Rec Use'!$S$2:$AD$2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'Rec Use'!$S$4:$AD$4</c:f>
              <c:numCache>
                <c:formatCode>0</c:formatCode>
                <c:ptCount val="12"/>
                <c:pt idx="0">
                  <c:v>34.5</c:v>
                </c:pt>
                <c:pt idx="1">
                  <c:v>33</c:v>
                </c:pt>
                <c:pt idx="2">
                  <c:v>19.5</c:v>
                </c:pt>
                <c:pt idx="3">
                  <c:v>39</c:v>
                </c:pt>
                <c:pt idx="4">
                  <c:v>49.5</c:v>
                </c:pt>
                <c:pt idx="5">
                  <c:v>72</c:v>
                </c:pt>
                <c:pt idx="6">
                  <c:v>63</c:v>
                </c:pt>
                <c:pt idx="7">
                  <c:v>45</c:v>
                </c:pt>
                <c:pt idx="8">
                  <c:v>34.5</c:v>
                </c:pt>
                <c:pt idx="9">
                  <c:v>40.5</c:v>
                </c:pt>
                <c:pt idx="10">
                  <c:v>58.5</c:v>
                </c:pt>
                <c:pt idx="11">
                  <c:v>28.5</c:v>
                </c:pt>
              </c:numCache>
            </c:numRef>
          </c:val>
          <c:smooth val="0"/>
          <c:extLst>
            <c:ext xmlns:c16="http://schemas.microsoft.com/office/drawing/2014/chart" uri="{C3380CC4-5D6E-409C-BE32-E72D297353CC}">
              <c16:uniqueId val="{00000000-09FC-4B82-8D08-7209E384E55B}"/>
            </c:ext>
          </c:extLst>
        </c:ser>
        <c:ser>
          <c:idx val="1"/>
          <c:order val="1"/>
          <c:tx>
            <c:strRef>
              <c:f>'Rec Use'!$R$7</c:f>
              <c:strCache>
                <c:ptCount val="1"/>
                <c:pt idx="0">
                  <c:v>Bicycle</c:v>
                </c:pt>
              </c:strCache>
            </c:strRef>
          </c:tx>
          <c:marker>
            <c:symbol val="none"/>
          </c:marker>
          <c:val>
            <c:numRef>
              <c:f>'Rec Use'!$S$7:$AD$7</c:f>
              <c:numCache>
                <c:formatCode>0</c:formatCode>
                <c:ptCount val="12"/>
                <c:pt idx="0">
                  <c:v>42</c:v>
                </c:pt>
                <c:pt idx="1">
                  <c:v>10.5</c:v>
                </c:pt>
                <c:pt idx="2">
                  <c:v>12</c:v>
                </c:pt>
                <c:pt idx="3">
                  <c:v>13.5</c:v>
                </c:pt>
                <c:pt idx="4">
                  <c:v>46.5</c:v>
                </c:pt>
                <c:pt idx="5">
                  <c:v>64.5</c:v>
                </c:pt>
                <c:pt idx="6">
                  <c:v>73.5</c:v>
                </c:pt>
                <c:pt idx="7">
                  <c:v>64.5</c:v>
                </c:pt>
                <c:pt idx="8">
                  <c:v>66</c:v>
                </c:pt>
                <c:pt idx="9">
                  <c:v>39</c:v>
                </c:pt>
                <c:pt idx="10">
                  <c:v>54</c:v>
                </c:pt>
                <c:pt idx="11">
                  <c:v>24</c:v>
                </c:pt>
              </c:numCache>
            </c:numRef>
          </c:val>
          <c:smooth val="0"/>
          <c:extLst>
            <c:ext xmlns:c16="http://schemas.microsoft.com/office/drawing/2014/chart" uri="{C3380CC4-5D6E-409C-BE32-E72D297353CC}">
              <c16:uniqueId val="{00000001-09FC-4B82-8D08-7209E384E55B}"/>
            </c:ext>
          </c:extLst>
        </c:ser>
        <c:ser>
          <c:idx val="2"/>
          <c:order val="2"/>
          <c:tx>
            <c:strRef>
              <c:f>'Rec Use'!$R$11</c:f>
              <c:strCache>
                <c:ptCount val="1"/>
                <c:pt idx="0">
                  <c:v>Fishing</c:v>
                </c:pt>
              </c:strCache>
            </c:strRef>
          </c:tx>
          <c:marker>
            <c:symbol val="none"/>
          </c:marker>
          <c:val>
            <c:numRef>
              <c:f>'Rec Use'!$S$11:$AD$11</c:f>
              <c:numCache>
                <c:formatCode>0</c:formatCode>
                <c:ptCount val="12"/>
                <c:pt idx="0">
                  <c:v>16.5</c:v>
                </c:pt>
                <c:pt idx="1">
                  <c:v>22.5</c:v>
                </c:pt>
                <c:pt idx="2">
                  <c:v>7.5</c:v>
                </c:pt>
                <c:pt idx="3">
                  <c:v>18</c:v>
                </c:pt>
                <c:pt idx="4">
                  <c:v>57</c:v>
                </c:pt>
                <c:pt idx="5">
                  <c:v>61.5</c:v>
                </c:pt>
                <c:pt idx="6">
                  <c:v>49.5</c:v>
                </c:pt>
                <c:pt idx="7">
                  <c:v>48</c:v>
                </c:pt>
                <c:pt idx="8">
                  <c:v>39</c:v>
                </c:pt>
                <c:pt idx="9">
                  <c:v>19.5</c:v>
                </c:pt>
                <c:pt idx="10">
                  <c:v>19.5</c:v>
                </c:pt>
                <c:pt idx="11">
                  <c:v>9</c:v>
                </c:pt>
              </c:numCache>
            </c:numRef>
          </c:val>
          <c:smooth val="0"/>
          <c:extLst>
            <c:ext xmlns:c16="http://schemas.microsoft.com/office/drawing/2014/chart" uri="{C3380CC4-5D6E-409C-BE32-E72D297353CC}">
              <c16:uniqueId val="{00000002-09FC-4B82-8D08-7209E384E55B}"/>
            </c:ext>
          </c:extLst>
        </c:ser>
        <c:dLbls>
          <c:showLegendKey val="0"/>
          <c:showVal val="0"/>
          <c:showCatName val="0"/>
          <c:showSerName val="0"/>
          <c:showPercent val="0"/>
          <c:showBubbleSize val="0"/>
        </c:dLbls>
        <c:smooth val="0"/>
        <c:axId val="143475072"/>
        <c:axId val="143476608"/>
      </c:lineChart>
      <c:catAx>
        <c:axId val="143475072"/>
        <c:scaling>
          <c:orientation val="minMax"/>
        </c:scaling>
        <c:delete val="0"/>
        <c:axPos val="b"/>
        <c:numFmt formatCode="General" sourceLinked="0"/>
        <c:majorTickMark val="out"/>
        <c:minorTickMark val="none"/>
        <c:tickLblPos val="nextTo"/>
        <c:crossAx val="143476608"/>
        <c:crosses val="autoZero"/>
        <c:auto val="1"/>
        <c:lblAlgn val="ctr"/>
        <c:lblOffset val="100"/>
        <c:noMultiLvlLbl val="0"/>
      </c:catAx>
      <c:valAx>
        <c:axId val="143476608"/>
        <c:scaling>
          <c:orientation val="minMax"/>
        </c:scaling>
        <c:delete val="0"/>
        <c:axPos val="l"/>
        <c:majorGridlines/>
        <c:numFmt formatCode="0" sourceLinked="1"/>
        <c:majorTickMark val="out"/>
        <c:minorTickMark val="none"/>
        <c:tickLblPos val="nextTo"/>
        <c:crossAx val="143475072"/>
        <c:crosses val="autoZero"/>
        <c:crossBetween val="between"/>
      </c:valAx>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c:spPr>
    </c:plotArea>
    <c:legend>
      <c:legendPos val="r"/>
      <c:layout>
        <c:manualLayout>
          <c:xMode val="edge"/>
          <c:yMode val="edge"/>
          <c:x val="0.13324053651493925"/>
          <c:y val="0.16907512192187268"/>
          <c:w val="0.24757260181187024"/>
          <c:h val="0.18238338423917441"/>
        </c:manualLayout>
      </c:layout>
      <c:overlay val="0"/>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c:spPr>
    </c:legend>
    <c:plotVisOnly val="1"/>
    <c:dispBlanksAs val="gap"/>
    <c:showDLblsOverMax val="0"/>
  </c:chart>
  <c:printSettings>
    <c:headerFooter/>
    <c:pageMargins b="0.75000000000001465" l="0.70000000000000062" r="0.70000000000000062" t="0.75000000000001465"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Bear Creek Reservoir - Nitrate Trends </a:t>
            </a:r>
          </a:p>
        </c:rich>
      </c:tx>
      <c:layout>
        <c:manualLayout>
          <c:xMode val="edge"/>
          <c:yMode val="edge"/>
          <c:x val="0.27966607036376606"/>
          <c:y val="4.1431261770244816E-2"/>
        </c:manualLayout>
      </c:layout>
      <c:overlay val="0"/>
      <c:spPr>
        <a:noFill/>
        <a:ln w="25400">
          <a:noFill/>
        </a:ln>
      </c:spPr>
    </c:title>
    <c:autoTitleDeleted val="0"/>
    <c:plotArea>
      <c:layout>
        <c:manualLayout>
          <c:layoutTarget val="inner"/>
          <c:xMode val="edge"/>
          <c:yMode val="edge"/>
          <c:x val="0.14490173658821087"/>
          <c:y val="0.12994386129463856"/>
          <c:w val="0.83005439230768563"/>
          <c:h val="0.70056690437109459"/>
        </c:manualLayout>
      </c:layout>
      <c:lineChart>
        <c:grouping val="standard"/>
        <c:varyColors val="0"/>
        <c:ser>
          <c:idx val="0"/>
          <c:order val="0"/>
          <c:tx>
            <c:strRef>
              <c:f>'Nitrate Trends'!$A$101</c:f>
              <c:strCache>
                <c:ptCount val="1"/>
                <c:pt idx="0">
                  <c:v>Average Inflow</c:v>
                </c:pt>
              </c:strCache>
            </c:strRef>
          </c:tx>
          <c:spPr>
            <a:ln w="38100">
              <a:solidFill>
                <a:srgbClr val="000080"/>
              </a:solidFill>
              <a:prstDash val="solid"/>
            </a:ln>
          </c:spPr>
          <c:marker>
            <c:symbol val="diamond"/>
            <c:size val="9"/>
            <c:spPr>
              <a:solidFill>
                <a:srgbClr val="000080"/>
              </a:solidFill>
              <a:ln>
                <a:solidFill>
                  <a:srgbClr val="000080"/>
                </a:solidFill>
                <a:prstDash val="solid"/>
              </a:ln>
            </c:spPr>
          </c:marker>
          <c:cat>
            <c:numRef>
              <c:f>'Nitrate Trends'!$B$102:$B$124</c:f>
              <c:numCache>
                <c:formatCode>General</c:formatCode>
                <c:ptCount val="2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numCache>
            </c:numRef>
          </c:cat>
          <c:val>
            <c:numRef>
              <c:f>'Nitrate Trends'!$C$102:$C$124</c:f>
              <c:numCache>
                <c:formatCode>0</c:formatCode>
                <c:ptCount val="23"/>
                <c:pt idx="0">
                  <c:v>1334</c:v>
                </c:pt>
                <c:pt idx="1">
                  <c:v>1936</c:v>
                </c:pt>
                <c:pt idx="2">
                  <c:v>1238.5</c:v>
                </c:pt>
                <c:pt idx="3">
                  <c:v>1217.5</c:v>
                </c:pt>
                <c:pt idx="4">
                  <c:v>1204</c:v>
                </c:pt>
                <c:pt idx="5">
                  <c:v>992.875</c:v>
                </c:pt>
                <c:pt idx="6">
                  <c:v>609.06218750000005</c:v>
                </c:pt>
                <c:pt idx="7">
                  <c:v>530.5</c:v>
                </c:pt>
                <c:pt idx="8">
                  <c:v>356.5</c:v>
                </c:pt>
                <c:pt idx="9">
                  <c:v>1143</c:v>
                </c:pt>
                <c:pt idx="10">
                  <c:v>730</c:v>
                </c:pt>
                <c:pt idx="11">
                  <c:v>2500</c:v>
                </c:pt>
                <c:pt idx="12">
                  <c:v>1260.5</c:v>
                </c:pt>
                <c:pt idx="13">
                  <c:v>414.5</c:v>
                </c:pt>
                <c:pt idx="14">
                  <c:v>790.5</c:v>
                </c:pt>
                <c:pt idx="15">
                  <c:v>994.5</c:v>
                </c:pt>
                <c:pt idx="16">
                  <c:v>578.5</c:v>
                </c:pt>
                <c:pt idx="17">
                  <c:v>882</c:v>
                </c:pt>
                <c:pt idx="18">
                  <c:v>670</c:v>
                </c:pt>
                <c:pt idx="19">
                  <c:v>932.5</c:v>
                </c:pt>
                <c:pt idx="20">
                  <c:v>596.5</c:v>
                </c:pt>
                <c:pt idx="21">
                  <c:v>734.5</c:v>
                </c:pt>
                <c:pt idx="22">
                  <c:v>621.5</c:v>
                </c:pt>
              </c:numCache>
            </c:numRef>
          </c:val>
          <c:smooth val="0"/>
          <c:extLst>
            <c:ext xmlns:c16="http://schemas.microsoft.com/office/drawing/2014/chart" uri="{C3380CC4-5D6E-409C-BE32-E72D297353CC}">
              <c16:uniqueId val="{00000000-0BF7-4A6A-BEAC-7A25018C8CDE}"/>
            </c:ext>
          </c:extLst>
        </c:ser>
        <c:ser>
          <c:idx val="1"/>
          <c:order val="1"/>
          <c:tx>
            <c:strRef>
              <c:f>'Nitrate Trends'!$E$76</c:f>
              <c:strCache>
                <c:ptCount val="1"/>
                <c:pt idx="0">
                  <c:v>Reservoir Outflow</c:v>
                </c:pt>
              </c:strCache>
            </c:strRef>
          </c:tx>
          <c:spPr>
            <a:ln w="28575">
              <a:solidFill>
                <a:srgbClr val="FF00FF"/>
              </a:solidFill>
              <a:prstDash val="solid"/>
            </a:ln>
          </c:spPr>
          <c:marker>
            <c:symbol val="square"/>
            <c:size val="5"/>
            <c:spPr>
              <a:solidFill>
                <a:srgbClr val="FF00FF"/>
              </a:solidFill>
              <a:ln>
                <a:solidFill>
                  <a:srgbClr val="FF00FF"/>
                </a:solidFill>
                <a:prstDash val="solid"/>
              </a:ln>
            </c:spPr>
          </c:marker>
          <c:cat>
            <c:numRef>
              <c:f>'Nitrate Trends'!$B$102:$B$124</c:f>
              <c:numCache>
                <c:formatCode>General</c:formatCode>
                <c:ptCount val="2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numCache>
            </c:numRef>
          </c:cat>
          <c:val>
            <c:numRef>
              <c:f>'Nitrate Trends'!$G$76:$G$98</c:f>
              <c:numCache>
                <c:formatCode>0</c:formatCode>
                <c:ptCount val="23"/>
                <c:pt idx="0">
                  <c:v>589</c:v>
                </c:pt>
                <c:pt idx="1">
                  <c:v>325</c:v>
                </c:pt>
                <c:pt idx="2">
                  <c:v>431</c:v>
                </c:pt>
                <c:pt idx="3">
                  <c:v>351</c:v>
                </c:pt>
                <c:pt idx="4">
                  <c:v>491</c:v>
                </c:pt>
                <c:pt idx="5">
                  <c:v>579.375</c:v>
                </c:pt>
                <c:pt idx="6">
                  <c:v>520.40125</c:v>
                </c:pt>
                <c:pt idx="7">
                  <c:v>405</c:v>
                </c:pt>
                <c:pt idx="8">
                  <c:v>226</c:v>
                </c:pt>
                <c:pt idx="9">
                  <c:v>437</c:v>
                </c:pt>
                <c:pt idx="10">
                  <c:v>388</c:v>
                </c:pt>
                <c:pt idx="11">
                  <c:v>280</c:v>
                </c:pt>
                <c:pt idx="12">
                  <c:v>268</c:v>
                </c:pt>
                <c:pt idx="13">
                  <c:v>247</c:v>
                </c:pt>
                <c:pt idx="14">
                  <c:v>233</c:v>
                </c:pt>
                <c:pt idx="15">
                  <c:v>196</c:v>
                </c:pt>
                <c:pt idx="16">
                  <c:v>261</c:v>
                </c:pt>
                <c:pt idx="17">
                  <c:v>220</c:v>
                </c:pt>
                <c:pt idx="18">
                  <c:v>280</c:v>
                </c:pt>
                <c:pt idx="19">
                  <c:v>278</c:v>
                </c:pt>
                <c:pt idx="20">
                  <c:v>173</c:v>
                </c:pt>
                <c:pt idx="21">
                  <c:v>167</c:v>
                </c:pt>
                <c:pt idx="22">
                  <c:v>162</c:v>
                </c:pt>
              </c:numCache>
            </c:numRef>
          </c:val>
          <c:smooth val="0"/>
          <c:extLst>
            <c:ext xmlns:c16="http://schemas.microsoft.com/office/drawing/2014/chart" uri="{C3380CC4-5D6E-409C-BE32-E72D297353CC}">
              <c16:uniqueId val="{00000001-0BF7-4A6A-BEAC-7A25018C8CDE}"/>
            </c:ext>
          </c:extLst>
        </c:ser>
        <c:ser>
          <c:idx val="2"/>
          <c:order val="2"/>
          <c:tx>
            <c:strRef>
              <c:f>'Nitrate Trends'!$E$101</c:f>
              <c:strCache>
                <c:ptCount val="1"/>
                <c:pt idx="0">
                  <c:v>Retained in Reservoir</c:v>
                </c:pt>
              </c:strCache>
            </c:strRef>
          </c:tx>
          <c:spPr>
            <a:ln w="38100">
              <a:solidFill>
                <a:srgbClr val="FF0000"/>
              </a:solidFill>
              <a:prstDash val="solid"/>
            </a:ln>
          </c:spPr>
          <c:marker>
            <c:symbol val="triangle"/>
            <c:size val="6"/>
            <c:spPr>
              <a:solidFill>
                <a:srgbClr val="FF0000"/>
              </a:solidFill>
              <a:ln>
                <a:solidFill>
                  <a:srgbClr val="FF0000"/>
                </a:solidFill>
                <a:prstDash val="solid"/>
              </a:ln>
            </c:spPr>
          </c:marker>
          <c:cat>
            <c:numRef>
              <c:f>'Nitrate Trends'!$B$102:$B$124</c:f>
              <c:numCache>
                <c:formatCode>General</c:formatCode>
                <c:ptCount val="2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numCache>
            </c:numRef>
          </c:cat>
          <c:val>
            <c:numRef>
              <c:f>'Nitrate Trends'!$G$101:$G$123</c:f>
              <c:numCache>
                <c:formatCode>0</c:formatCode>
                <c:ptCount val="23"/>
                <c:pt idx="0">
                  <c:v>745</c:v>
                </c:pt>
                <c:pt idx="1">
                  <c:v>1611</c:v>
                </c:pt>
                <c:pt idx="2">
                  <c:v>807.5</c:v>
                </c:pt>
                <c:pt idx="3">
                  <c:v>866.5</c:v>
                </c:pt>
                <c:pt idx="4">
                  <c:v>713</c:v>
                </c:pt>
                <c:pt idx="5">
                  <c:v>413.5</c:v>
                </c:pt>
                <c:pt idx="6">
                  <c:v>88.660937500000045</c:v>
                </c:pt>
                <c:pt idx="7">
                  <c:v>125.5</c:v>
                </c:pt>
                <c:pt idx="8">
                  <c:v>130.5</c:v>
                </c:pt>
                <c:pt idx="9">
                  <c:v>706</c:v>
                </c:pt>
                <c:pt idx="10">
                  <c:v>342</c:v>
                </c:pt>
                <c:pt idx="11">
                  <c:v>2220</c:v>
                </c:pt>
                <c:pt idx="12">
                  <c:v>992.5</c:v>
                </c:pt>
                <c:pt idx="13">
                  <c:v>167.5</c:v>
                </c:pt>
                <c:pt idx="14">
                  <c:v>557.5</c:v>
                </c:pt>
                <c:pt idx="15">
                  <c:v>798.5</c:v>
                </c:pt>
                <c:pt idx="16">
                  <c:v>317.5</c:v>
                </c:pt>
                <c:pt idx="17">
                  <c:v>662</c:v>
                </c:pt>
                <c:pt idx="18">
                  <c:v>390</c:v>
                </c:pt>
                <c:pt idx="19">
                  <c:v>654.5</c:v>
                </c:pt>
                <c:pt idx="20">
                  <c:v>423.5</c:v>
                </c:pt>
                <c:pt idx="21">
                  <c:v>567.5</c:v>
                </c:pt>
                <c:pt idx="22">
                  <c:v>459.5</c:v>
                </c:pt>
              </c:numCache>
            </c:numRef>
          </c:val>
          <c:smooth val="0"/>
          <c:extLst>
            <c:ext xmlns:c16="http://schemas.microsoft.com/office/drawing/2014/chart" uri="{C3380CC4-5D6E-409C-BE32-E72D297353CC}">
              <c16:uniqueId val="{00000002-0BF7-4A6A-BEAC-7A25018C8CDE}"/>
            </c:ext>
          </c:extLst>
        </c:ser>
        <c:dLbls>
          <c:showLegendKey val="0"/>
          <c:showVal val="0"/>
          <c:showCatName val="0"/>
          <c:showSerName val="0"/>
          <c:showPercent val="0"/>
          <c:showBubbleSize val="0"/>
        </c:dLbls>
        <c:marker val="1"/>
        <c:smooth val="0"/>
        <c:axId val="122554240"/>
        <c:axId val="129826816"/>
      </c:lineChart>
      <c:catAx>
        <c:axId val="122554240"/>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900" b="1" i="0" u="none" strike="noStrike" baseline="0">
                <a:solidFill>
                  <a:srgbClr val="000000"/>
                </a:solidFill>
                <a:latin typeface="Arial"/>
                <a:ea typeface="Arial"/>
                <a:cs typeface="Arial"/>
              </a:defRPr>
            </a:pPr>
            <a:endParaRPr lang="en-US"/>
          </a:p>
        </c:txPr>
        <c:crossAx val="129826816"/>
        <c:crossesAt val="-500"/>
        <c:auto val="1"/>
        <c:lblAlgn val="ctr"/>
        <c:lblOffset val="100"/>
        <c:tickLblSkip val="1"/>
        <c:tickMarkSkip val="1"/>
        <c:noMultiLvlLbl val="0"/>
      </c:catAx>
      <c:valAx>
        <c:axId val="129826816"/>
        <c:scaling>
          <c:orientation val="minMax"/>
        </c:scaling>
        <c:delete val="0"/>
        <c:axPos val="l"/>
        <c:majorGridlines>
          <c:spPr>
            <a:ln w="3175">
              <a:solidFill>
                <a:srgbClr val="000000"/>
              </a:solidFill>
              <a:prstDash val="solid"/>
            </a:ln>
          </c:spPr>
        </c:majorGridlines>
        <c:minorGridlines/>
        <c:title>
          <c:tx>
            <c:rich>
              <a:bodyPr/>
              <a:lstStyle/>
              <a:p>
                <a:pPr>
                  <a:defRPr sz="975" b="1" i="0" u="none" strike="noStrike" baseline="0">
                    <a:solidFill>
                      <a:srgbClr val="000000"/>
                    </a:solidFill>
                    <a:latin typeface="Arial"/>
                    <a:ea typeface="Arial"/>
                    <a:cs typeface="Arial"/>
                  </a:defRPr>
                </a:pPr>
                <a:r>
                  <a:rPr lang="en-US"/>
                  <a:t>Nitrate (ug/l)</a:t>
                </a:r>
              </a:p>
            </c:rich>
          </c:tx>
          <c:layout>
            <c:manualLayout>
              <c:xMode val="edge"/>
              <c:yMode val="edge"/>
              <c:x val="3.7567084078711989E-2"/>
              <c:y val="0.3644076693803451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2554240"/>
        <c:crosses val="autoZero"/>
        <c:crossBetween val="between"/>
      </c:valAx>
      <c:spPr>
        <a:solidFill>
          <a:schemeClr val="bg1"/>
        </a:solidFill>
        <a:ln w="12700">
          <a:solidFill>
            <a:srgbClr val="808080"/>
          </a:solidFill>
          <a:prstDash val="solid"/>
        </a:ln>
      </c:spPr>
    </c:plotArea>
    <c:legend>
      <c:legendPos val="r"/>
      <c:layout>
        <c:manualLayout>
          <c:xMode val="edge"/>
          <c:yMode val="edge"/>
          <c:x val="0.18604668309591857"/>
          <c:y val="0.15470088037360474"/>
          <c:w val="0.24645509377553076"/>
          <c:h val="0.14044268989538153"/>
        </c:manualLayout>
      </c:layout>
      <c:overlay val="0"/>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3175">
          <a:solidFill>
            <a:srgbClr val="000000"/>
          </a:solidFill>
          <a:prstDash val="solid"/>
        </a:ln>
      </c:spPr>
      <c:txPr>
        <a:bodyPr/>
        <a:lstStyle/>
        <a:p>
          <a:pPr>
            <a:defRPr sz="775" b="0" i="0" u="none" strike="noStrike" baseline="0">
              <a:solidFill>
                <a:srgbClr val="000000"/>
              </a:solidFill>
              <a:latin typeface="Arial"/>
              <a:ea typeface="Arial"/>
              <a:cs typeface="Arial"/>
            </a:defRPr>
          </a:pPr>
          <a:endParaRPr lang="en-US"/>
        </a:p>
      </c:txPr>
    </c:legend>
    <c:plotVisOnly val="1"/>
    <c:dispBlanksAs val="gap"/>
    <c:showDLblsOverMax val="0"/>
  </c:chart>
  <c:spPr>
    <a:gradFill>
      <a:gsLst>
        <a:gs pos="0">
          <a:srgbClr val="4F81BD">
            <a:tint val="66000"/>
            <a:satMod val="160000"/>
            <a:alpha val="51000"/>
          </a:srgbClr>
        </a:gs>
        <a:gs pos="50000">
          <a:srgbClr val="4F81BD">
            <a:tint val="44500"/>
            <a:satMod val="160000"/>
          </a:srgbClr>
        </a:gs>
        <a:gs pos="100000">
          <a:srgbClr val="4F81BD">
            <a:tint val="23500"/>
            <a:satMod val="160000"/>
          </a:srgbClr>
        </a:gs>
      </a:gsLst>
      <a:lin ang="5400000" scaled="0"/>
    </a:gradFill>
    <a:ln w="3175">
      <a:solidFill>
        <a:srgbClr val="000000"/>
      </a:solidFill>
      <a:prstDash val="solid"/>
    </a:ln>
  </c:spPr>
  <c:txPr>
    <a:bodyPr/>
    <a:lstStyle/>
    <a:p>
      <a:pPr>
        <a:defRPr sz="14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horizontalDpi="-2" verticalDpi="0"/>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3" Type="http://schemas.openxmlformats.org/officeDocument/2006/relationships/chart" Target="../charts/chart29.xml"/><Relationship Id="rId2" Type="http://schemas.openxmlformats.org/officeDocument/2006/relationships/chart" Target="../charts/chart28.xml"/><Relationship Id="rId1" Type="http://schemas.openxmlformats.org/officeDocument/2006/relationships/chart" Target="../charts/chart27.xml"/><Relationship Id="rId5" Type="http://schemas.openxmlformats.org/officeDocument/2006/relationships/chart" Target="../charts/chart31.xml"/><Relationship Id="rId4" Type="http://schemas.openxmlformats.org/officeDocument/2006/relationships/chart" Target="../charts/chart30.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33.xml"/><Relationship Id="rId1" Type="http://schemas.openxmlformats.org/officeDocument/2006/relationships/chart" Target="../charts/chart32.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35.xml"/><Relationship Id="rId1" Type="http://schemas.openxmlformats.org/officeDocument/2006/relationships/chart" Target="../charts/chart34.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37.xml"/><Relationship Id="rId1" Type="http://schemas.openxmlformats.org/officeDocument/2006/relationships/chart" Target="../charts/chart36.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39.xml"/><Relationship Id="rId1" Type="http://schemas.openxmlformats.org/officeDocument/2006/relationships/chart" Target="../charts/chart38.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41.xml"/><Relationship Id="rId1" Type="http://schemas.openxmlformats.org/officeDocument/2006/relationships/chart" Target="../charts/chart40.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44.xml"/><Relationship Id="rId2" Type="http://schemas.openxmlformats.org/officeDocument/2006/relationships/chart" Target="../charts/chart43.xml"/><Relationship Id="rId1" Type="http://schemas.openxmlformats.org/officeDocument/2006/relationships/chart" Target="../charts/chart42.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47.xml"/><Relationship Id="rId2" Type="http://schemas.openxmlformats.org/officeDocument/2006/relationships/chart" Target="../charts/chart46.xml"/><Relationship Id="rId1" Type="http://schemas.openxmlformats.org/officeDocument/2006/relationships/chart" Target="../charts/chart45.xml"/><Relationship Id="rId4" Type="http://schemas.openxmlformats.org/officeDocument/2006/relationships/chart" Target="../charts/chart4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51.xml"/><Relationship Id="rId1" Type="http://schemas.openxmlformats.org/officeDocument/2006/relationships/chart" Target="../charts/chart50.xml"/></Relationships>
</file>

<file path=xl/drawings/_rels/drawing21.xml.rels><?xml version="1.0" encoding="UTF-8" standalone="yes"?>
<Relationships xmlns="http://schemas.openxmlformats.org/package/2006/relationships"><Relationship Id="rId3" Type="http://schemas.openxmlformats.org/officeDocument/2006/relationships/chart" Target="../charts/chart54.xml"/><Relationship Id="rId2" Type="http://schemas.openxmlformats.org/officeDocument/2006/relationships/chart" Target="../charts/chart53.xml"/><Relationship Id="rId1" Type="http://schemas.openxmlformats.org/officeDocument/2006/relationships/chart" Target="../charts/chart52.xml"/><Relationship Id="rId5" Type="http://schemas.openxmlformats.org/officeDocument/2006/relationships/chart" Target="../charts/chart56.xml"/><Relationship Id="rId4" Type="http://schemas.openxmlformats.org/officeDocument/2006/relationships/chart" Target="../charts/chart55.xml"/></Relationships>
</file>

<file path=xl/drawings/_rels/drawing22.xml.rels><?xml version="1.0" encoding="UTF-8" standalone="yes"?>
<Relationships xmlns="http://schemas.openxmlformats.org/package/2006/relationships"><Relationship Id="rId3" Type="http://schemas.openxmlformats.org/officeDocument/2006/relationships/chart" Target="../charts/chart59.xml"/><Relationship Id="rId7" Type="http://schemas.openxmlformats.org/officeDocument/2006/relationships/chart" Target="../charts/chart63.xml"/><Relationship Id="rId2" Type="http://schemas.openxmlformats.org/officeDocument/2006/relationships/chart" Target="../charts/chart58.xml"/><Relationship Id="rId1" Type="http://schemas.openxmlformats.org/officeDocument/2006/relationships/chart" Target="../charts/chart57.xml"/><Relationship Id="rId6" Type="http://schemas.openxmlformats.org/officeDocument/2006/relationships/chart" Target="../charts/chart62.xml"/><Relationship Id="rId5" Type="http://schemas.openxmlformats.org/officeDocument/2006/relationships/chart" Target="../charts/chart61.xml"/><Relationship Id="rId4" Type="http://schemas.openxmlformats.org/officeDocument/2006/relationships/chart" Target="../charts/chart60.xml"/></Relationships>
</file>

<file path=xl/drawings/_rels/drawing23.xml.rels><?xml version="1.0" encoding="UTF-8" standalone="yes"?>
<Relationships xmlns="http://schemas.openxmlformats.org/package/2006/relationships"><Relationship Id="rId3" Type="http://schemas.openxmlformats.org/officeDocument/2006/relationships/chart" Target="../charts/chart66.xml"/><Relationship Id="rId2" Type="http://schemas.openxmlformats.org/officeDocument/2006/relationships/chart" Target="../charts/chart65.xml"/><Relationship Id="rId1" Type="http://schemas.openxmlformats.org/officeDocument/2006/relationships/chart" Target="../charts/chart64.xml"/><Relationship Id="rId6" Type="http://schemas.openxmlformats.org/officeDocument/2006/relationships/chart" Target="../charts/chart69.xml"/><Relationship Id="rId5" Type="http://schemas.openxmlformats.org/officeDocument/2006/relationships/chart" Target="../charts/chart68.xml"/><Relationship Id="rId4" Type="http://schemas.openxmlformats.org/officeDocument/2006/relationships/chart" Target="../charts/chart67.xml"/></Relationships>
</file>

<file path=xl/drawings/_rels/drawing24.xml.rels><?xml version="1.0" encoding="UTF-8" standalone="yes"?>
<Relationships xmlns="http://schemas.openxmlformats.org/package/2006/relationships"><Relationship Id="rId8" Type="http://schemas.openxmlformats.org/officeDocument/2006/relationships/chart" Target="../charts/chart77.xml"/><Relationship Id="rId3" Type="http://schemas.openxmlformats.org/officeDocument/2006/relationships/chart" Target="../charts/chart72.xml"/><Relationship Id="rId7" Type="http://schemas.openxmlformats.org/officeDocument/2006/relationships/chart" Target="../charts/chart76.xml"/><Relationship Id="rId2" Type="http://schemas.openxmlformats.org/officeDocument/2006/relationships/chart" Target="../charts/chart71.xml"/><Relationship Id="rId1" Type="http://schemas.openxmlformats.org/officeDocument/2006/relationships/chart" Target="../charts/chart70.xml"/><Relationship Id="rId6" Type="http://schemas.openxmlformats.org/officeDocument/2006/relationships/chart" Target="../charts/chart75.xml"/><Relationship Id="rId5" Type="http://schemas.openxmlformats.org/officeDocument/2006/relationships/chart" Target="../charts/chart74.xml"/><Relationship Id="rId10" Type="http://schemas.openxmlformats.org/officeDocument/2006/relationships/chart" Target="../charts/chart79.xml"/><Relationship Id="rId4" Type="http://schemas.openxmlformats.org/officeDocument/2006/relationships/chart" Target="../charts/chart73.xml"/><Relationship Id="rId9" Type="http://schemas.openxmlformats.org/officeDocument/2006/relationships/chart" Target="../charts/chart78.xml"/></Relationships>
</file>

<file path=xl/drawings/_rels/drawing25.xml.rels><?xml version="1.0" encoding="UTF-8" standalone="yes"?>
<Relationships xmlns="http://schemas.openxmlformats.org/package/2006/relationships"><Relationship Id="rId3" Type="http://schemas.openxmlformats.org/officeDocument/2006/relationships/chart" Target="../charts/chart82.xml"/><Relationship Id="rId2" Type="http://schemas.openxmlformats.org/officeDocument/2006/relationships/chart" Target="../charts/chart81.xml"/><Relationship Id="rId1" Type="http://schemas.openxmlformats.org/officeDocument/2006/relationships/chart" Target="../charts/chart80.xml"/></Relationships>
</file>

<file path=xl/drawings/_rels/drawing26.xml.rels><?xml version="1.0" encoding="UTF-8" standalone="yes"?>
<Relationships xmlns="http://schemas.openxmlformats.org/package/2006/relationships"><Relationship Id="rId3" Type="http://schemas.openxmlformats.org/officeDocument/2006/relationships/chart" Target="../charts/chart85.xml"/><Relationship Id="rId2" Type="http://schemas.openxmlformats.org/officeDocument/2006/relationships/chart" Target="../charts/chart84.xml"/><Relationship Id="rId1" Type="http://schemas.openxmlformats.org/officeDocument/2006/relationships/chart" Target="../charts/chart83.xml"/><Relationship Id="rId5" Type="http://schemas.openxmlformats.org/officeDocument/2006/relationships/chart" Target="../charts/chart87.xml"/><Relationship Id="rId4" Type="http://schemas.openxmlformats.org/officeDocument/2006/relationships/chart" Target="../charts/chart86.xml"/></Relationships>
</file>

<file path=xl/drawings/_rels/drawing27.xml.rels><?xml version="1.0" encoding="UTF-8" standalone="yes"?>
<Relationships xmlns="http://schemas.openxmlformats.org/package/2006/relationships"><Relationship Id="rId2" Type="http://schemas.openxmlformats.org/officeDocument/2006/relationships/chart" Target="../charts/chart89.xml"/><Relationship Id="rId1" Type="http://schemas.openxmlformats.org/officeDocument/2006/relationships/chart" Target="../charts/chart88.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4" Type="http://schemas.openxmlformats.org/officeDocument/2006/relationships/chart" Target="../charts/chart1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22.xml"/><Relationship Id="rId3" Type="http://schemas.openxmlformats.org/officeDocument/2006/relationships/chart" Target="../charts/chart17.xml"/><Relationship Id="rId7" Type="http://schemas.openxmlformats.org/officeDocument/2006/relationships/chart" Target="../charts/chart21.xml"/><Relationship Id="rId2" Type="http://schemas.openxmlformats.org/officeDocument/2006/relationships/chart" Target="../charts/chart16.xml"/><Relationship Id="rId1" Type="http://schemas.openxmlformats.org/officeDocument/2006/relationships/chart" Target="../charts/chart15.xml"/><Relationship Id="rId6" Type="http://schemas.openxmlformats.org/officeDocument/2006/relationships/chart" Target="../charts/chart20.xml"/><Relationship Id="rId5" Type="http://schemas.openxmlformats.org/officeDocument/2006/relationships/chart" Target="../charts/chart19.xml"/><Relationship Id="rId4" Type="http://schemas.openxmlformats.org/officeDocument/2006/relationships/chart" Target="../charts/chart18.xml"/></Relationships>
</file>

<file path=xl/drawings/_rels/drawing6.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9.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drawing1.xml><?xml version="1.0" encoding="utf-8"?>
<xdr:wsDr xmlns:xdr="http://schemas.openxmlformats.org/drawingml/2006/spreadsheetDrawing" xmlns:a="http://schemas.openxmlformats.org/drawingml/2006/main">
  <xdr:twoCellAnchor>
    <xdr:from>
      <xdr:col>0</xdr:col>
      <xdr:colOff>276225</xdr:colOff>
      <xdr:row>1</xdr:row>
      <xdr:rowOff>9525</xdr:rowOff>
    </xdr:from>
    <xdr:to>
      <xdr:col>16</xdr:col>
      <xdr:colOff>47625</xdr:colOff>
      <xdr:row>45</xdr:row>
      <xdr:rowOff>133350</xdr:rowOff>
    </xdr:to>
    <xdr:pic>
      <xdr:nvPicPr>
        <xdr:cNvPr id="2" name="Picture 2" descr="bclp_water qual_sample-sites">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76225" y="171450"/>
          <a:ext cx="9525000" cy="7248525"/>
        </a:xfrm>
        <a:prstGeom prst="rect">
          <a:avLst/>
        </a:prstGeom>
        <a:noFill/>
        <a:ln w="9525">
          <a:noFill/>
          <a:miter lim="800000"/>
          <a:headEnd/>
          <a:tailEnd/>
        </a:ln>
      </xdr:spPr>
    </xdr:pic>
    <xdr:clientData/>
  </xdr:twoCellAnchor>
</xdr:wsDr>
</file>

<file path=xl/drawings/drawing10.xml><?xml version="1.0" encoding="utf-8"?>
<c:userShapes xmlns:c="http://schemas.openxmlformats.org/drawingml/2006/chart">
  <cdr:relSizeAnchor xmlns:cdr="http://schemas.openxmlformats.org/drawingml/2006/chartDrawing">
    <cdr:from>
      <cdr:x>0.32385</cdr:x>
      <cdr:y>0.5757</cdr:y>
    </cdr:from>
    <cdr:to>
      <cdr:x>0.32385</cdr:x>
      <cdr:y>0.5757</cdr:y>
    </cdr:to>
    <cdr:sp macro="" textlink="">
      <cdr:nvSpPr>
        <cdr:cNvPr id="10241" name="Text Box 1"/>
        <cdr:cNvSpPr txBox="1">
          <a:spLocks xmlns:a="http://schemas.openxmlformats.org/drawingml/2006/main" noChangeArrowheads="1"/>
        </cdr:cNvSpPr>
      </cdr:nvSpPr>
      <cdr:spPr bwMode="auto">
        <a:xfrm xmlns:a="http://schemas.openxmlformats.org/drawingml/2006/main">
          <a:off x="1940350" y="1862093"/>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900" b="0" i="0" strike="noStrike">
              <a:solidFill>
                <a:srgbClr val="000000"/>
              </a:solidFill>
              <a:latin typeface="Arial"/>
              <a:cs typeface="Arial"/>
            </a:rPr>
            <a:t>Mesotrophic/Eutrophic Boundary</a:t>
          </a:r>
        </a:p>
      </cdr:txBody>
    </cdr:sp>
  </cdr:relSizeAnchor>
</c:userShapes>
</file>

<file path=xl/drawings/drawing11.xml><?xml version="1.0" encoding="utf-8"?>
<xdr:wsDr xmlns:xdr="http://schemas.openxmlformats.org/drawingml/2006/spreadsheetDrawing" xmlns:a="http://schemas.openxmlformats.org/drawingml/2006/main">
  <xdr:twoCellAnchor>
    <xdr:from>
      <xdr:col>10</xdr:col>
      <xdr:colOff>475888</xdr:colOff>
      <xdr:row>25</xdr:row>
      <xdr:rowOff>128814</xdr:rowOff>
    </xdr:from>
    <xdr:to>
      <xdr:col>19</xdr:col>
      <xdr:colOff>124369</xdr:colOff>
      <xdr:row>50</xdr:row>
      <xdr:rowOff>45720</xdr:rowOff>
    </xdr:to>
    <xdr:graphicFrame macro="">
      <xdr:nvGraphicFramePr>
        <xdr:cNvPr id="4" name="Chart 3">
          <a:extLst>
            <a:ext uri="{FF2B5EF4-FFF2-40B4-BE49-F238E27FC236}">
              <a16:creationId xmlns:a16="http://schemas.microsoft.com/office/drawing/2014/main" id="{00000000-0008-0000-08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224790</xdr:colOff>
      <xdr:row>25</xdr:row>
      <xdr:rowOff>43814</xdr:rowOff>
    </xdr:from>
    <xdr:to>
      <xdr:col>10</xdr:col>
      <xdr:colOff>162651</xdr:colOff>
      <xdr:row>46</xdr:row>
      <xdr:rowOff>114300</xdr:rowOff>
    </xdr:to>
    <xdr:graphicFrame macro="">
      <xdr:nvGraphicFramePr>
        <xdr:cNvPr id="5" name="Chart 1">
          <a:extLst>
            <a:ext uri="{FF2B5EF4-FFF2-40B4-BE49-F238E27FC236}">
              <a16:creationId xmlns:a16="http://schemas.microsoft.com/office/drawing/2014/main" id="{00000000-0008-0000-0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378276</xdr:colOff>
      <xdr:row>54</xdr:row>
      <xdr:rowOff>321309</xdr:rowOff>
    </xdr:from>
    <xdr:to>
      <xdr:col>16</xdr:col>
      <xdr:colOff>215447</xdr:colOff>
      <xdr:row>77</xdr:row>
      <xdr:rowOff>124912</xdr:rowOff>
    </xdr:to>
    <xdr:graphicFrame macro="">
      <xdr:nvGraphicFramePr>
        <xdr:cNvPr id="6" name="Chart 5">
          <a:extLst>
            <a:ext uri="{FF2B5EF4-FFF2-40B4-BE49-F238E27FC236}">
              <a16:creationId xmlns:a16="http://schemas.microsoft.com/office/drawing/2014/main" id="{00000000-0008-0000-08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19</xdr:col>
      <xdr:colOff>541020</xdr:colOff>
      <xdr:row>19</xdr:row>
      <xdr:rowOff>137160</xdr:rowOff>
    </xdr:from>
    <xdr:to>
      <xdr:col>28</xdr:col>
      <xdr:colOff>449580</xdr:colOff>
      <xdr:row>45</xdr:row>
      <xdr:rowOff>7621</xdr:rowOff>
    </xdr:to>
    <xdr:graphicFrame macro="">
      <xdr:nvGraphicFramePr>
        <xdr:cNvPr id="7" name="Chart 6">
          <a:extLst>
            <a:ext uri="{FF2B5EF4-FFF2-40B4-BE49-F238E27FC236}">
              <a16:creationId xmlns:a16="http://schemas.microsoft.com/office/drawing/2014/main" id="{00000000-0008-0000-08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782411</xdr:colOff>
      <xdr:row>109</xdr:row>
      <xdr:rowOff>79376</xdr:rowOff>
    </xdr:from>
    <xdr:to>
      <xdr:col>23</xdr:col>
      <xdr:colOff>1065893</xdr:colOff>
      <xdr:row>137</xdr:row>
      <xdr:rowOff>79375</xdr:rowOff>
    </xdr:to>
    <xdr:graphicFrame macro="">
      <xdr:nvGraphicFramePr>
        <xdr:cNvPr id="10" name="Chart 9">
          <a:extLst>
            <a:ext uri="{FF2B5EF4-FFF2-40B4-BE49-F238E27FC236}">
              <a16:creationId xmlns:a16="http://schemas.microsoft.com/office/drawing/2014/main" id="{00000000-0008-0000-08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20</xdr:col>
      <xdr:colOff>333375</xdr:colOff>
      <xdr:row>1</xdr:row>
      <xdr:rowOff>175260</xdr:rowOff>
    </xdr:from>
    <xdr:to>
      <xdr:col>34</xdr:col>
      <xdr:colOff>469900</xdr:colOff>
      <xdr:row>25</xdr:row>
      <xdr:rowOff>48260</xdr:rowOff>
    </xdr:to>
    <xdr:graphicFrame macro="">
      <xdr:nvGraphicFramePr>
        <xdr:cNvPr id="23721" name="Chart 1">
          <a:extLst>
            <a:ext uri="{FF2B5EF4-FFF2-40B4-BE49-F238E27FC236}">
              <a16:creationId xmlns:a16="http://schemas.microsoft.com/office/drawing/2014/main" id="{00000000-0008-0000-0900-0000A95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345440</xdr:colOff>
      <xdr:row>26</xdr:row>
      <xdr:rowOff>48260</xdr:rowOff>
    </xdr:from>
    <xdr:to>
      <xdr:col>34</xdr:col>
      <xdr:colOff>495300</xdr:colOff>
      <xdr:row>54</xdr:row>
      <xdr:rowOff>126999</xdr:rowOff>
    </xdr:to>
    <xdr:graphicFrame macro="">
      <xdr:nvGraphicFramePr>
        <xdr:cNvPr id="23722" name="Chart 2">
          <a:extLst>
            <a:ext uri="{FF2B5EF4-FFF2-40B4-BE49-F238E27FC236}">
              <a16:creationId xmlns:a16="http://schemas.microsoft.com/office/drawing/2014/main" id="{00000000-0008-0000-0900-0000AA5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21</xdr:col>
      <xdr:colOff>43814</xdr:colOff>
      <xdr:row>27</xdr:row>
      <xdr:rowOff>43814</xdr:rowOff>
    </xdr:from>
    <xdr:to>
      <xdr:col>31</xdr:col>
      <xdr:colOff>419100</xdr:colOff>
      <xdr:row>52</xdr:row>
      <xdr:rowOff>20320</xdr:rowOff>
    </xdr:to>
    <xdr:graphicFrame macro="">
      <xdr:nvGraphicFramePr>
        <xdr:cNvPr id="29865" name="Chart 1">
          <a:extLst>
            <a:ext uri="{FF2B5EF4-FFF2-40B4-BE49-F238E27FC236}">
              <a16:creationId xmlns:a16="http://schemas.microsoft.com/office/drawing/2014/main" id="{00000000-0008-0000-0A00-0000A97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819150</xdr:colOff>
      <xdr:row>1</xdr:row>
      <xdr:rowOff>11430</xdr:rowOff>
    </xdr:from>
    <xdr:to>
      <xdr:col>31</xdr:col>
      <xdr:colOff>533400</xdr:colOff>
      <xdr:row>24</xdr:row>
      <xdr:rowOff>170180</xdr:rowOff>
    </xdr:to>
    <xdr:graphicFrame macro="">
      <xdr:nvGraphicFramePr>
        <xdr:cNvPr id="29866" name="Chart 2">
          <a:extLst>
            <a:ext uri="{FF2B5EF4-FFF2-40B4-BE49-F238E27FC236}">
              <a16:creationId xmlns:a16="http://schemas.microsoft.com/office/drawing/2014/main" id="{00000000-0008-0000-0A00-0000AA7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21</xdr:col>
      <xdr:colOff>76200</xdr:colOff>
      <xdr:row>32</xdr:row>
      <xdr:rowOff>139700</xdr:rowOff>
    </xdr:from>
    <xdr:to>
      <xdr:col>32</xdr:col>
      <xdr:colOff>584200</xdr:colOff>
      <xdr:row>59</xdr:row>
      <xdr:rowOff>152400</xdr:rowOff>
    </xdr:to>
    <xdr:graphicFrame macro="">
      <xdr:nvGraphicFramePr>
        <xdr:cNvPr id="24661" name="Chart 1">
          <a:extLst>
            <a:ext uri="{FF2B5EF4-FFF2-40B4-BE49-F238E27FC236}">
              <a16:creationId xmlns:a16="http://schemas.microsoft.com/office/drawing/2014/main" id="{00000000-0008-0000-0B00-0000556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660400</xdr:colOff>
      <xdr:row>3</xdr:row>
      <xdr:rowOff>12700</xdr:rowOff>
    </xdr:from>
    <xdr:to>
      <xdr:col>32</xdr:col>
      <xdr:colOff>482600</xdr:colOff>
      <xdr:row>31</xdr:row>
      <xdr:rowOff>114300</xdr:rowOff>
    </xdr:to>
    <xdr:graphicFrame macro="">
      <xdr:nvGraphicFramePr>
        <xdr:cNvPr id="3" name="Chart 2">
          <a:extLst>
            <a:ext uri="{FF2B5EF4-FFF2-40B4-BE49-F238E27FC236}">
              <a16:creationId xmlns:a16="http://schemas.microsoft.com/office/drawing/2014/main" id="{00000000-0008-0000-0B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20</xdr:col>
      <xdr:colOff>698500</xdr:colOff>
      <xdr:row>1</xdr:row>
      <xdr:rowOff>130174</xdr:rowOff>
    </xdr:from>
    <xdr:to>
      <xdr:col>37</xdr:col>
      <xdr:colOff>368300</xdr:colOff>
      <xdr:row>29</xdr:row>
      <xdr:rowOff>114300</xdr:rowOff>
    </xdr:to>
    <xdr:graphicFrame macro="">
      <xdr:nvGraphicFramePr>
        <xdr:cNvPr id="17493" name="Chart 1">
          <a:extLst>
            <a:ext uri="{FF2B5EF4-FFF2-40B4-BE49-F238E27FC236}">
              <a16:creationId xmlns:a16="http://schemas.microsoft.com/office/drawing/2014/main" id="{00000000-0008-0000-0C00-0000554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38100</xdr:colOff>
      <xdr:row>32</xdr:row>
      <xdr:rowOff>177800</xdr:rowOff>
    </xdr:from>
    <xdr:to>
      <xdr:col>37</xdr:col>
      <xdr:colOff>444500</xdr:colOff>
      <xdr:row>58</xdr:row>
      <xdr:rowOff>0</xdr:rowOff>
    </xdr:to>
    <xdr:graphicFrame macro="">
      <xdr:nvGraphicFramePr>
        <xdr:cNvPr id="3" name="Chart 2">
          <a:extLst>
            <a:ext uri="{FF2B5EF4-FFF2-40B4-BE49-F238E27FC236}">
              <a16:creationId xmlns:a16="http://schemas.microsoft.com/office/drawing/2014/main" id="{00000000-0008-0000-0C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348611</xdr:colOff>
      <xdr:row>11</xdr:row>
      <xdr:rowOff>17143</xdr:rowOff>
    </xdr:from>
    <xdr:to>
      <xdr:col>18</xdr:col>
      <xdr:colOff>118109</xdr:colOff>
      <xdr:row>37</xdr:row>
      <xdr:rowOff>144779</xdr:rowOff>
    </xdr:to>
    <xdr:graphicFrame macro="">
      <xdr:nvGraphicFramePr>
        <xdr:cNvPr id="2" name="Chart 1">
          <a:extLst>
            <a:ext uri="{FF2B5EF4-FFF2-40B4-BE49-F238E27FC236}">
              <a16:creationId xmlns:a16="http://schemas.microsoft.com/office/drawing/2014/main" id="{00000000-0008-0000-0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295274</xdr:colOff>
      <xdr:row>10</xdr:row>
      <xdr:rowOff>104775</xdr:rowOff>
    </xdr:from>
    <xdr:to>
      <xdr:col>37</xdr:col>
      <xdr:colOff>171450</xdr:colOff>
      <xdr:row>33</xdr:row>
      <xdr:rowOff>114300</xdr:rowOff>
    </xdr:to>
    <xdr:graphicFrame macro="">
      <xdr:nvGraphicFramePr>
        <xdr:cNvPr id="3" name="Chart 2">
          <a:extLst>
            <a:ext uri="{FF2B5EF4-FFF2-40B4-BE49-F238E27FC236}">
              <a16:creationId xmlns:a16="http://schemas.microsoft.com/office/drawing/2014/main" id="{00000000-0008-0000-0D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355600</xdr:colOff>
      <xdr:row>21</xdr:row>
      <xdr:rowOff>3174</xdr:rowOff>
    </xdr:from>
    <xdr:to>
      <xdr:col>12</xdr:col>
      <xdr:colOff>533400</xdr:colOff>
      <xdr:row>42</xdr:row>
      <xdr:rowOff>101600</xdr:rowOff>
    </xdr:to>
    <xdr:graphicFrame macro="">
      <xdr:nvGraphicFramePr>
        <xdr:cNvPr id="33963" name="Chart 1">
          <a:extLst>
            <a:ext uri="{FF2B5EF4-FFF2-40B4-BE49-F238E27FC236}">
              <a16:creationId xmlns:a16="http://schemas.microsoft.com/office/drawing/2014/main" id="{00000000-0008-0000-0E00-0000AB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177800</xdr:colOff>
      <xdr:row>19</xdr:row>
      <xdr:rowOff>101600</xdr:rowOff>
    </xdr:from>
    <xdr:to>
      <xdr:col>26</xdr:col>
      <xdr:colOff>660400</xdr:colOff>
      <xdr:row>42</xdr:row>
      <xdr:rowOff>139700</xdr:rowOff>
    </xdr:to>
    <xdr:graphicFrame macro="">
      <xdr:nvGraphicFramePr>
        <xdr:cNvPr id="33964" name="Chart 2">
          <a:extLst>
            <a:ext uri="{FF2B5EF4-FFF2-40B4-BE49-F238E27FC236}">
              <a16:creationId xmlns:a16="http://schemas.microsoft.com/office/drawing/2014/main" id="{00000000-0008-0000-0E00-0000AC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876300</xdr:colOff>
      <xdr:row>61</xdr:row>
      <xdr:rowOff>38100</xdr:rowOff>
    </xdr:from>
    <xdr:to>
      <xdr:col>17</xdr:col>
      <xdr:colOff>622300</xdr:colOff>
      <xdr:row>92</xdr:row>
      <xdr:rowOff>101600</xdr:rowOff>
    </xdr:to>
    <xdr:graphicFrame macro="">
      <xdr:nvGraphicFramePr>
        <xdr:cNvPr id="4" name="Chart 3">
          <a:extLst>
            <a:ext uri="{FF2B5EF4-FFF2-40B4-BE49-F238E27FC236}">
              <a16:creationId xmlns:a16="http://schemas.microsoft.com/office/drawing/2014/main" id="{00000000-0008-0000-0E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330200</xdr:colOff>
      <xdr:row>36</xdr:row>
      <xdr:rowOff>63500</xdr:rowOff>
    </xdr:from>
    <xdr:to>
      <xdr:col>10</xdr:col>
      <xdr:colOff>723900</xdr:colOff>
      <xdr:row>64</xdr:row>
      <xdr:rowOff>63500</xdr:rowOff>
    </xdr:to>
    <xdr:graphicFrame macro="">
      <xdr:nvGraphicFramePr>
        <xdr:cNvPr id="28757" name="Chart 1">
          <a:extLst>
            <a:ext uri="{FF2B5EF4-FFF2-40B4-BE49-F238E27FC236}">
              <a16:creationId xmlns:a16="http://schemas.microsoft.com/office/drawing/2014/main" id="{00000000-0008-0000-0F00-0000557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546100</xdr:colOff>
      <xdr:row>36</xdr:row>
      <xdr:rowOff>139700</xdr:rowOff>
    </xdr:from>
    <xdr:to>
      <xdr:col>25</xdr:col>
      <xdr:colOff>127000</xdr:colOff>
      <xdr:row>64</xdr:row>
      <xdr:rowOff>76200</xdr:rowOff>
    </xdr:to>
    <xdr:graphicFrame macro="">
      <xdr:nvGraphicFramePr>
        <xdr:cNvPr id="3" name="Chart 2">
          <a:extLst>
            <a:ext uri="{FF2B5EF4-FFF2-40B4-BE49-F238E27FC236}">
              <a16:creationId xmlns:a16="http://schemas.microsoft.com/office/drawing/2014/main" id="{00000000-0008-0000-0F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584200</xdr:colOff>
      <xdr:row>67</xdr:row>
      <xdr:rowOff>152400</xdr:rowOff>
    </xdr:from>
    <xdr:to>
      <xdr:col>10</xdr:col>
      <xdr:colOff>596900</xdr:colOff>
      <xdr:row>92</xdr:row>
      <xdr:rowOff>63500</xdr:rowOff>
    </xdr:to>
    <xdr:graphicFrame macro="">
      <xdr:nvGraphicFramePr>
        <xdr:cNvPr id="4" name="Chart 3">
          <a:extLst>
            <a:ext uri="{FF2B5EF4-FFF2-40B4-BE49-F238E27FC236}">
              <a16:creationId xmlns:a16="http://schemas.microsoft.com/office/drawing/2014/main" id="{00000000-0008-0000-0F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381000</xdr:colOff>
      <xdr:row>67</xdr:row>
      <xdr:rowOff>152400</xdr:rowOff>
    </xdr:from>
    <xdr:to>
      <xdr:col>25</xdr:col>
      <xdr:colOff>266700</xdr:colOff>
      <xdr:row>91</xdr:row>
      <xdr:rowOff>127000</xdr:rowOff>
    </xdr:to>
    <xdr:graphicFrame macro="">
      <xdr:nvGraphicFramePr>
        <xdr:cNvPr id="5" name="Chart 4">
          <a:extLst>
            <a:ext uri="{FF2B5EF4-FFF2-40B4-BE49-F238E27FC236}">
              <a16:creationId xmlns:a16="http://schemas.microsoft.com/office/drawing/2014/main" id="{00000000-0008-0000-0F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815975</xdr:colOff>
      <xdr:row>23</xdr:row>
      <xdr:rowOff>139700</xdr:rowOff>
    </xdr:from>
    <xdr:to>
      <xdr:col>14</xdr:col>
      <xdr:colOff>63500</xdr:colOff>
      <xdr:row>52</xdr:row>
      <xdr:rowOff>63500</xdr:rowOff>
    </xdr:to>
    <xdr:graphicFrame macro="">
      <xdr:nvGraphicFramePr>
        <xdr:cNvPr id="18517" name="Chart 1">
          <a:extLst>
            <a:ext uri="{FF2B5EF4-FFF2-40B4-BE49-F238E27FC236}">
              <a16:creationId xmlns:a16="http://schemas.microsoft.com/office/drawing/2014/main" id="{00000000-0008-0000-1000-000055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285750</xdr:colOff>
      <xdr:row>22</xdr:row>
      <xdr:rowOff>123825</xdr:rowOff>
    </xdr:from>
    <xdr:to>
      <xdr:col>12</xdr:col>
      <xdr:colOff>114300</xdr:colOff>
      <xdr:row>37</xdr:row>
      <xdr:rowOff>38100</xdr:rowOff>
    </xdr:to>
    <xdr:graphicFrame macro="">
      <xdr:nvGraphicFramePr>
        <xdr:cNvPr id="1445" name="Chart 1">
          <a:extLst>
            <a:ext uri="{FF2B5EF4-FFF2-40B4-BE49-F238E27FC236}">
              <a16:creationId xmlns:a16="http://schemas.microsoft.com/office/drawing/2014/main" id="{00000000-0008-0000-0200-0000A50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285750</xdr:colOff>
      <xdr:row>22</xdr:row>
      <xdr:rowOff>123825</xdr:rowOff>
    </xdr:from>
    <xdr:to>
      <xdr:col>15</xdr:col>
      <xdr:colOff>314325</xdr:colOff>
      <xdr:row>37</xdr:row>
      <xdr:rowOff>38100</xdr:rowOff>
    </xdr:to>
    <xdr:graphicFrame macro="">
      <xdr:nvGraphicFramePr>
        <xdr:cNvPr id="7" name="Chart 1">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276225</xdr:colOff>
      <xdr:row>55</xdr:row>
      <xdr:rowOff>0</xdr:rowOff>
    </xdr:from>
    <xdr:to>
      <xdr:col>16</xdr:col>
      <xdr:colOff>152400</xdr:colOff>
      <xdr:row>70</xdr:row>
      <xdr:rowOff>95250</xdr:rowOff>
    </xdr:to>
    <xdr:graphicFrame macro="">
      <xdr:nvGraphicFramePr>
        <xdr:cNvPr id="8" name="Chart 2">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285749</xdr:colOff>
      <xdr:row>37</xdr:row>
      <xdr:rowOff>152401</xdr:rowOff>
    </xdr:from>
    <xdr:to>
      <xdr:col>15</xdr:col>
      <xdr:colOff>333374</xdr:colOff>
      <xdr:row>53</xdr:row>
      <xdr:rowOff>133351</xdr:rowOff>
    </xdr:to>
    <xdr:graphicFrame macro="">
      <xdr:nvGraphicFramePr>
        <xdr:cNvPr id="9" name="Chart 3">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17</xdr:col>
      <xdr:colOff>9525</xdr:colOff>
      <xdr:row>22</xdr:row>
      <xdr:rowOff>152400</xdr:rowOff>
    </xdr:from>
    <xdr:to>
      <xdr:col>33</xdr:col>
      <xdr:colOff>381000</xdr:colOff>
      <xdr:row>37</xdr:row>
      <xdr:rowOff>66675</xdr:rowOff>
    </xdr:to>
    <xdr:graphicFrame macro="">
      <xdr:nvGraphicFramePr>
        <xdr:cNvPr id="10" name="Chart 4">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9525</xdr:colOff>
      <xdr:row>38</xdr:row>
      <xdr:rowOff>19050</xdr:rowOff>
    </xdr:from>
    <xdr:to>
      <xdr:col>33</xdr:col>
      <xdr:colOff>285750</xdr:colOff>
      <xdr:row>52</xdr:row>
      <xdr:rowOff>152399</xdr:rowOff>
    </xdr:to>
    <xdr:graphicFrame macro="">
      <xdr:nvGraphicFramePr>
        <xdr:cNvPr id="11" name="Chart 5">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10</xdr:col>
      <xdr:colOff>230504</xdr:colOff>
      <xdr:row>22</xdr:row>
      <xdr:rowOff>118110</xdr:rowOff>
    </xdr:from>
    <xdr:to>
      <xdr:col>23</xdr:col>
      <xdr:colOff>144779</xdr:colOff>
      <xdr:row>50</xdr:row>
      <xdr:rowOff>60960</xdr:rowOff>
    </xdr:to>
    <xdr:graphicFrame macro="">
      <xdr:nvGraphicFramePr>
        <xdr:cNvPr id="12457" name="Chart 1">
          <a:extLst>
            <a:ext uri="{FF2B5EF4-FFF2-40B4-BE49-F238E27FC236}">
              <a16:creationId xmlns:a16="http://schemas.microsoft.com/office/drawing/2014/main" id="{00000000-0008-0000-1100-0000A9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203200</xdr:colOff>
      <xdr:row>23</xdr:row>
      <xdr:rowOff>22224</xdr:rowOff>
    </xdr:from>
    <xdr:to>
      <xdr:col>9</xdr:col>
      <xdr:colOff>682625</xdr:colOff>
      <xdr:row>50</xdr:row>
      <xdr:rowOff>38100</xdr:rowOff>
    </xdr:to>
    <xdr:graphicFrame macro="">
      <xdr:nvGraphicFramePr>
        <xdr:cNvPr id="12458" name="Chart 2">
          <a:extLst>
            <a:ext uri="{FF2B5EF4-FFF2-40B4-BE49-F238E27FC236}">
              <a16:creationId xmlns:a16="http://schemas.microsoft.com/office/drawing/2014/main" id="{00000000-0008-0000-1100-0000AA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14</xdr:col>
      <xdr:colOff>285750</xdr:colOff>
      <xdr:row>1</xdr:row>
      <xdr:rowOff>28574</xdr:rowOff>
    </xdr:from>
    <xdr:to>
      <xdr:col>23</xdr:col>
      <xdr:colOff>190500</xdr:colOff>
      <xdr:row>19</xdr:row>
      <xdr:rowOff>7619</xdr:rowOff>
    </xdr:to>
    <xdr:graphicFrame macro="">
      <xdr:nvGraphicFramePr>
        <xdr:cNvPr id="5" name="Chart 4">
          <a:extLst>
            <a:ext uri="{FF2B5EF4-FFF2-40B4-BE49-F238E27FC236}">
              <a16:creationId xmlns:a16="http://schemas.microsoft.com/office/drawing/2014/main" id="{00000000-0008-0000-1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25</xdr:col>
      <xdr:colOff>495299</xdr:colOff>
      <xdr:row>0</xdr:row>
      <xdr:rowOff>133350</xdr:rowOff>
    </xdr:from>
    <xdr:to>
      <xdr:col>35</xdr:col>
      <xdr:colOff>171449</xdr:colOff>
      <xdr:row>18</xdr:row>
      <xdr:rowOff>9525</xdr:rowOff>
    </xdr:to>
    <xdr:graphicFrame macro="">
      <xdr:nvGraphicFramePr>
        <xdr:cNvPr id="3" name="Chart 2">
          <a:extLst>
            <a:ext uri="{FF2B5EF4-FFF2-40B4-BE49-F238E27FC236}">
              <a16:creationId xmlns:a16="http://schemas.microsoft.com/office/drawing/2014/main" id="{00000000-0008-0000-1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14721</xdr:colOff>
      <xdr:row>22</xdr:row>
      <xdr:rowOff>189634</xdr:rowOff>
    </xdr:from>
    <xdr:to>
      <xdr:col>19</xdr:col>
      <xdr:colOff>180109</xdr:colOff>
      <xdr:row>45</xdr:row>
      <xdr:rowOff>67714</xdr:rowOff>
    </xdr:to>
    <xdr:graphicFrame macro="">
      <xdr:nvGraphicFramePr>
        <xdr:cNvPr id="4" name="Chart 3">
          <a:extLst>
            <a:ext uri="{FF2B5EF4-FFF2-40B4-BE49-F238E27FC236}">
              <a16:creationId xmlns:a16="http://schemas.microsoft.com/office/drawing/2014/main" id="{00000000-0008-0000-1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350519</xdr:colOff>
      <xdr:row>45</xdr:row>
      <xdr:rowOff>160020</xdr:rowOff>
    </xdr:from>
    <xdr:to>
      <xdr:col>16</xdr:col>
      <xdr:colOff>277091</xdr:colOff>
      <xdr:row>64</xdr:row>
      <xdr:rowOff>30480</xdr:rowOff>
    </xdr:to>
    <xdr:graphicFrame macro="">
      <xdr:nvGraphicFramePr>
        <xdr:cNvPr id="6" name="Chart 5">
          <a:extLst>
            <a:ext uri="{FF2B5EF4-FFF2-40B4-BE49-F238E27FC236}">
              <a16:creationId xmlns:a16="http://schemas.microsoft.com/office/drawing/2014/main" id="{00000000-0008-0000-1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279170</xdr:colOff>
      <xdr:row>66</xdr:row>
      <xdr:rowOff>83128</xdr:rowOff>
    </xdr:from>
    <xdr:to>
      <xdr:col>15</xdr:col>
      <xdr:colOff>297872</xdr:colOff>
      <xdr:row>82</xdr:row>
      <xdr:rowOff>96982</xdr:rowOff>
    </xdr:to>
    <xdr:graphicFrame macro="">
      <xdr:nvGraphicFramePr>
        <xdr:cNvPr id="7" name="Chart 6">
          <a:extLst>
            <a:ext uri="{FF2B5EF4-FFF2-40B4-BE49-F238E27FC236}">
              <a16:creationId xmlns:a16="http://schemas.microsoft.com/office/drawing/2014/main" id="{00000000-0008-0000-12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628648</xdr:colOff>
      <xdr:row>35</xdr:row>
      <xdr:rowOff>47625</xdr:rowOff>
    </xdr:from>
    <xdr:to>
      <xdr:col>9</xdr:col>
      <xdr:colOff>523874</xdr:colOff>
      <xdr:row>54</xdr:row>
      <xdr:rowOff>24741</xdr:rowOff>
    </xdr:to>
    <xdr:graphicFrame macro="">
      <xdr:nvGraphicFramePr>
        <xdr:cNvPr id="2" name="Chart 1">
          <a:extLst>
            <a:ext uri="{FF2B5EF4-FFF2-40B4-BE49-F238E27FC236}">
              <a16:creationId xmlns:a16="http://schemas.microsoft.com/office/drawing/2014/main" id="{00000000-0008-0000-1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235032</xdr:colOff>
      <xdr:row>35</xdr:row>
      <xdr:rowOff>61851</xdr:rowOff>
    </xdr:from>
    <xdr:to>
      <xdr:col>22</xdr:col>
      <xdr:colOff>0</xdr:colOff>
      <xdr:row>54</xdr:row>
      <xdr:rowOff>123701</xdr:rowOff>
    </xdr:to>
    <xdr:graphicFrame macro="">
      <xdr:nvGraphicFramePr>
        <xdr:cNvPr id="3" name="Chart 2">
          <a:extLst>
            <a:ext uri="{FF2B5EF4-FFF2-40B4-BE49-F238E27FC236}">
              <a16:creationId xmlns:a16="http://schemas.microsoft.com/office/drawing/2014/main" id="{00000000-0008-0000-1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619122</xdr:colOff>
      <xdr:row>56</xdr:row>
      <xdr:rowOff>23812</xdr:rowOff>
    </xdr:from>
    <xdr:to>
      <xdr:col>9</xdr:col>
      <xdr:colOff>476249</xdr:colOff>
      <xdr:row>76</xdr:row>
      <xdr:rowOff>61911</xdr:rowOff>
    </xdr:to>
    <xdr:graphicFrame macro="">
      <xdr:nvGraphicFramePr>
        <xdr:cNvPr id="4" name="Chart 3">
          <a:extLst>
            <a:ext uri="{FF2B5EF4-FFF2-40B4-BE49-F238E27FC236}">
              <a16:creationId xmlns:a16="http://schemas.microsoft.com/office/drawing/2014/main" id="{00000000-0008-0000-1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416719</xdr:colOff>
      <xdr:row>77</xdr:row>
      <xdr:rowOff>95250</xdr:rowOff>
    </xdr:from>
    <xdr:to>
      <xdr:col>9</xdr:col>
      <xdr:colOff>333375</xdr:colOff>
      <xdr:row>101</xdr:row>
      <xdr:rowOff>63707</xdr:rowOff>
    </xdr:to>
    <xdr:graphicFrame macro="">
      <xdr:nvGraphicFramePr>
        <xdr:cNvPr id="6" name="Chart 5">
          <a:extLst>
            <a:ext uri="{FF2B5EF4-FFF2-40B4-BE49-F238E27FC236}">
              <a16:creationId xmlns:a16="http://schemas.microsoft.com/office/drawing/2014/main" id="{00000000-0008-0000-13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321622</xdr:colOff>
      <xdr:row>77</xdr:row>
      <xdr:rowOff>98960</xdr:rowOff>
    </xdr:from>
    <xdr:to>
      <xdr:col>22</xdr:col>
      <xdr:colOff>0</xdr:colOff>
      <xdr:row>101</xdr:row>
      <xdr:rowOff>59531</xdr:rowOff>
    </xdr:to>
    <xdr:graphicFrame macro="">
      <xdr:nvGraphicFramePr>
        <xdr:cNvPr id="7" name="Chart 6">
          <a:extLst>
            <a:ext uri="{FF2B5EF4-FFF2-40B4-BE49-F238E27FC236}">
              <a16:creationId xmlns:a16="http://schemas.microsoft.com/office/drawing/2014/main" id="{00000000-0008-0000-13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260701</xdr:colOff>
      <xdr:row>56</xdr:row>
      <xdr:rowOff>9525</xdr:rowOff>
    </xdr:from>
    <xdr:to>
      <xdr:col>22</xdr:col>
      <xdr:colOff>0</xdr:colOff>
      <xdr:row>76</xdr:row>
      <xdr:rowOff>59532</xdr:rowOff>
    </xdr:to>
    <xdr:graphicFrame macro="">
      <xdr:nvGraphicFramePr>
        <xdr:cNvPr id="5" name="Chart 4">
          <a:extLst>
            <a:ext uri="{FF2B5EF4-FFF2-40B4-BE49-F238E27FC236}">
              <a16:creationId xmlns:a16="http://schemas.microsoft.com/office/drawing/2014/main" id="{00000000-0008-0000-1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22</xdr:col>
      <xdr:colOff>404810</xdr:colOff>
      <xdr:row>35</xdr:row>
      <xdr:rowOff>35719</xdr:rowOff>
    </xdr:from>
    <xdr:to>
      <xdr:col>29</xdr:col>
      <xdr:colOff>1000125</xdr:colOff>
      <xdr:row>55</xdr:row>
      <xdr:rowOff>119062</xdr:rowOff>
    </xdr:to>
    <xdr:graphicFrame macro="">
      <xdr:nvGraphicFramePr>
        <xdr:cNvPr id="8" name="Chart 7">
          <a:extLst>
            <a:ext uri="{FF2B5EF4-FFF2-40B4-BE49-F238E27FC236}">
              <a16:creationId xmlns:a16="http://schemas.microsoft.com/office/drawing/2014/main" id="{00000000-0008-0000-13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0</xdr:col>
      <xdr:colOff>514351</xdr:colOff>
      <xdr:row>20</xdr:row>
      <xdr:rowOff>133348</xdr:rowOff>
    </xdr:from>
    <xdr:to>
      <xdr:col>8</xdr:col>
      <xdr:colOff>285751</xdr:colOff>
      <xdr:row>47</xdr:row>
      <xdr:rowOff>161924</xdr:rowOff>
    </xdr:to>
    <xdr:graphicFrame macro="">
      <xdr:nvGraphicFramePr>
        <xdr:cNvPr id="2" name="Chart 1">
          <a:extLst>
            <a:ext uri="{FF2B5EF4-FFF2-40B4-BE49-F238E27FC236}">
              <a16:creationId xmlns:a16="http://schemas.microsoft.com/office/drawing/2014/main" id="{00000000-0008-0000-1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495299</xdr:colOff>
      <xdr:row>21</xdr:row>
      <xdr:rowOff>19051</xdr:rowOff>
    </xdr:from>
    <xdr:to>
      <xdr:col>22</xdr:col>
      <xdr:colOff>304800</xdr:colOff>
      <xdr:row>48</xdr:row>
      <xdr:rowOff>19050</xdr:rowOff>
    </xdr:to>
    <xdr:graphicFrame macro="">
      <xdr:nvGraphicFramePr>
        <xdr:cNvPr id="3" name="Chart 2">
          <a:extLst>
            <a:ext uri="{FF2B5EF4-FFF2-40B4-BE49-F238E27FC236}">
              <a16:creationId xmlns:a16="http://schemas.microsoft.com/office/drawing/2014/main" id="{00000000-0008-0000-1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609600</xdr:colOff>
      <xdr:row>49</xdr:row>
      <xdr:rowOff>19049</xdr:rowOff>
    </xdr:from>
    <xdr:to>
      <xdr:col>8</xdr:col>
      <xdr:colOff>333375</xdr:colOff>
      <xdr:row>75</xdr:row>
      <xdr:rowOff>47625</xdr:rowOff>
    </xdr:to>
    <xdr:graphicFrame macro="">
      <xdr:nvGraphicFramePr>
        <xdr:cNvPr id="4" name="Chart 3">
          <a:extLst>
            <a:ext uri="{FF2B5EF4-FFF2-40B4-BE49-F238E27FC236}">
              <a16:creationId xmlns:a16="http://schemas.microsoft.com/office/drawing/2014/main" id="{00000000-0008-0000-15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66675</xdr:colOff>
      <xdr:row>48</xdr:row>
      <xdr:rowOff>142875</xdr:rowOff>
    </xdr:from>
    <xdr:to>
      <xdr:col>22</xdr:col>
      <xdr:colOff>419100</xdr:colOff>
      <xdr:row>75</xdr:row>
      <xdr:rowOff>38100</xdr:rowOff>
    </xdr:to>
    <xdr:graphicFrame macro="">
      <xdr:nvGraphicFramePr>
        <xdr:cNvPr id="5" name="Chart 4">
          <a:extLst>
            <a:ext uri="{FF2B5EF4-FFF2-40B4-BE49-F238E27FC236}">
              <a16:creationId xmlns:a16="http://schemas.microsoft.com/office/drawing/2014/main" id="{00000000-0008-0000-15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31</xdr:col>
      <xdr:colOff>342900</xdr:colOff>
      <xdr:row>19</xdr:row>
      <xdr:rowOff>121920</xdr:rowOff>
    </xdr:from>
    <xdr:to>
      <xdr:col>44</xdr:col>
      <xdr:colOff>350520</xdr:colOff>
      <xdr:row>42</xdr:row>
      <xdr:rowOff>53340</xdr:rowOff>
    </xdr:to>
    <xdr:graphicFrame macro="">
      <xdr:nvGraphicFramePr>
        <xdr:cNvPr id="6" name="Chart 5">
          <a:extLst>
            <a:ext uri="{FF2B5EF4-FFF2-40B4-BE49-F238E27FC236}">
              <a16:creationId xmlns:a16="http://schemas.microsoft.com/office/drawing/2014/main" id="{00000000-0008-0000-15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31</xdr:col>
      <xdr:colOff>304800</xdr:colOff>
      <xdr:row>43</xdr:row>
      <xdr:rowOff>7620</xdr:rowOff>
    </xdr:from>
    <xdr:to>
      <xdr:col>43</xdr:col>
      <xdr:colOff>579120</xdr:colOff>
      <xdr:row>59</xdr:row>
      <xdr:rowOff>76200</xdr:rowOff>
    </xdr:to>
    <xdr:graphicFrame macro="">
      <xdr:nvGraphicFramePr>
        <xdr:cNvPr id="7" name="Chart 6">
          <a:extLst>
            <a:ext uri="{FF2B5EF4-FFF2-40B4-BE49-F238E27FC236}">
              <a16:creationId xmlns:a16="http://schemas.microsoft.com/office/drawing/2014/main" id="{00000000-0008-0000-15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13</xdr:col>
      <xdr:colOff>95250</xdr:colOff>
      <xdr:row>20</xdr:row>
      <xdr:rowOff>19049</xdr:rowOff>
    </xdr:from>
    <xdr:to>
      <xdr:col>24</xdr:col>
      <xdr:colOff>438150</xdr:colOff>
      <xdr:row>46</xdr:row>
      <xdr:rowOff>142874</xdr:rowOff>
    </xdr:to>
    <xdr:graphicFrame macro="">
      <xdr:nvGraphicFramePr>
        <xdr:cNvPr id="2" name="Chart 1">
          <a:extLst>
            <a:ext uri="{FF2B5EF4-FFF2-40B4-BE49-F238E27FC236}">
              <a16:creationId xmlns:a16="http://schemas.microsoft.com/office/drawing/2014/main" id="{00000000-0008-0000-1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133350</xdr:colOff>
      <xdr:row>48</xdr:row>
      <xdr:rowOff>66674</xdr:rowOff>
    </xdr:from>
    <xdr:to>
      <xdr:col>24</xdr:col>
      <xdr:colOff>390525</xdr:colOff>
      <xdr:row>76</xdr:row>
      <xdr:rowOff>142875</xdr:rowOff>
    </xdr:to>
    <xdr:graphicFrame macro="">
      <xdr:nvGraphicFramePr>
        <xdr:cNvPr id="3" name="Chart 2">
          <a:extLst>
            <a:ext uri="{FF2B5EF4-FFF2-40B4-BE49-F238E27FC236}">
              <a16:creationId xmlns:a16="http://schemas.microsoft.com/office/drawing/2014/main" id="{00000000-0008-0000-1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123825</xdr:colOff>
      <xdr:row>78</xdr:row>
      <xdr:rowOff>66675</xdr:rowOff>
    </xdr:from>
    <xdr:to>
      <xdr:col>24</xdr:col>
      <xdr:colOff>381000</xdr:colOff>
      <xdr:row>103</xdr:row>
      <xdr:rowOff>19050</xdr:rowOff>
    </xdr:to>
    <xdr:graphicFrame macro="">
      <xdr:nvGraphicFramePr>
        <xdr:cNvPr id="4" name="Chart 3">
          <a:extLst>
            <a:ext uri="{FF2B5EF4-FFF2-40B4-BE49-F238E27FC236}">
              <a16:creationId xmlns:a16="http://schemas.microsoft.com/office/drawing/2014/main" id="{00000000-0008-0000-16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57151</xdr:colOff>
      <xdr:row>104</xdr:row>
      <xdr:rowOff>152399</xdr:rowOff>
    </xdr:from>
    <xdr:to>
      <xdr:col>24</xdr:col>
      <xdr:colOff>352425</xdr:colOff>
      <xdr:row>123</xdr:row>
      <xdr:rowOff>190499</xdr:rowOff>
    </xdr:to>
    <xdr:graphicFrame macro="">
      <xdr:nvGraphicFramePr>
        <xdr:cNvPr id="5" name="Chart 4">
          <a:extLst>
            <a:ext uri="{FF2B5EF4-FFF2-40B4-BE49-F238E27FC236}">
              <a16:creationId xmlns:a16="http://schemas.microsoft.com/office/drawing/2014/main" id="{00000000-0008-0000-16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76199</xdr:colOff>
      <xdr:row>126</xdr:row>
      <xdr:rowOff>19050</xdr:rowOff>
    </xdr:from>
    <xdr:to>
      <xdr:col>24</xdr:col>
      <xdr:colOff>219074</xdr:colOff>
      <xdr:row>140</xdr:row>
      <xdr:rowOff>57150</xdr:rowOff>
    </xdr:to>
    <xdr:graphicFrame macro="">
      <xdr:nvGraphicFramePr>
        <xdr:cNvPr id="6" name="Chart 5">
          <a:extLst>
            <a:ext uri="{FF2B5EF4-FFF2-40B4-BE49-F238E27FC236}">
              <a16:creationId xmlns:a16="http://schemas.microsoft.com/office/drawing/2014/main" id="{00000000-0008-0000-16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76199</xdr:colOff>
      <xdr:row>141</xdr:row>
      <xdr:rowOff>9525</xdr:rowOff>
    </xdr:from>
    <xdr:to>
      <xdr:col>24</xdr:col>
      <xdr:colOff>238124</xdr:colOff>
      <xdr:row>158</xdr:row>
      <xdr:rowOff>19050</xdr:rowOff>
    </xdr:to>
    <xdr:graphicFrame macro="">
      <xdr:nvGraphicFramePr>
        <xdr:cNvPr id="7" name="Chart 6">
          <a:extLst>
            <a:ext uri="{FF2B5EF4-FFF2-40B4-BE49-F238E27FC236}">
              <a16:creationId xmlns:a16="http://schemas.microsoft.com/office/drawing/2014/main" id="{00000000-0008-0000-16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xdr:col>
      <xdr:colOff>57150</xdr:colOff>
      <xdr:row>159</xdr:row>
      <xdr:rowOff>104774</xdr:rowOff>
    </xdr:from>
    <xdr:to>
      <xdr:col>24</xdr:col>
      <xdr:colOff>228599</xdr:colOff>
      <xdr:row>176</xdr:row>
      <xdr:rowOff>161924</xdr:rowOff>
    </xdr:to>
    <xdr:graphicFrame macro="">
      <xdr:nvGraphicFramePr>
        <xdr:cNvPr id="8" name="Chart 7">
          <a:extLst>
            <a:ext uri="{FF2B5EF4-FFF2-40B4-BE49-F238E27FC236}">
              <a16:creationId xmlns:a16="http://schemas.microsoft.com/office/drawing/2014/main" id="{00000000-0008-0000-16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13</xdr:col>
      <xdr:colOff>85725</xdr:colOff>
      <xdr:row>177</xdr:row>
      <xdr:rowOff>142875</xdr:rowOff>
    </xdr:from>
    <xdr:to>
      <xdr:col>24</xdr:col>
      <xdr:colOff>238124</xdr:colOff>
      <xdr:row>195</xdr:row>
      <xdr:rowOff>28575</xdr:rowOff>
    </xdr:to>
    <xdr:graphicFrame macro="">
      <xdr:nvGraphicFramePr>
        <xdr:cNvPr id="9" name="Chart 8">
          <a:extLst>
            <a:ext uri="{FF2B5EF4-FFF2-40B4-BE49-F238E27FC236}">
              <a16:creationId xmlns:a16="http://schemas.microsoft.com/office/drawing/2014/main" id="{00000000-0008-0000-16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1790700</xdr:colOff>
      <xdr:row>159</xdr:row>
      <xdr:rowOff>123825</xdr:rowOff>
    </xdr:from>
    <xdr:to>
      <xdr:col>12</xdr:col>
      <xdr:colOff>571500</xdr:colOff>
      <xdr:row>176</xdr:row>
      <xdr:rowOff>142875</xdr:rowOff>
    </xdr:to>
    <xdr:graphicFrame macro="">
      <xdr:nvGraphicFramePr>
        <xdr:cNvPr id="10" name="Chart 9">
          <a:extLst>
            <a:ext uri="{FF2B5EF4-FFF2-40B4-BE49-F238E27FC236}">
              <a16:creationId xmlns:a16="http://schemas.microsoft.com/office/drawing/2014/main" id="{00000000-0008-0000-16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1800224</xdr:colOff>
      <xdr:row>177</xdr:row>
      <xdr:rowOff>133350</xdr:rowOff>
    </xdr:from>
    <xdr:to>
      <xdr:col>12</xdr:col>
      <xdr:colOff>590550</xdr:colOff>
      <xdr:row>195</xdr:row>
      <xdr:rowOff>47625</xdr:rowOff>
    </xdr:to>
    <xdr:graphicFrame macro="">
      <xdr:nvGraphicFramePr>
        <xdr:cNvPr id="11" name="Chart 10">
          <a:extLst>
            <a:ext uri="{FF2B5EF4-FFF2-40B4-BE49-F238E27FC236}">
              <a16:creationId xmlns:a16="http://schemas.microsoft.com/office/drawing/2014/main" id="{00000000-0008-0000-16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32</xdr:col>
      <xdr:colOff>323849</xdr:colOff>
      <xdr:row>16</xdr:row>
      <xdr:rowOff>114300</xdr:rowOff>
    </xdr:from>
    <xdr:to>
      <xdr:col>43</xdr:col>
      <xdr:colOff>276224</xdr:colOff>
      <xdr:row>34</xdr:row>
      <xdr:rowOff>133350</xdr:rowOff>
    </xdr:to>
    <xdr:graphicFrame macro="">
      <xdr:nvGraphicFramePr>
        <xdr:cNvPr id="2" name="Chart 1">
          <a:extLst>
            <a:ext uri="{FF2B5EF4-FFF2-40B4-BE49-F238E27FC236}">
              <a16:creationId xmlns:a16="http://schemas.microsoft.com/office/drawing/2014/main" id="{00000000-0008-0000-1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1152525</xdr:colOff>
      <xdr:row>59</xdr:row>
      <xdr:rowOff>95251</xdr:rowOff>
    </xdr:from>
    <xdr:to>
      <xdr:col>17</xdr:col>
      <xdr:colOff>962025</xdr:colOff>
      <xdr:row>86</xdr:row>
      <xdr:rowOff>133350</xdr:rowOff>
    </xdr:to>
    <xdr:graphicFrame macro="">
      <xdr:nvGraphicFramePr>
        <xdr:cNvPr id="3" name="Chart 2">
          <a:extLst>
            <a:ext uri="{FF2B5EF4-FFF2-40B4-BE49-F238E27FC236}">
              <a16:creationId xmlns:a16="http://schemas.microsoft.com/office/drawing/2014/main" id="{00000000-0008-0000-17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219075</xdr:colOff>
      <xdr:row>64</xdr:row>
      <xdr:rowOff>76199</xdr:rowOff>
    </xdr:from>
    <xdr:to>
      <xdr:col>11</xdr:col>
      <xdr:colOff>276225</xdr:colOff>
      <xdr:row>86</xdr:row>
      <xdr:rowOff>142874</xdr:rowOff>
    </xdr:to>
    <xdr:graphicFrame macro="">
      <xdr:nvGraphicFramePr>
        <xdr:cNvPr id="4" name="Chart 3">
          <a:extLst>
            <a:ext uri="{FF2B5EF4-FFF2-40B4-BE49-F238E27FC236}">
              <a16:creationId xmlns:a16="http://schemas.microsoft.com/office/drawing/2014/main" id="{00000000-0008-0000-17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0</xdr:col>
      <xdr:colOff>352425</xdr:colOff>
      <xdr:row>25</xdr:row>
      <xdr:rowOff>114300</xdr:rowOff>
    </xdr:from>
    <xdr:to>
      <xdr:col>9</xdr:col>
      <xdr:colOff>114300</xdr:colOff>
      <xdr:row>44</xdr:row>
      <xdr:rowOff>28575</xdr:rowOff>
    </xdr:to>
    <xdr:graphicFrame macro="">
      <xdr:nvGraphicFramePr>
        <xdr:cNvPr id="2" name="Chart 1">
          <a:extLst>
            <a:ext uri="{FF2B5EF4-FFF2-40B4-BE49-F238E27FC236}">
              <a16:creationId xmlns:a16="http://schemas.microsoft.com/office/drawing/2014/main" id="{00000000-0008-0000-1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371475</xdr:colOff>
      <xdr:row>45</xdr:row>
      <xdr:rowOff>95250</xdr:rowOff>
    </xdr:from>
    <xdr:to>
      <xdr:col>9</xdr:col>
      <xdr:colOff>114300</xdr:colOff>
      <xdr:row>62</xdr:row>
      <xdr:rowOff>85725</xdr:rowOff>
    </xdr:to>
    <xdr:graphicFrame macro="">
      <xdr:nvGraphicFramePr>
        <xdr:cNvPr id="3" name="Chart 2">
          <a:extLst>
            <a:ext uri="{FF2B5EF4-FFF2-40B4-BE49-F238E27FC236}">
              <a16:creationId xmlns:a16="http://schemas.microsoft.com/office/drawing/2014/main" id="{00000000-0008-0000-18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361949</xdr:colOff>
      <xdr:row>63</xdr:row>
      <xdr:rowOff>152400</xdr:rowOff>
    </xdr:from>
    <xdr:to>
      <xdr:col>9</xdr:col>
      <xdr:colOff>133349</xdr:colOff>
      <xdr:row>80</xdr:row>
      <xdr:rowOff>142875</xdr:rowOff>
    </xdr:to>
    <xdr:graphicFrame macro="">
      <xdr:nvGraphicFramePr>
        <xdr:cNvPr id="4" name="Chart 3">
          <a:extLst>
            <a:ext uri="{FF2B5EF4-FFF2-40B4-BE49-F238E27FC236}">
              <a16:creationId xmlns:a16="http://schemas.microsoft.com/office/drawing/2014/main" id="{00000000-0008-0000-18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426720</xdr:colOff>
      <xdr:row>82</xdr:row>
      <xdr:rowOff>15240</xdr:rowOff>
    </xdr:from>
    <xdr:to>
      <xdr:col>9</xdr:col>
      <xdr:colOff>152400</xdr:colOff>
      <xdr:row>98</xdr:row>
      <xdr:rowOff>76200</xdr:rowOff>
    </xdr:to>
    <xdr:graphicFrame macro="">
      <xdr:nvGraphicFramePr>
        <xdr:cNvPr id="5" name="Chart 4">
          <a:extLst>
            <a:ext uri="{FF2B5EF4-FFF2-40B4-BE49-F238E27FC236}">
              <a16:creationId xmlns:a16="http://schemas.microsoft.com/office/drawing/2014/main" id="{00000000-0008-0000-18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624840</xdr:colOff>
      <xdr:row>86</xdr:row>
      <xdr:rowOff>15240</xdr:rowOff>
    </xdr:from>
    <xdr:to>
      <xdr:col>18</xdr:col>
      <xdr:colOff>754380</xdr:colOff>
      <xdr:row>102</xdr:row>
      <xdr:rowOff>76200</xdr:rowOff>
    </xdr:to>
    <xdr:graphicFrame macro="">
      <xdr:nvGraphicFramePr>
        <xdr:cNvPr id="7" name="Chart 6">
          <a:extLst>
            <a:ext uri="{FF2B5EF4-FFF2-40B4-BE49-F238E27FC236}">
              <a16:creationId xmlns:a16="http://schemas.microsoft.com/office/drawing/2014/main" id="{00000000-0008-0000-18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31</xdr:col>
      <xdr:colOff>600074</xdr:colOff>
      <xdr:row>1</xdr:row>
      <xdr:rowOff>9524</xdr:rowOff>
    </xdr:from>
    <xdr:to>
      <xdr:col>43</xdr:col>
      <xdr:colOff>19050</xdr:colOff>
      <xdr:row>22</xdr:row>
      <xdr:rowOff>85724</xdr:rowOff>
    </xdr:to>
    <xdr:graphicFrame macro="">
      <xdr:nvGraphicFramePr>
        <xdr:cNvPr id="2" name="Chart 1">
          <a:extLst>
            <a:ext uri="{FF2B5EF4-FFF2-40B4-BE49-F238E27FC236}">
              <a16:creationId xmlns:a16="http://schemas.microsoft.com/office/drawing/2014/main" id="{00000000-0008-0000-1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32</xdr:col>
      <xdr:colOff>142874</xdr:colOff>
      <xdr:row>24</xdr:row>
      <xdr:rowOff>19049</xdr:rowOff>
    </xdr:from>
    <xdr:to>
      <xdr:col>42</xdr:col>
      <xdr:colOff>609599</xdr:colOff>
      <xdr:row>45</xdr:row>
      <xdr:rowOff>9525</xdr:rowOff>
    </xdr:to>
    <xdr:graphicFrame macro="">
      <xdr:nvGraphicFramePr>
        <xdr:cNvPr id="3" name="Chart 2">
          <a:extLst>
            <a:ext uri="{FF2B5EF4-FFF2-40B4-BE49-F238E27FC236}">
              <a16:creationId xmlns:a16="http://schemas.microsoft.com/office/drawing/2014/main" id="{00000000-0008-0000-1C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32</xdr:col>
      <xdr:colOff>0</xdr:colOff>
      <xdr:row>1</xdr:row>
      <xdr:rowOff>0</xdr:rowOff>
    </xdr:from>
    <xdr:to>
      <xdr:col>41</xdr:col>
      <xdr:colOff>415290</xdr:colOff>
      <xdr:row>4</xdr:row>
      <xdr:rowOff>99060</xdr:rowOff>
    </xdr:to>
    <xdr:sp macro="" textlink="">
      <xdr:nvSpPr>
        <xdr:cNvPr id="4" name="AutoShape 2" descr="Graph of  Discharge, cubic feet per second">
          <a:extLst>
            <a:ext uri="{FF2B5EF4-FFF2-40B4-BE49-F238E27FC236}">
              <a16:creationId xmlns:a16="http://schemas.microsoft.com/office/drawing/2014/main" id="{00000000-0008-0000-1C00-000004000000}"/>
            </a:ext>
          </a:extLst>
        </xdr:cNvPr>
        <xdr:cNvSpPr>
          <a:spLocks noChangeAspect="1" noChangeArrowheads="1"/>
        </xdr:cNvSpPr>
      </xdr:nvSpPr>
      <xdr:spPr bwMode="auto">
        <a:xfrm>
          <a:off x="13658850" y="161925"/>
          <a:ext cx="5901690" cy="3522345"/>
        </a:xfrm>
        <a:prstGeom prst="rect">
          <a:avLst/>
        </a:prstGeom>
        <a:noFill/>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95249</xdr:colOff>
      <xdr:row>27</xdr:row>
      <xdr:rowOff>156210</xdr:rowOff>
    </xdr:from>
    <xdr:to>
      <xdr:col>19</xdr:col>
      <xdr:colOff>581024</xdr:colOff>
      <xdr:row>49</xdr:row>
      <xdr:rowOff>7620</xdr:rowOff>
    </xdr:to>
    <xdr:graphicFrame macro="">
      <xdr:nvGraphicFramePr>
        <xdr:cNvPr id="6" name="Chart 1">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114299</xdr:colOff>
      <xdr:row>0</xdr:row>
      <xdr:rowOff>190500</xdr:rowOff>
    </xdr:from>
    <xdr:to>
      <xdr:col>19</xdr:col>
      <xdr:colOff>600074</xdr:colOff>
      <xdr:row>27</xdr:row>
      <xdr:rowOff>9525</xdr:rowOff>
    </xdr:to>
    <xdr:graphicFrame macro="">
      <xdr:nvGraphicFramePr>
        <xdr:cNvPr id="7" name="Chart 2">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104775</xdr:colOff>
      <xdr:row>49</xdr:row>
      <xdr:rowOff>133350</xdr:rowOff>
    </xdr:from>
    <xdr:to>
      <xdr:col>19</xdr:col>
      <xdr:colOff>590550</xdr:colOff>
      <xdr:row>73</xdr:row>
      <xdr:rowOff>66675</xdr:rowOff>
    </xdr:to>
    <xdr:graphicFrame macro="">
      <xdr:nvGraphicFramePr>
        <xdr:cNvPr id="8" name="Chart 3">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76199</xdr:colOff>
      <xdr:row>74</xdr:row>
      <xdr:rowOff>57151</xdr:rowOff>
    </xdr:from>
    <xdr:to>
      <xdr:col>20</xdr:col>
      <xdr:colOff>19050</xdr:colOff>
      <xdr:row>97</xdr:row>
      <xdr:rowOff>133351</xdr:rowOff>
    </xdr:to>
    <xdr:graphicFrame macro="">
      <xdr:nvGraphicFramePr>
        <xdr:cNvPr id="9" name="Chart 4">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352424</xdr:colOff>
      <xdr:row>0</xdr:row>
      <xdr:rowOff>57151</xdr:rowOff>
    </xdr:from>
    <xdr:to>
      <xdr:col>20</xdr:col>
      <xdr:colOff>266700</xdr:colOff>
      <xdr:row>18</xdr:row>
      <xdr:rowOff>38100</xdr:rowOff>
    </xdr:to>
    <xdr:graphicFrame macro="">
      <xdr:nvGraphicFramePr>
        <xdr:cNvPr id="6" name="Chart 1">
          <a:extLst>
            <a:ext uri="{FF2B5EF4-FFF2-40B4-BE49-F238E27FC236}">
              <a16:creationId xmlns:a16="http://schemas.microsoft.com/office/drawing/2014/main"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400049</xdr:colOff>
      <xdr:row>19</xdr:row>
      <xdr:rowOff>57150</xdr:rowOff>
    </xdr:from>
    <xdr:to>
      <xdr:col>20</xdr:col>
      <xdr:colOff>314324</xdr:colOff>
      <xdr:row>44</xdr:row>
      <xdr:rowOff>0</xdr:rowOff>
    </xdr:to>
    <xdr:graphicFrame macro="">
      <xdr:nvGraphicFramePr>
        <xdr:cNvPr id="7" name="Chart 2">
          <a:extLst>
            <a:ext uri="{FF2B5EF4-FFF2-40B4-BE49-F238E27FC236}">
              <a16:creationId xmlns:a16="http://schemas.microsoft.com/office/drawing/2014/main" id="{00000000-0008-0000-04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390525</xdr:colOff>
      <xdr:row>44</xdr:row>
      <xdr:rowOff>123826</xdr:rowOff>
    </xdr:from>
    <xdr:to>
      <xdr:col>20</xdr:col>
      <xdr:colOff>333374</xdr:colOff>
      <xdr:row>64</xdr:row>
      <xdr:rowOff>104776</xdr:rowOff>
    </xdr:to>
    <xdr:graphicFrame macro="">
      <xdr:nvGraphicFramePr>
        <xdr:cNvPr id="8" name="Chart 3">
          <a:extLst>
            <a:ext uri="{FF2B5EF4-FFF2-40B4-BE49-F238E27FC236}">
              <a16:creationId xmlns:a16="http://schemas.microsoft.com/office/drawing/2014/main" id="{00000000-0008-0000-04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104774</xdr:colOff>
      <xdr:row>66</xdr:row>
      <xdr:rowOff>114301</xdr:rowOff>
    </xdr:from>
    <xdr:to>
      <xdr:col>20</xdr:col>
      <xdr:colOff>38099</xdr:colOff>
      <xdr:row>89</xdr:row>
      <xdr:rowOff>28576</xdr:rowOff>
    </xdr:to>
    <xdr:graphicFrame macro="">
      <xdr:nvGraphicFramePr>
        <xdr:cNvPr id="9" name="Chart 4">
          <a:extLst>
            <a:ext uri="{FF2B5EF4-FFF2-40B4-BE49-F238E27FC236}">
              <a16:creationId xmlns:a16="http://schemas.microsoft.com/office/drawing/2014/main" id="{00000000-0008-0000-04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190500</xdr:colOff>
      <xdr:row>63</xdr:row>
      <xdr:rowOff>47625</xdr:rowOff>
    </xdr:from>
    <xdr:to>
      <xdr:col>13</xdr:col>
      <xdr:colOff>38100</xdr:colOff>
      <xdr:row>79</xdr:row>
      <xdr:rowOff>38100</xdr:rowOff>
    </xdr:to>
    <xdr:graphicFrame macro="">
      <xdr:nvGraphicFramePr>
        <xdr:cNvPr id="7" name="Chart 1">
          <a:extLst>
            <a:ext uri="{FF2B5EF4-FFF2-40B4-BE49-F238E27FC236}">
              <a16:creationId xmlns:a16="http://schemas.microsoft.com/office/drawing/2014/main" id="{00000000-0008-0000-05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133349</xdr:colOff>
      <xdr:row>80</xdr:row>
      <xdr:rowOff>19049</xdr:rowOff>
    </xdr:from>
    <xdr:to>
      <xdr:col>6</xdr:col>
      <xdr:colOff>85724</xdr:colOff>
      <xdr:row>96</xdr:row>
      <xdr:rowOff>85724</xdr:rowOff>
    </xdr:to>
    <xdr:graphicFrame macro="">
      <xdr:nvGraphicFramePr>
        <xdr:cNvPr id="8" name="Chart 2">
          <a:extLst>
            <a:ext uri="{FF2B5EF4-FFF2-40B4-BE49-F238E27FC236}">
              <a16:creationId xmlns:a16="http://schemas.microsoft.com/office/drawing/2014/main" id="{00000000-0008-0000-05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123825</xdr:colOff>
      <xdr:row>97</xdr:row>
      <xdr:rowOff>66675</xdr:rowOff>
    </xdr:from>
    <xdr:to>
      <xdr:col>6</xdr:col>
      <xdr:colOff>123825</xdr:colOff>
      <xdr:row>114</xdr:row>
      <xdr:rowOff>123825</xdr:rowOff>
    </xdr:to>
    <xdr:graphicFrame macro="">
      <xdr:nvGraphicFramePr>
        <xdr:cNvPr id="9" name="Chart 3">
          <a:extLst>
            <a:ext uri="{FF2B5EF4-FFF2-40B4-BE49-F238E27FC236}">
              <a16:creationId xmlns:a16="http://schemas.microsoft.com/office/drawing/2014/main" id="{00000000-0008-0000-05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30479</xdr:colOff>
      <xdr:row>80</xdr:row>
      <xdr:rowOff>66675</xdr:rowOff>
    </xdr:from>
    <xdr:to>
      <xdr:col>15</xdr:col>
      <xdr:colOff>171448</xdr:colOff>
      <xdr:row>96</xdr:row>
      <xdr:rowOff>0</xdr:rowOff>
    </xdr:to>
    <xdr:graphicFrame macro="">
      <xdr:nvGraphicFramePr>
        <xdr:cNvPr id="10" name="Chart 4">
          <a:extLst>
            <a:ext uri="{FF2B5EF4-FFF2-40B4-BE49-F238E27FC236}">
              <a16:creationId xmlns:a16="http://schemas.microsoft.com/office/drawing/2014/main" id="{00000000-0008-0000-05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295274</xdr:colOff>
      <xdr:row>97</xdr:row>
      <xdr:rowOff>95251</xdr:rowOff>
    </xdr:from>
    <xdr:to>
      <xdr:col>15</xdr:col>
      <xdr:colOff>200025</xdr:colOff>
      <xdr:row>114</xdr:row>
      <xdr:rowOff>152400</xdr:rowOff>
    </xdr:to>
    <xdr:graphicFrame macro="">
      <xdr:nvGraphicFramePr>
        <xdr:cNvPr id="11" name="Chart 5">
          <a:extLst>
            <a:ext uri="{FF2B5EF4-FFF2-40B4-BE49-F238E27FC236}">
              <a16:creationId xmlns:a16="http://schemas.microsoft.com/office/drawing/2014/main" id="{00000000-0008-0000-05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16</xdr:col>
      <xdr:colOff>428625</xdr:colOff>
      <xdr:row>85</xdr:row>
      <xdr:rowOff>91440</xdr:rowOff>
    </xdr:from>
    <xdr:to>
      <xdr:col>22</xdr:col>
      <xdr:colOff>213360</xdr:colOff>
      <xdr:row>101</xdr:row>
      <xdr:rowOff>142875</xdr:rowOff>
    </xdr:to>
    <xdr:graphicFrame macro="">
      <xdr:nvGraphicFramePr>
        <xdr:cNvPr id="12" name="Chart 11">
          <a:extLst>
            <a:ext uri="{FF2B5EF4-FFF2-40B4-BE49-F238E27FC236}">
              <a16:creationId xmlns:a16="http://schemas.microsoft.com/office/drawing/2014/main" id="{00000000-0008-0000-05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22</xdr:col>
      <xdr:colOff>1476374</xdr:colOff>
      <xdr:row>0</xdr:row>
      <xdr:rowOff>66675</xdr:rowOff>
    </xdr:from>
    <xdr:to>
      <xdr:col>29</xdr:col>
      <xdr:colOff>314324</xdr:colOff>
      <xdr:row>14</xdr:row>
      <xdr:rowOff>66675</xdr:rowOff>
    </xdr:to>
    <xdr:graphicFrame macro="">
      <xdr:nvGraphicFramePr>
        <xdr:cNvPr id="13" name="Chart 12">
          <a:extLst>
            <a:ext uri="{FF2B5EF4-FFF2-40B4-BE49-F238E27FC236}">
              <a16:creationId xmlns:a16="http://schemas.microsoft.com/office/drawing/2014/main" id="{00000000-0008-0000-05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1203960</xdr:colOff>
      <xdr:row>129</xdr:row>
      <xdr:rowOff>0</xdr:rowOff>
    </xdr:from>
    <xdr:to>
      <xdr:col>7</xdr:col>
      <xdr:colOff>434340</xdr:colOff>
      <xdr:row>145</xdr:row>
      <xdr:rowOff>60960</xdr:rowOff>
    </xdr:to>
    <xdr:graphicFrame macro="">
      <xdr:nvGraphicFramePr>
        <xdr:cNvPr id="14" name="Chart 13">
          <a:extLst>
            <a:ext uri="{FF2B5EF4-FFF2-40B4-BE49-F238E27FC236}">
              <a16:creationId xmlns:a16="http://schemas.microsoft.com/office/drawing/2014/main" id="{00000000-0008-0000-05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400049</xdr:colOff>
      <xdr:row>40</xdr:row>
      <xdr:rowOff>57150</xdr:rowOff>
    </xdr:from>
    <xdr:to>
      <xdr:col>21</xdr:col>
      <xdr:colOff>590549</xdr:colOff>
      <xdr:row>59</xdr:row>
      <xdr:rowOff>114300</xdr:rowOff>
    </xdr:to>
    <xdr:graphicFrame macro="">
      <xdr:nvGraphicFramePr>
        <xdr:cNvPr id="8" name="Chart 2">
          <a:extLst>
            <a:ext uri="{FF2B5EF4-FFF2-40B4-BE49-F238E27FC236}">
              <a16:creationId xmlns:a16="http://schemas.microsoft.com/office/drawing/2014/main" id="{00000000-0008-0000-06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371475</xdr:colOff>
      <xdr:row>42</xdr:row>
      <xdr:rowOff>133350</xdr:rowOff>
    </xdr:from>
    <xdr:to>
      <xdr:col>20</xdr:col>
      <xdr:colOff>1</xdr:colOff>
      <xdr:row>46</xdr:row>
      <xdr:rowOff>38100</xdr:rowOff>
    </xdr:to>
    <xdr:sp macro="" textlink="">
      <xdr:nvSpPr>
        <xdr:cNvPr id="10" name="TextBox 9">
          <a:extLst>
            <a:ext uri="{FF2B5EF4-FFF2-40B4-BE49-F238E27FC236}">
              <a16:creationId xmlns:a16="http://schemas.microsoft.com/office/drawing/2014/main" id="{00000000-0008-0000-0600-00000A000000}"/>
            </a:ext>
          </a:extLst>
        </xdr:cNvPr>
        <xdr:cNvSpPr txBox="1"/>
      </xdr:nvSpPr>
      <xdr:spPr>
        <a:xfrm>
          <a:off x="8115300" y="6962775"/>
          <a:ext cx="1457326" cy="609600"/>
        </a:xfrm>
        <a:prstGeom prst="rect">
          <a:avLst/>
        </a:prstGeom>
        <a:ln/>
      </xdr:spPr>
      <xdr:style>
        <a:lnRef idx="2">
          <a:schemeClr val="accent2"/>
        </a:lnRef>
        <a:fillRef idx="1">
          <a:schemeClr val="lt1"/>
        </a:fillRef>
        <a:effectRef idx="0">
          <a:schemeClr val="accent2"/>
        </a:effectRef>
        <a:fontRef idx="minor">
          <a:schemeClr val="dk1"/>
        </a:fontRef>
      </xdr:style>
      <xdr:txBody>
        <a:bodyPr wrap="square" rtlCol="0" anchor="t"/>
        <a:lstStyle/>
        <a:p>
          <a:r>
            <a:rPr lang="en-US" sz="800" b="0" i="0" u="none" strike="noStrike">
              <a:solidFill>
                <a:schemeClr val="dk1"/>
              </a:solidFill>
              <a:latin typeface="+mn-lt"/>
              <a:ea typeface="+mn-ea"/>
              <a:cs typeface="+mn-cs"/>
            </a:rPr>
            <a:t>30-45</a:t>
          </a:r>
          <a:r>
            <a:rPr lang="en-US" sz="800"/>
            <a:t> </a:t>
          </a:r>
          <a:r>
            <a:rPr lang="en-US" sz="800" b="0" i="0" u="none" strike="noStrike">
              <a:solidFill>
                <a:schemeClr val="dk1"/>
              </a:solidFill>
              <a:latin typeface="+mn-lt"/>
              <a:ea typeface="+mn-ea"/>
              <a:cs typeface="+mn-cs"/>
            </a:rPr>
            <a:t>Mesotrophic</a:t>
          </a:r>
          <a:r>
            <a:rPr lang="en-US" sz="800"/>
            <a:t> </a:t>
          </a:r>
        </a:p>
        <a:p>
          <a:r>
            <a:rPr lang="en-US" sz="800" b="0" i="0" u="none" strike="noStrike">
              <a:solidFill>
                <a:schemeClr val="dk1"/>
              </a:solidFill>
              <a:latin typeface="+mn-lt"/>
              <a:ea typeface="+mn-ea"/>
              <a:cs typeface="+mn-cs"/>
            </a:rPr>
            <a:t>45-50</a:t>
          </a:r>
          <a:r>
            <a:rPr lang="en-US" sz="800"/>
            <a:t> </a:t>
          </a:r>
          <a:r>
            <a:rPr lang="en-US" sz="800" b="0" i="0" u="none" strike="noStrike">
              <a:solidFill>
                <a:schemeClr val="dk1"/>
              </a:solidFill>
              <a:latin typeface="+mn-lt"/>
              <a:ea typeface="+mn-ea"/>
              <a:cs typeface="+mn-cs"/>
            </a:rPr>
            <a:t>Mesotrophic-Eutrophic</a:t>
          </a:r>
          <a:r>
            <a:rPr lang="en-US" sz="800"/>
            <a:t>  </a:t>
          </a:r>
          <a:r>
            <a:rPr lang="en-US" sz="800" b="0" i="0" u="none" strike="noStrike">
              <a:solidFill>
                <a:schemeClr val="dk1"/>
              </a:solidFill>
              <a:latin typeface="+mn-lt"/>
              <a:ea typeface="+mn-ea"/>
              <a:cs typeface="+mn-cs"/>
            </a:rPr>
            <a:t>50-65</a:t>
          </a:r>
          <a:r>
            <a:rPr lang="en-US" sz="800"/>
            <a:t> </a:t>
          </a:r>
          <a:r>
            <a:rPr lang="en-US" sz="800" b="0" i="0" u="none" strike="noStrike">
              <a:solidFill>
                <a:schemeClr val="dk1"/>
              </a:solidFill>
              <a:latin typeface="+mn-lt"/>
              <a:ea typeface="+mn-ea"/>
              <a:cs typeface="+mn-cs"/>
            </a:rPr>
            <a:t>Eutrophic</a:t>
          </a:r>
        </a:p>
        <a:p>
          <a:r>
            <a:rPr lang="en-US" sz="800"/>
            <a:t> </a:t>
          </a:r>
          <a:r>
            <a:rPr lang="en-US" sz="800" b="0" i="0" u="none" strike="noStrike">
              <a:solidFill>
                <a:schemeClr val="dk1"/>
              </a:solidFill>
              <a:latin typeface="+mn-lt"/>
              <a:ea typeface="+mn-ea"/>
              <a:cs typeface="+mn-cs"/>
            </a:rPr>
            <a:t>65+</a:t>
          </a:r>
          <a:r>
            <a:rPr lang="en-US" sz="800"/>
            <a:t> </a:t>
          </a:r>
          <a:r>
            <a:rPr lang="en-US" sz="800" b="0" i="0" u="none" strike="noStrike">
              <a:solidFill>
                <a:schemeClr val="dk1"/>
              </a:solidFill>
              <a:latin typeface="+mn-lt"/>
              <a:ea typeface="+mn-ea"/>
              <a:cs typeface="+mn-cs"/>
            </a:rPr>
            <a:t>Hypereutrophic</a:t>
          </a:r>
          <a:r>
            <a:rPr lang="en-US" sz="800"/>
            <a:t> </a:t>
          </a:r>
        </a:p>
      </xdr:txBody>
    </xdr:sp>
    <xdr:clientData/>
  </xdr:twoCellAnchor>
  <xdr:twoCellAnchor>
    <xdr:from>
      <xdr:col>6</xdr:col>
      <xdr:colOff>352425</xdr:colOff>
      <xdr:row>60</xdr:row>
      <xdr:rowOff>114300</xdr:rowOff>
    </xdr:from>
    <xdr:to>
      <xdr:col>21</xdr:col>
      <xdr:colOff>571500</xdr:colOff>
      <xdr:row>79</xdr:row>
      <xdr:rowOff>28575</xdr:rowOff>
    </xdr:to>
    <xdr:graphicFrame macro="">
      <xdr:nvGraphicFramePr>
        <xdr:cNvPr id="7" name="Chart 1">
          <a:extLst>
            <a:ext uri="{FF2B5EF4-FFF2-40B4-BE49-F238E27FC236}">
              <a16:creationId xmlns:a16="http://schemas.microsoft.com/office/drawing/2014/main" id="{00000000-0008-0000-06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76200</xdr:colOff>
      <xdr:row>63</xdr:row>
      <xdr:rowOff>38100</xdr:rowOff>
    </xdr:from>
    <xdr:to>
      <xdr:col>20</xdr:col>
      <xdr:colOff>314326</xdr:colOff>
      <xdr:row>67</xdr:row>
      <xdr:rowOff>0</xdr:rowOff>
    </xdr:to>
    <xdr:sp macro="" textlink="">
      <xdr:nvSpPr>
        <xdr:cNvPr id="11" name="TextBox 10">
          <a:extLst>
            <a:ext uri="{FF2B5EF4-FFF2-40B4-BE49-F238E27FC236}">
              <a16:creationId xmlns:a16="http://schemas.microsoft.com/office/drawing/2014/main" id="{00000000-0008-0000-0600-00000B000000}"/>
            </a:ext>
          </a:extLst>
        </xdr:cNvPr>
        <xdr:cNvSpPr txBox="1"/>
      </xdr:nvSpPr>
      <xdr:spPr>
        <a:xfrm>
          <a:off x="8429625" y="10325100"/>
          <a:ext cx="1457326" cy="609600"/>
        </a:xfrm>
        <a:prstGeom prst="rect">
          <a:avLst/>
        </a:prstGeom>
        <a:gradFill>
          <a:gsLst>
            <a:gs pos="34000">
              <a:schemeClr val="bg1">
                <a:lumMod val="95000"/>
              </a:schemeClr>
            </a:gs>
            <a:gs pos="50000">
              <a:srgbClr val="4F81BD">
                <a:tint val="44500"/>
                <a:satMod val="160000"/>
              </a:srgbClr>
            </a:gs>
            <a:gs pos="100000">
              <a:srgbClr val="4F81BD">
                <a:tint val="23500"/>
                <a:satMod val="160000"/>
              </a:srgbClr>
            </a:gs>
          </a:gsLst>
          <a:lin ang="5400000" scaled="0"/>
        </a:gradFill>
        <a:ln/>
      </xdr:spPr>
      <xdr:style>
        <a:lnRef idx="2">
          <a:schemeClr val="accent2"/>
        </a:lnRef>
        <a:fillRef idx="1">
          <a:schemeClr val="lt1"/>
        </a:fillRef>
        <a:effectRef idx="0">
          <a:schemeClr val="accent2"/>
        </a:effectRef>
        <a:fontRef idx="minor">
          <a:schemeClr val="dk1"/>
        </a:fontRef>
      </xdr:style>
      <xdr:txBody>
        <a:bodyPr wrap="square" rtlCol="0" anchor="t"/>
        <a:lstStyle/>
        <a:p>
          <a:r>
            <a:rPr lang="en-US" sz="800" b="0" i="0" u="none" strike="noStrike">
              <a:solidFill>
                <a:schemeClr val="dk1"/>
              </a:solidFill>
              <a:latin typeface="+mn-lt"/>
              <a:ea typeface="+mn-ea"/>
              <a:cs typeface="+mn-cs"/>
            </a:rPr>
            <a:t>30-45</a:t>
          </a:r>
          <a:r>
            <a:rPr lang="en-US" sz="800"/>
            <a:t> </a:t>
          </a:r>
          <a:r>
            <a:rPr lang="en-US" sz="800" b="0" i="0" u="none" strike="noStrike">
              <a:solidFill>
                <a:schemeClr val="dk1"/>
              </a:solidFill>
              <a:latin typeface="+mn-lt"/>
              <a:ea typeface="+mn-ea"/>
              <a:cs typeface="+mn-cs"/>
            </a:rPr>
            <a:t>Mesotrophic</a:t>
          </a:r>
          <a:r>
            <a:rPr lang="en-US" sz="800"/>
            <a:t> </a:t>
          </a:r>
        </a:p>
        <a:p>
          <a:r>
            <a:rPr lang="en-US" sz="800" b="0" i="0" u="none" strike="noStrike">
              <a:solidFill>
                <a:schemeClr val="dk1"/>
              </a:solidFill>
              <a:latin typeface="+mn-lt"/>
              <a:ea typeface="+mn-ea"/>
              <a:cs typeface="+mn-cs"/>
            </a:rPr>
            <a:t>45-50</a:t>
          </a:r>
          <a:r>
            <a:rPr lang="en-US" sz="800"/>
            <a:t> </a:t>
          </a:r>
          <a:r>
            <a:rPr lang="en-US" sz="800" b="0" i="0" u="none" strike="noStrike">
              <a:solidFill>
                <a:schemeClr val="dk1"/>
              </a:solidFill>
              <a:latin typeface="+mn-lt"/>
              <a:ea typeface="+mn-ea"/>
              <a:cs typeface="+mn-cs"/>
            </a:rPr>
            <a:t>Mesotrophic-Eutrophic</a:t>
          </a:r>
          <a:r>
            <a:rPr lang="en-US" sz="800"/>
            <a:t>  </a:t>
          </a:r>
          <a:r>
            <a:rPr lang="en-US" sz="800" b="0" i="0" u="none" strike="noStrike">
              <a:solidFill>
                <a:schemeClr val="dk1"/>
              </a:solidFill>
              <a:latin typeface="+mn-lt"/>
              <a:ea typeface="+mn-ea"/>
              <a:cs typeface="+mn-cs"/>
            </a:rPr>
            <a:t>50-65</a:t>
          </a:r>
          <a:r>
            <a:rPr lang="en-US" sz="800"/>
            <a:t> </a:t>
          </a:r>
          <a:r>
            <a:rPr lang="en-US" sz="800" b="0" i="0" u="none" strike="noStrike">
              <a:solidFill>
                <a:schemeClr val="dk1"/>
              </a:solidFill>
              <a:latin typeface="+mn-lt"/>
              <a:ea typeface="+mn-ea"/>
              <a:cs typeface="+mn-cs"/>
            </a:rPr>
            <a:t>Eutrophic</a:t>
          </a:r>
        </a:p>
        <a:p>
          <a:r>
            <a:rPr lang="en-US" sz="800"/>
            <a:t> </a:t>
          </a:r>
          <a:r>
            <a:rPr lang="en-US" sz="800" b="0" i="0" u="none" strike="noStrike">
              <a:solidFill>
                <a:schemeClr val="dk1"/>
              </a:solidFill>
              <a:latin typeface="+mn-lt"/>
              <a:ea typeface="+mn-ea"/>
              <a:cs typeface="+mn-cs"/>
            </a:rPr>
            <a:t>65+</a:t>
          </a:r>
          <a:r>
            <a:rPr lang="en-US" sz="800"/>
            <a:t> </a:t>
          </a:r>
          <a:r>
            <a:rPr lang="en-US" sz="800" b="0" i="0" u="none" strike="noStrike">
              <a:solidFill>
                <a:schemeClr val="dk1"/>
              </a:solidFill>
              <a:latin typeface="+mn-lt"/>
              <a:ea typeface="+mn-ea"/>
              <a:cs typeface="+mn-cs"/>
            </a:rPr>
            <a:t>Hypereutrophic</a:t>
          </a:r>
          <a:r>
            <a:rPr lang="en-US" sz="800"/>
            <a:t> </a:t>
          </a:r>
        </a:p>
      </xdr:txBody>
    </xdr:sp>
    <xdr:clientData/>
  </xdr:twoCellAnchor>
</xdr:wsDr>
</file>

<file path=xl/drawings/drawing7.xml><?xml version="1.0" encoding="utf-8"?>
<c:userShapes xmlns:c="http://schemas.openxmlformats.org/drawingml/2006/chart">
  <cdr:relSizeAnchor xmlns:cdr="http://schemas.openxmlformats.org/drawingml/2006/chartDrawing">
    <cdr:from>
      <cdr:x>0.61617</cdr:x>
      <cdr:y>0.24597</cdr:y>
    </cdr:from>
    <cdr:to>
      <cdr:x>0.61617</cdr:x>
      <cdr:y>0.24597</cdr:y>
    </cdr:to>
    <cdr:sp macro="" textlink="">
      <cdr:nvSpPr>
        <cdr:cNvPr id="7170" name="Text Box 2"/>
        <cdr:cNvSpPr txBox="1">
          <a:spLocks xmlns:a="http://schemas.openxmlformats.org/drawingml/2006/main" noChangeArrowheads="1"/>
        </cdr:cNvSpPr>
      </cdr:nvSpPr>
      <cdr:spPr bwMode="auto">
        <a:xfrm xmlns:a="http://schemas.openxmlformats.org/drawingml/2006/main">
          <a:off x="3336768" y="750552"/>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0" i="0" strike="noStrike">
              <a:solidFill>
                <a:srgbClr val="FF0000"/>
              </a:solidFill>
              <a:latin typeface="Arial"/>
              <a:cs typeface="Arial"/>
            </a:rPr>
            <a:t>Eutrophic</a:t>
          </a:r>
        </a:p>
      </cdr:txBody>
    </cdr:sp>
  </cdr:relSizeAnchor>
  <cdr:relSizeAnchor xmlns:cdr="http://schemas.openxmlformats.org/drawingml/2006/chartDrawing">
    <cdr:from>
      <cdr:x>0.47618</cdr:x>
      <cdr:y>0.52397</cdr:y>
    </cdr:from>
    <cdr:to>
      <cdr:x>0.47618</cdr:x>
      <cdr:y>0.52397</cdr:y>
    </cdr:to>
    <cdr:sp macro="" textlink="">
      <cdr:nvSpPr>
        <cdr:cNvPr id="7171" name="Text Box 3"/>
        <cdr:cNvSpPr txBox="1">
          <a:spLocks xmlns:a="http://schemas.openxmlformats.org/drawingml/2006/main" noChangeArrowheads="1"/>
        </cdr:cNvSpPr>
      </cdr:nvSpPr>
      <cdr:spPr bwMode="auto">
        <a:xfrm xmlns:a="http://schemas.openxmlformats.org/drawingml/2006/main">
          <a:off x="2579387" y="1595257"/>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0" i="0" strike="noStrike">
              <a:solidFill>
                <a:srgbClr val="FF0000"/>
              </a:solidFill>
              <a:latin typeface="Arial"/>
              <a:cs typeface="Arial"/>
            </a:rPr>
            <a:t>Mesotropic</a:t>
          </a:r>
        </a:p>
      </cdr:txBody>
    </cdr:sp>
  </cdr:relSizeAnchor>
</c:userShapes>
</file>

<file path=xl/drawings/drawing8.xml><?xml version="1.0" encoding="utf-8"?>
<c:userShapes xmlns:c="http://schemas.openxmlformats.org/drawingml/2006/chart">
  <cdr:relSizeAnchor xmlns:cdr="http://schemas.openxmlformats.org/drawingml/2006/chartDrawing">
    <cdr:from>
      <cdr:x>0.49607</cdr:x>
      <cdr:y>0.20226</cdr:y>
    </cdr:from>
    <cdr:to>
      <cdr:x>0.49607</cdr:x>
      <cdr:y>0.20226</cdr:y>
    </cdr:to>
    <cdr:sp macro="" textlink="">
      <cdr:nvSpPr>
        <cdr:cNvPr id="6146" name="Text Box 2"/>
        <cdr:cNvSpPr txBox="1">
          <a:spLocks xmlns:a="http://schemas.openxmlformats.org/drawingml/2006/main" noChangeArrowheads="1"/>
        </cdr:cNvSpPr>
      </cdr:nvSpPr>
      <cdr:spPr bwMode="auto">
        <a:xfrm xmlns:a="http://schemas.openxmlformats.org/drawingml/2006/main">
          <a:off x="2757881" y="610037"/>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1" i="0" strike="noStrike">
              <a:solidFill>
                <a:srgbClr val="FF0000"/>
              </a:solidFill>
              <a:latin typeface="Arial"/>
              <a:cs typeface="Arial"/>
            </a:rPr>
            <a:t>Eutrophic zone</a:t>
          </a:r>
        </a:p>
      </cdr:txBody>
    </cdr:sp>
  </cdr:relSizeAnchor>
  <cdr:relSizeAnchor xmlns:cdr="http://schemas.openxmlformats.org/drawingml/2006/chartDrawing">
    <cdr:from>
      <cdr:x>0.49607</cdr:x>
      <cdr:y>0.5092</cdr:y>
    </cdr:from>
    <cdr:to>
      <cdr:x>0.49607</cdr:x>
      <cdr:y>0.5092</cdr:y>
    </cdr:to>
    <cdr:sp macro="" textlink="">
      <cdr:nvSpPr>
        <cdr:cNvPr id="6147" name="Text Box 3"/>
        <cdr:cNvSpPr txBox="1">
          <a:spLocks xmlns:a="http://schemas.openxmlformats.org/drawingml/2006/main" noChangeArrowheads="1"/>
        </cdr:cNvSpPr>
      </cdr:nvSpPr>
      <cdr:spPr bwMode="auto">
        <a:xfrm xmlns:a="http://schemas.openxmlformats.org/drawingml/2006/main">
          <a:off x="2757881" y="1530961"/>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1" i="0" strike="noStrike">
              <a:solidFill>
                <a:srgbClr val="FF0000"/>
              </a:solidFill>
              <a:latin typeface="Arial"/>
              <a:cs typeface="Arial"/>
            </a:rPr>
            <a:t>Mesotrophic zone</a:t>
          </a:r>
        </a:p>
      </cdr:txBody>
    </cdr:sp>
  </cdr:relSizeAnchor>
  <cdr:relSizeAnchor xmlns:cdr="http://schemas.openxmlformats.org/drawingml/2006/chartDrawing">
    <cdr:from>
      <cdr:x>0.48698</cdr:x>
      <cdr:y>0.65976</cdr:y>
    </cdr:from>
    <cdr:to>
      <cdr:x>0.48698</cdr:x>
      <cdr:y>0.65976</cdr:y>
    </cdr:to>
    <cdr:sp macro="" textlink="">
      <cdr:nvSpPr>
        <cdr:cNvPr id="6148" name="Text Box 4"/>
        <cdr:cNvSpPr txBox="1">
          <a:spLocks xmlns:a="http://schemas.openxmlformats.org/drawingml/2006/main" noChangeArrowheads="1"/>
        </cdr:cNvSpPr>
      </cdr:nvSpPr>
      <cdr:spPr bwMode="auto">
        <a:xfrm xmlns:a="http://schemas.openxmlformats.org/drawingml/2006/main">
          <a:off x="2707396" y="1982708"/>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1" i="0" strike="noStrike">
              <a:solidFill>
                <a:srgbClr val="FF0000"/>
              </a:solidFill>
              <a:latin typeface="Arial"/>
              <a:cs typeface="Arial"/>
            </a:rPr>
            <a:t>Oligotropic zone</a:t>
          </a:r>
        </a:p>
      </cdr:txBody>
    </cdr:sp>
  </cdr:relSizeAnchor>
</c:userShapes>
</file>

<file path=xl/drawings/drawing9.xml><?xml version="1.0" encoding="utf-8"?>
<xdr:wsDr xmlns:xdr="http://schemas.openxmlformats.org/drawingml/2006/spreadsheetDrawing" xmlns:a="http://schemas.openxmlformats.org/drawingml/2006/main">
  <xdr:twoCellAnchor>
    <xdr:from>
      <xdr:col>18</xdr:col>
      <xdr:colOff>219075</xdr:colOff>
      <xdr:row>53</xdr:row>
      <xdr:rowOff>171450</xdr:rowOff>
    </xdr:from>
    <xdr:to>
      <xdr:col>42</xdr:col>
      <xdr:colOff>400050</xdr:colOff>
      <xdr:row>72</xdr:row>
      <xdr:rowOff>85725</xdr:rowOff>
    </xdr:to>
    <xdr:graphicFrame macro="">
      <xdr:nvGraphicFramePr>
        <xdr:cNvPr id="6" name="Chart 2">
          <a:extLst>
            <a:ext uri="{FF2B5EF4-FFF2-40B4-BE49-F238E27FC236}">
              <a16:creationId xmlns:a16="http://schemas.microsoft.com/office/drawing/2014/main" i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200025</xdr:colOff>
      <xdr:row>33</xdr:row>
      <xdr:rowOff>57150</xdr:rowOff>
    </xdr:from>
    <xdr:to>
      <xdr:col>42</xdr:col>
      <xdr:colOff>409575</xdr:colOff>
      <xdr:row>52</xdr:row>
      <xdr:rowOff>142875</xdr:rowOff>
    </xdr:to>
    <xdr:graphicFrame macro="">
      <xdr:nvGraphicFramePr>
        <xdr:cNvPr id="7" name="Chart 3">
          <a:extLst>
            <a:ext uri="{FF2B5EF4-FFF2-40B4-BE49-F238E27FC236}">
              <a16:creationId xmlns:a16="http://schemas.microsoft.com/office/drawing/2014/main" id="{00000000-0008-0000-07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ussell/Documents/Bear%20Creek%20Association/Watershed%202009/2009%20Bear%20Creek%20Ma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9 Trophic"/>
      <sheetName val="Annual Reservoir Trends"/>
      <sheetName val="Nitrate Trends"/>
      <sheetName val="Phosphorus Trends"/>
      <sheetName val="Loading"/>
      <sheetName val="Carlson"/>
      <sheetName val="Walker"/>
      <sheetName val="Monthly Discharge"/>
      <sheetName val="Temperature"/>
      <sheetName val="Conductance"/>
      <sheetName val="pH"/>
      <sheetName val="Oxygen"/>
      <sheetName val="T &amp; Diss Phosphorus"/>
      <sheetName val="Nitrate &amp; T Nitrogen"/>
      <sheetName val="TSS"/>
      <sheetName val="Chlsecchi"/>
      <sheetName val="Phytoplankton"/>
      <sheetName val="Monthly Chemistry"/>
      <sheetName val="1-26-09"/>
      <sheetName val="2-23-09"/>
      <sheetName val="3-16-09"/>
      <sheetName val="4-27-09"/>
      <sheetName val="Aeration Tests"/>
      <sheetName val="5-18-09"/>
      <sheetName val="6-22-09"/>
      <sheetName val="7-6-09"/>
      <sheetName val="7-20-09"/>
      <sheetName val="8-3-09"/>
      <sheetName val="8-17-09"/>
      <sheetName val="9-16-09"/>
      <sheetName val="9-28-09"/>
      <sheetName val="10-19-09"/>
      <sheetName val="11-16-09"/>
      <sheetName val="12-14-09"/>
      <sheetName val="Field Sheet"/>
      <sheetName val="Temp DO Comp"/>
      <sheetName val="Aeartion Log"/>
      <sheetName val="Flow"/>
      <sheetName val="Fishery Data"/>
      <sheetName val="Sheet1"/>
    </sheetNames>
    <sheetDataSet>
      <sheetData sheetId="0"/>
      <sheetData sheetId="1"/>
      <sheetData sheetId="2"/>
      <sheetData sheetId="3"/>
      <sheetData sheetId="4">
        <row r="4">
          <cell r="A4" t="str">
            <v>Turkey Creek Inflow</v>
          </cell>
        </row>
        <row r="5">
          <cell r="A5" t="str">
            <v>Bear Creek Inflow</v>
          </cell>
        </row>
      </sheetData>
      <sheetData sheetId="5"/>
      <sheetData sheetId="6">
        <row r="2">
          <cell r="X2">
            <v>1988</v>
          </cell>
        </row>
      </sheetData>
      <sheetData sheetId="7">
        <row r="23">
          <cell r="B23" t="str">
            <v>Jan</v>
          </cell>
          <cell r="C23" t="str">
            <v>Feb</v>
          </cell>
          <cell r="D23" t="str">
            <v>Mar</v>
          </cell>
          <cell r="E23" t="str">
            <v>Apr</v>
          </cell>
          <cell r="F23" t="str">
            <v>May</v>
          </cell>
          <cell r="G23" t="str">
            <v>Jun</v>
          </cell>
          <cell r="H23" t="str">
            <v>Jul</v>
          </cell>
          <cell r="I23" t="str">
            <v>Aug</v>
          </cell>
          <cell r="J23" t="str">
            <v>Sep</v>
          </cell>
          <cell r="K23" t="str">
            <v>Oct</v>
          </cell>
          <cell r="L23" t="str">
            <v>Nov</v>
          </cell>
          <cell r="M23" t="str">
            <v>Dec</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
  <sheetViews>
    <sheetView topLeftCell="A16" workbookViewId="0">
      <selection activeCell="F56" sqref="F56"/>
    </sheetView>
  </sheetViews>
  <sheetFormatPr defaultRowHeight="12.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tabColor rgb="FF92D050"/>
    <pageSetUpPr fitToPage="1"/>
  </sheetPr>
  <dimension ref="A1:T74"/>
  <sheetViews>
    <sheetView zoomScale="75" zoomScaleNormal="75" workbookViewId="0">
      <selection activeCell="B2" sqref="B2:Q2"/>
    </sheetView>
  </sheetViews>
  <sheetFormatPr defaultRowHeight="13"/>
  <cols>
    <col min="1" max="1" width="31.6328125" style="1" bestFit="1" customWidth="1"/>
    <col min="2" max="2" width="9.6328125" style="1" bestFit="1" customWidth="1"/>
    <col min="3" max="3" width="9.90625" style="1" bestFit="1" customWidth="1"/>
    <col min="4" max="4" width="9.6328125" style="1" bestFit="1" customWidth="1"/>
    <col min="5" max="5" width="9.54296875" bestFit="1" customWidth="1"/>
    <col min="6" max="6" width="10.08984375" bestFit="1" customWidth="1"/>
    <col min="7" max="7" width="9.6328125" bestFit="1" customWidth="1"/>
    <col min="8" max="10" width="9.54296875" bestFit="1" customWidth="1"/>
    <col min="11" max="11" width="10.08984375" bestFit="1" customWidth="1"/>
    <col min="12" max="12" width="9.6328125" bestFit="1" customWidth="1"/>
    <col min="13" max="13" width="10.08984375" bestFit="1" customWidth="1"/>
    <col min="14" max="15" width="9.6328125" bestFit="1" customWidth="1"/>
    <col min="16" max="16" width="9.36328125" customWidth="1"/>
    <col min="17" max="17" width="9.36328125" bestFit="1" customWidth="1"/>
    <col min="18" max="18" width="10.453125" bestFit="1" customWidth="1"/>
    <col min="19" max="19" width="8.6328125" customWidth="1"/>
    <col min="20" max="20" width="11.54296875" bestFit="1" customWidth="1"/>
    <col min="21" max="21" width="9.6328125" bestFit="1" customWidth="1"/>
    <col min="22" max="22" width="10.90625" bestFit="1" customWidth="1"/>
    <col min="23" max="23" width="9.90625" bestFit="1" customWidth="1"/>
    <col min="24" max="24" width="10.36328125" bestFit="1" customWidth="1"/>
    <col min="25" max="25" width="10.90625" bestFit="1" customWidth="1"/>
    <col min="26" max="26" width="11.08984375" bestFit="1" customWidth="1"/>
    <col min="27" max="27" width="11.36328125" customWidth="1"/>
    <col min="28" max="28" width="11" customWidth="1"/>
    <col min="29" max="29" width="10.453125" customWidth="1"/>
    <col min="30" max="30" width="12.54296875" customWidth="1"/>
    <col min="31" max="31" width="10.90625" bestFit="1" customWidth="1"/>
  </cols>
  <sheetData>
    <row r="1" spans="1:20" s="1" customFormat="1" ht="17.5">
      <c r="A1" s="1176" t="s">
        <v>355</v>
      </c>
      <c r="B1" s="1176"/>
      <c r="C1" s="1176"/>
      <c r="D1" s="1176"/>
      <c r="E1" s="1176"/>
      <c r="F1" s="1176"/>
      <c r="G1" s="1176"/>
      <c r="H1" s="1176"/>
      <c r="I1" s="1176"/>
      <c r="J1" s="1176"/>
      <c r="K1" s="1176"/>
      <c r="L1" s="1176"/>
      <c r="M1" s="1176"/>
      <c r="N1" s="1176"/>
      <c r="O1" s="1176"/>
      <c r="P1" s="1176"/>
      <c r="Q1" s="1176"/>
    </row>
    <row r="2" spans="1:20" s="7" customFormat="1" ht="26">
      <c r="A2" s="74"/>
      <c r="B2" s="617">
        <v>41296</v>
      </c>
      <c r="C2" s="617">
        <v>41324</v>
      </c>
      <c r="D2" s="617">
        <v>41358</v>
      </c>
      <c r="E2" s="617">
        <v>41386</v>
      </c>
      <c r="F2" s="617">
        <v>41414</v>
      </c>
      <c r="G2" s="617">
        <v>41442</v>
      </c>
      <c r="H2" s="617">
        <v>41463</v>
      </c>
      <c r="I2" s="617">
        <v>41477</v>
      </c>
      <c r="J2" s="617">
        <v>41491</v>
      </c>
      <c r="K2" s="617">
        <v>41512</v>
      </c>
      <c r="L2" s="617">
        <v>41526</v>
      </c>
      <c r="M2" s="617">
        <v>41540</v>
      </c>
      <c r="N2" s="617">
        <v>41558</v>
      </c>
      <c r="O2" s="617">
        <v>41568</v>
      </c>
      <c r="P2" s="617">
        <v>41596</v>
      </c>
      <c r="Q2" s="617">
        <v>41624</v>
      </c>
      <c r="R2" s="75" t="s">
        <v>91</v>
      </c>
      <c r="S2" s="76" t="s">
        <v>83</v>
      </c>
      <c r="T2" s="76" t="s">
        <v>109</v>
      </c>
    </row>
    <row r="3" spans="1:20" s="3" customFormat="1" ht="14">
      <c r="A3" s="77" t="s">
        <v>557</v>
      </c>
      <c r="B3" s="59">
        <v>2.2999999999999998</v>
      </c>
      <c r="C3" s="59">
        <v>0.6</v>
      </c>
      <c r="D3" s="59">
        <v>0</v>
      </c>
      <c r="E3" s="59">
        <v>5.8</v>
      </c>
      <c r="F3" s="59">
        <v>10.5</v>
      </c>
      <c r="G3" s="59">
        <v>14.3</v>
      </c>
      <c r="H3" s="59">
        <v>15.8</v>
      </c>
      <c r="I3" s="59">
        <v>22.5</v>
      </c>
      <c r="J3" s="362">
        <v>16.399999999999999</v>
      </c>
      <c r="K3" s="59">
        <v>21.8</v>
      </c>
      <c r="L3" s="59">
        <v>15.6</v>
      </c>
      <c r="M3" s="59">
        <v>11.4</v>
      </c>
      <c r="N3" s="59">
        <v>10.3</v>
      </c>
      <c r="O3" s="59">
        <v>5.9</v>
      </c>
      <c r="P3" s="59">
        <v>2.8</v>
      </c>
      <c r="Q3" s="59">
        <v>3</v>
      </c>
      <c r="R3" s="109">
        <f>AVERAGE(B3:Q3)</f>
        <v>9.9375</v>
      </c>
      <c r="S3" s="110">
        <f>MAX(B3:Q3)</f>
        <v>22.5</v>
      </c>
      <c r="T3" s="110">
        <f>AVERAGE(H3:M3)</f>
        <v>17.25</v>
      </c>
    </row>
    <row r="4" spans="1:20" s="3" customFormat="1" ht="14">
      <c r="A4" s="78" t="s">
        <v>558</v>
      </c>
      <c r="B4" s="59">
        <v>0.9</v>
      </c>
      <c r="C4" s="59">
        <v>0.3</v>
      </c>
      <c r="D4" s="59">
        <v>0.2</v>
      </c>
      <c r="E4" s="59">
        <v>5.4</v>
      </c>
      <c r="F4" s="59">
        <v>10.6</v>
      </c>
      <c r="G4" s="59">
        <v>14.7</v>
      </c>
      <c r="H4" s="59">
        <v>17.5</v>
      </c>
      <c r="I4" s="59">
        <v>21.6</v>
      </c>
      <c r="J4" s="362">
        <v>17.100000000000001</v>
      </c>
      <c r="K4" s="59">
        <v>18.739999999999998</v>
      </c>
      <c r="L4" s="59">
        <v>15.4</v>
      </c>
      <c r="M4" s="59">
        <v>10.4</v>
      </c>
      <c r="N4" s="59">
        <v>11.6</v>
      </c>
      <c r="O4" s="59">
        <v>4.3</v>
      </c>
      <c r="P4" s="59">
        <v>2.8</v>
      </c>
      <c r="Q4" s="59">
        <v>0.1</v>
      </c>
      <c r="R4" s="109">
        <f>AVERAGE(B4:Q4)</f>
        <v>9.4774999999999991</v>
      </c>
      <c r="S4" s="110">
        <f>MAX(B4:Q4)</f>
        <v>21.6</v>
      </c>
      <c r="T4" s="110">
        <f t="shared" ref="T4:T17" si="0">AVERAGE(H4:M4)</f>
        <v>16.790000000000003</v>
      </c>
    </row>
    <row r="5" spans="1:20" s="3" customFormat="1" ht="14">
      <c r="A5" s="78" t="s">
        <v>559</v>
      </c>
      <c r="B5" s="59">
        <v>5.0999999999999996</v>
      </c>
      <c r="C5" s="59">
        <v>4.2</v>
      </c>
      <c r="D5" s="59">
        <v>3.4</v>
      </c>
      <c r="E5" s="59">
        <v>8.6</v>
      </c>
      <c r="F5" s="59">
        <v>13.9</v>
      </c>
      <c r="G5" s="59">
        <v>17.7</v>
      </c>
      <c r="H5" s="59">
        <v>22</v>
      </c>
      <c r="I5" s="59">
        <v>22.9</v>
      </c>
      <c r="J5" s="362">
        <v>22.6</v>
      </c>
      <c r="K5" s="59">
        <v>21.12</v>
      </c>
      <c r="L5" s="59">
        <v>21.4</v>
      </c>
      <c r="M5" s="59">
        <v>12.6</v>
      </c>
      <c r="N5" s="59">
        <v>11.4</v>
      </c>
      <c r="O5" s="59">
        <v>8.1</v>
      </c>
      <c r="P5" s="59">
        <v>8.4</v>
      </c>
      <c r="Q5" s="59">
        <v>3.9</v>
      </c>
      <c r="R5" s="109">
        <f>AVERAGE(B5:Q5)</f>
        <v>12.957500000000001</v>
      </c>
      <c r="S5" s="110">
        <f>MAX(B5:Q5)</f>
        <v>22.9</v>
      </c>
      <c r="T5" s="110">
        <f t="shared" si="0"/>
        <v>20.436666666666667</v>
      </c>
    </row>
    <row r="6" spans="1:20" s="3" customFormat="1" ht="15" customHeight="1">
      <c r="A6" s="1197" t="s">
        <v>547</v>
      </c>
      <c r="B6" s="1198"/>
      <c r="C6" s="1198"/>
      <c r="D6" s="1198"/>
      <c r="E6" s="1198"/>
      <c r="F6" s="1198"/>
      <c r="G6" s="1198"/>
      <c r="H6" s="1198"/>
      <c r="I6" s="1198"/>
      <c r="J6" s="1198"/>
      <c r="K6" s="1198"/>
      <c r="L6" s="1198"/>
      <c r="M6" s="1198"/>
      <c r="N6" s="1198"/>
      <c r="O6" s="1198"/>
      <c r="P6" s="1198"/>
      <c r="Q6" s="1198"/>
      <c r="R6" s="1198"/>
      <c r="S6" s="1198"/>
      <c r="T6" s="1199"/>
    </row>
    <row r="7" spans="1:20" s="3" customFormat="1" ht="14">
      <c r="A7" s="277" t="s">
        <v>350</v>
      </c>
      <c r="B7" s="59">
        <v>3.9</v>
      </c>
      <c r="C7" s="59">
        <v>5.4</v>
      </c>
      <c r="D7" s="59">
        <v>5.4</v>
      </c>
      <c r="E7" s="59">
        <v>9.3000000000000007</v>
      </c>
      <c r="F7" s="59">
        <v>13.8</v>
      </c>
      <c r="G7" s="59">
        <v>18.3</v>
      </c>
      <c r="H7" s="59">
        <v>22.2</v>
      </c>
      <c r="I7" s="59">
        <v>23.5</v>
      </c>
      <c r="J7" s="279">
        <v>22.5</v>
      </c>
      <c r="K7" s="59">
        <v>21.78</v>
      </c>
      <c r="L7" s="59">
        <v>21.6</v>
      </c>
      <c r="M7" s="59">
        <v>15</v>
      </c>
      <c r="N7" s="59">
        <v>11.5</v>
      </c>
      <c r="O7" s="59">
        <v>8.6</v>
      </c>
      <c r="P7" s="59">
        <v>5.8</v>
      </c>
      <c r="Q7" s="59">
        <v>2.7</v>
      </c>
      <c r="R7" s="109">
        <f>AVERAGE(B7:Q7)</f>
        <v>13.204999999999998</v>
      </c>
      <c r="S7" s="110">
        <f>MAX(B7:Q7)</f>
        <v>23.5</v>
      </c>
      <c r="T7" s="110">
        <f t="shared" si="0"/>
        <v>21.096666666666668</v>
      </c>
    </row>
    <row r="8" spans="1:20" s="3" customFormat="1" ht="14">
      <c r="A8" s="277" t="s">
        <v>157</v>
      </c>
      <c r="B8" s="59">
        <v>3.9</v>
      </c>
      <c r="C8" s="59">
        <v>5.4</v>
      </c>
      <c r="D8" s="59">
        <v>5.5</v>
      </c>
      <c r="E8" s="59">
        <v>9.1999999999999993</v>
      </c>
      <c r="F8" s="59">
        <v>13.7</v>
      </c>
      <c r="G8" s="59">
        <v>18.100000000000001</v>
      </c>
      <c r="H8" s="59">
        <v>22.1</v>
      </c>
      <c r="I8" s="59">
        <v>23.5</v>
      </c>
      <c r="J8" s="279">
        <v>22.2</v>
      </c>
      <c r="K8" s="59">
        <v>21.36</v>
      </c>
      <c r="L8" s="59">
        <v>21.4</v>
      </c>
      <c r="M8" s="59">
        <v>14.9</v>
      </c>
      <c r="N8" s="59">
        <v>11.4</v>
      </c>
      <c r="O8" s="59">
        <v>8.4</v>
      </c>
      <c r="P8" s="59">
        <v>5.8</v>
      </c>
      <c r="Q8" s="59">
        <v>2.8</v>
      </c>
      <c r="R8" s="109">
        <f t="shared" ref="R8:R21" si="1">AVERAGE(B8:Q8)</f>
        <v>13.103750000000003</v>
      </c>
      <c r="S8" s="110">
        <f t="shared" ref="S8:S21" si="2">MAX(B8:Q8)</f>
        <v>23.5</v>
      </c>
      <c r="T8" s="110">
        <f t="shared" si="0"/>
        <v>20.91</v>
      </c>
    </row>
    <row r="9" spans="1:20" s="3" customFormat="1" ht="14">
      <c r="A9" s="277" t="s">
        <v>351</v>
      </c>
      <c r="B9" s="59">
        <v>3.9</v>
      </c>
      <c r="C9" s="59">
        <v>5.5</v>
      </c>
      <c r="D9" s="59">
        <v>5.3</v>
      </c>
      <c r="E9" s="59">
        <v>8.9</v>
      </c>
      <c r="F9" s="59">
        <v>13.7</v>
      </c>
      <c r="G9" s="59">
        <v>18.100000000000001</v>
      </c>
      <c r="H9" s="59">
        <v>21.6</v>
      </c>
      <c r="I9" s="59">
        <v>23.4</v>
      </c>
      <c r="J9" s="279">
        <v>22.1</v>
      </c>
      <c r="K9" s="59">
        <v>21.23</v>
      </c>
      <c r="L9" s="59">
        <v>21.2</v>
      </c>
      <c r="M9" s="59">
        <v>14.8</v>
      </c>
      <c r="N9" s="59">
        <v>11.4</v>
      </c>
      <c r="O9" s="59">
        <v>8.4</v>
      </c>
      <c r="P9" s="59">
        <v>5.6</v>
      </c>
      <c r="Q9" s="59">
        <v>2.8</v>
      </c>
      <c r="R9" s="109">
        <f t="shared" si="1"/>
        <v>12.995625</v>
      </c>
      <c r="S9" s="110">
        <f t="shared" si="2"/>
        <v>23.4</v>
      </c>
      <c r="T9" s="110">
        <f t="shared" si="0"/>
        <v>20.721666666666668</v>
      </c>
    </row>
    <row r="10" spans="1:20" s="3" customFormat="1" ht="14">
      <c r="A10" s="277" t="s">
        <v>158</v>
      </c>
      <c r="B10" s="59">
        <v>3.9</v>
      </c>
      <c r="C10" s="59">
        <v>5.6</v>
      </c>
      <c r="D10" s="59">
        <v>5.3</v>
      </c>
      <c r="E10" s="59">
        <v>8.4</v>
      </c>
      <c r="F10" s="59">
        <v>13.6</v>
      </c>
      <c r="G10" s="59">
        <v>18</v>
      </c>
      <c r="H10" s="59">
        <v>21.6</v>
      </c>
      <c r="I10" s="59">
        <v>23.2</v>
      </c>
      <c r="J10" s="279">
        <v>22.1</v>
      </c>
      <c r="K10" s="59">
        <v>21.18</v>
      </c>
      <c r="L10" s="59">
        <v>21.2</v>
      </c>
      <c r="M10" s="59">
        <v>14.8</v>
      </c>
      <c r="N10" s="59">
        <v>11.4</v>
      </c>
      <c r="O10" s="59">
        <v>8.4</v>
      </c>
      <c r="P10" s="59">
        <v>5.6</v>
      </c>
      <c r="Q10" s="59">
        <v>3</v>
      </c>
      <c r="R10" s="109">
        <f t="shared" si="1"/>
        <v>12.955000000000002</v>
      </c>
      <c r="S10" s="110">
        <f t="shared" si="2"/>
        <v>23.2</v>
      </c>
      <c r="T10" s="110">
        <f t="shared" si="0"/>
        <v>20.680000000000003</v>
      </c>
    </row>
    <row r="11" spans="1:20" s="3" customFormat="1" ht="14">
      <c r="A11" s="277" t="s">
        <v>352</v>
      </c>
      <c r="B11" s="59">
        <v>3.9</v>
      </c>
      <c r="C11" s="59">
        <v>5.6</v>
      </c>
      <c r="D11" s="59">
        <v>5.2</v>
      </c>
      <c r="E11" s="59">
        <v>8.1999999999999993</v>
      </c>
      <c r="F11" s="59">
        <v>12.6</v>
      </c>
      <c r="G11" s="59">
        <v>18</v>
      </c>
      <c r="H11" s="59">
        <v>21.6</v>
      </c>
      <c r="I11" s="59">
        <v>23.2</v>
      </c>
      <c r="J11" s="279">
        <v>22.1</v>
      </c>
      <c r="K11" s="59">
        <v>21.05</v>
      </c>
      <c r="L11" s="59">
        <v>21.2</v>
      </c>
      <c r="M11" s="59">
        <v>14.8</v>
      </c>
      <c r="N11" s="59">
        <v>11.4</v>
      </c>
      <c r="O11" s="59">
        <v>8.1999999999999993</v>
      </c>
      <c r="P11" s="59">
        <v>5.6</v>
      </c>
      <c r="Q11" s="59">
        <v>3</v>
      </c>
      <c r="R11" s="109">
        <f t="shared" si="1"/>
        <v>12.853125</v>
      </c>
      <c r="S11" s="110">
        <f t="shared" si="2"/>
        <v>23.2</v>
      </c>
      <c r="T11" s="110">
        <f t="shared" si="0"/>
        <v>20.658333333333335</v>
      </c>
    </row>
    <row r="12" spans="1:20" s="3" customFormat="1" ht="14">
      <c r="A12" s="277" t="s">
        <v>159</v>
      </c>
      <c r="B12" s="59">
        <v>3.9</v>
      </c>
      <c r="C12" s="59">
        <v>5.7</v>
      </c>
      <c r="D12" s="59">
        <v>5.2</v>
      </c>
      <c r="E12" s="59">
        <v>7.9</v>
      </c>
      <c r="F12" s="59">
        <v>12.4</v>
      </c>
      <c r="G12" s="59">
        <v>17.899999999999999</v>
      </c>
      <c r="H12" s="59">
        <v>21.6</v>
      </c>
      <c r="I12" s="59">
        <v>23.1</v>
      </c>
      <c r="J12" s="279">
        <v>22</v>
      </c>
      <c r="K12" s="59">
        <v>20.420000000000002</v>
      </c>
      <c r="L12" s="59">
        <v>21.2</v>
      </c>
      <c r="M12" s="59">
        <v>14.8</v>
      </c>
      <c r="N12" s="59">
        <v>11.4</v>
      </c>
      <c r="O12" s="59">
        <v>8.1999999999999993</v>
      </c>
      <c r="P12" s="59">
        <v>5.6</v>
      </c>
      <c r="Q12" s="59">
        <v>3.1</v>
      </c>
      <c r="R12" s="109">
        <f t="shared" si="1"/>
        <v>12.776249999999999</v>
      </c>
      <c r="S12" s="110">
        <f t="shared" si="2"/>
        <v>23.1</v>
      </c>
      <c r="T12" s="110">
        <f t="shared" si="0"/>
        <v>20.52</v>
      </c>
    </row>
    <row r="13" spans="1:20" s="3" customFormat="1" ht="14">
      <c r="A13" s="277" t="s">
        <v>353</v>
      </c>
      <c r="B13" s="59">
        <v>3.8</v>
      </c>
      <c r="C13" s="59">
        <v>5.7</v>
      </c>
      <c r="D13" s="59">
        <v>5.2</v>
      </c>
      <c r="E13" s="59">
        <v>7.5</v>
      </c>
      <c r="F13" s="59">
        <v>12.3</v>
      </c>
      <c r="G13" s="59">
        <v>17.899999999999999</v>
      </c>
      <c r="H13" s="59">
        <v>21.6</v>
      </c>
      <c r="I13" s="59">
        <v>22.8</v>
      </c>
      <c r="J13" s="279">
        <v>22</v>
      </c>
      <c r="K13" s="59">
        <v>20.88</v>
      </c>
      <c r="L13" s="59">
        <v>21.2</v>
      </c>
      <c r="M13" s="59">
        <v>14.8</v>
      </c>
      <c r="N13" s="59">
        <v>11.4</v>
      </c>
      <c r="O13" s="59">
        <v>8.1999999999999993</v>
      </c>
      <c r="P13" s="59">
        <v>5.5</v>
      </c>
      <c r="Q13" s="59">
        <v>3.5</v>
      </c>
      <c r="R13" s="109">
        <f t="shared" si="1"/>
        <v>12.7675</v>
      </c>
      <c r="S13" s="110">
        <f t="shared" si="2"/>
        <v>22.8</v>
      </c>
      <c r="T13" s="110">
        <f t="shared" si="0"/>
        <v>20.546666666666667</v>
      </c>
    </row>
    <row r="14" spans="1:20" s="3" customFormat="1" ht="14">
      <c r="A14" s="277" t="s">
        <v>160</v>
      </c>
      <c r="B14" s="59">
        <v>3.9</v>
      </c>
      <c r="C14" s="59">
        <v>5.6</v>
      </c>
      <c r="D14" s="59">
        <v>5.2</v>
      </c>
      <c r="E14" s="59">
        <v>7.3</v>
      </c>
      <c r="F14" s="59">
        <v>12</v>
      </c>
      <c r="G14" s="59">
        <v>17.899999999999999</v>
      </c>
      <c r="H14" s="59">
        <v>21.6</v>
      </c>
      <c r="I14" s="59">
        <v>22.8</v>
      </c>
      <c r="J14" s="279">
        <v>21.9</v>
      </c>
      <c r="K14" s="59">
        <v>20.84</v>
      </c>
      <c r="L14" s="59">
        <v>21.2</v>
      </c>
      <c r="M14" s="59">
        <v>14.7</v>
      </c>
      <c r="N14" s="59">
        <v>11.4</v>
      </c>
      <c r="O14" s="59">
        <v>8.1</v>
      </c>
      <c r="P14" s="59">
        <v>5.5</v>
      </c>
      <c r="Q14" s="59">
        <v>3.5</v>
      </c>
      <c r="R14" s="109">
        <f t="shared" si="1"/>
        <v>12.714999999999998</v>
      </c>
      <c r="S14" s="110">
        <f t="shared" si="2"/>
        <v>22.8</v>
      </c>
      <c r="T14" s="110">
        <f t="shared" si="0"/>
        <v>20.506666666666671</v>
      </c>
    </row>
    <row r="15" spans="1:20" s="3" customFormat="1" ht="14">
      <c r="A15" s="277" t="s">
        <v>161</v>
      </c>
      <c r="B15" s="59">
        <v>4.3</v>
      </c>
      <c r="C15" s="59">
        <v>5.3</v>
      </c>
      <c r="D15" s="59">
        <v>5.2</v>
      </c>
      <c r="E15" s="59">
        <v>7.1</v>
      </c>
      <c r="F15" s="59">
        <v>10.9</v>
      </c>
      <c r="G15" s="59">
        <v>17.899999999999999</v>
      </c>
      <c r="H15" s="59">
        <v>21.6</v>
      </c>
      <c r="I15" s="59">
        <v>22.8</v>
      </c>
      <c r="J15" s="279">
        <v>21.9</v>
      </c>
      <c r="K15" s="59">
        <v>20.84</v>
      </c>
      <c r="L15" s="59">
        <v>21.2</v>
      </c>
      <c r="M15" s="59">
        <v>14.6</v>
      </c>
      <c r="N15" s="59">
        <v>11.4</v>
      </c>
      <c r="O15" s="59">
        <v>8.1</v>
      </c>
      <c r="P15" s="59">
        <v>5.5</v>
      </c>
      <c r="Q15" s="59">
        <v>3.3</v>
      </c>
      <c r="R15" s="109">
        <f t="shared" si="1"/>
        <v>12.62125</v>
      </c>
      <c r="S15" s="110">
        <f t="shared" si="2"/>
        <v>22.8</v>
      </c>
      <c r="T15" s="110">
        <f t="shared" si="0"/>
        <v>20.490000000000002</v>
      </c>
    </row>
    <row r="16" spans="1:20" s="3" customFormat="1" ht="14">
      <c r="A16" s="277" t="s">
        <v>162</v>
      </c>
      <c r="B16" s="368">
        <v>4.4000000000000004</v>
      </c>
      <c r="C16" s="369">
        <v>5.0999999999999996</v>
      </c>
      <c r="D16" s="59">
        <v>5.2</v>
      </c>
      <c r="E16" s="59">
        <v>7</v>
      </c>
      <c r="F16" s="59">
        <v>9.4</v>
      </c>
      <c r="G16" s="59">
        <v>17.8</v>
      </c>
      <c r="H16" s="59">
        <v>21.6</v>
      </c>
      <c r="I16" s="59">
        <v>22.8</v>
      </c>
      <c r="J16" s="279">
        <v>21.9</v>
      </c>
      <c r="K16" s="59">
        <v>20.81</v>
      </c>
      <c r="L16" s="59">
        <v>21.1</v>
      </c>
      <c r="M16" s="59">
        <v>14</v>
      </c>
      <c r="N16" s="59">
        <v>11.4</v>
      </c>
      <c r="O16" s="59">
        <v>8.1</v>
      </c>
      <c r="P16" s="59">
        <v>5.5</v>
      </c>
      <c r="Q16" s="59">
        <v>3.5</v>
      </c>
      <c r="R16" s="109">
        <f t="shared" si="1"/>
        <v>12.475624999999999</v>
      </c>
      <c r="S16" s="110">
        <f t="shared" si="2"/>
        <v>22.8</v>
      </c>
      <c r="T16" s="110">
        <f t="shared" si="0"/>
        <v>20.368333333333336</v>
      </c>
    </row>
    <row r="17" spans="1:20" ht="14">
      <c r="A17" s="277" t="s">
        <v>163</v>
      </c>
      <c r="B17" s="368">
        <v>4.5</v>
      </c>
      <c r="C17" s="370">
        <v>5.2</v>
      </c>
      <c r="D17" s="59">
        <v>5.2</v>
      </c>
      <c r="E17" s="59">
        <v>7</v>
      </c>
      <c r="F17" s="59">
        <v>9</v>
      </c>
      <c r="G17" s="59">
        <v>17.8</v>
      </c>
      <c r="H17" s="59">
        <v>21.5</v>
      </c>
      <c r="I17" s="59">
        <v>22.8</v>
      </c>
      <c r="J17" s="279">
        <v>21.9</v>
      </c>
      <c r="K17" s="59">
        <v>20.79</v>
      </c>
      <c r="L17" s="59">
        <v>21.1</v>
      </c>
      <c r="M17" s="59">
        <v>13.7</v>
      </c>
      <c r="N17" s="59">
        <v>11.4</v>
      </c>
      <c r="O17" s="59">
        <v>8.1</v>
      </c>
      <c r="P17" s="59">
        <v>5.5</v>
      </c>
      <c r="Q17" s="59">
        <v>3.6</v>
      </c>
      <c r="R17" s="109">
        <f t="shared" si="1"/>
        <v>12.443124999999998</v>
      </c>
      <c r="S17" s="110">
        <f t="shared" si="2"/>
        <v>22.8</v>
      </c>
      <c r="T17" s="110">
        <f t="shared" si="0"/>
        <v>20.298333333333328</v>
      </c>
    </row>
    <row r="18" spans="1:20" ht="14">
      <c r="A18" s="277" t="s">
        <v>164</v>
      </c>
      <c r="B18" s="368">
        <v>4.5999999999999996</v>
      </c>
      <c r="C18" s="369">
        <v>5.3</v>
      </c>
      <c r="D18" s="59">
        <v>5.2</v>
      </c>
      <c r="E18" s="59">
        <v>6.9</v>
      </c>
      <c r="F18" s="59">
        <v>8.6999999999999993</v>
      </c>
      <c r="G18" s="59">
        <v>17.7</v>
      </c>
      <c r="H18" s="59">
        <v>21.5</v>
      </c>
      <c r="I18" s="59">
        <v>22.7</v>
      </c>
      <c r="J18" s="279">
        <v>21.7</v>
      </c>
      <c r="K18" s="59">
        <v>20.7</v>
      </c>
      <c r="L18" s="59">
        <v>21.1</v>
      </c>
      <c r="M18" s="59">
        <v>12.9</v>
      </c>
      <c r="N18" s="59">
        <v>11.4</v>
      </c>
      <c r="O18" s="59">
        <v>8</v>
      </c>
      <c r="P18" s="59">
        <v>5.5</v>
      </c>
      <c r="Q18" s="59"/>
      <c r="R18" s="109">
        <f t="shared" si="1"/>
        <v>12.926666666666668</v>
      </c>
      <c r="S18" s="110">
        <f t="shared" si="2"/>
        <v>22.7</v>
      </c>
      <c r="T18" s="110">
        <f t="shared" ref="T18:T72" si="3">AVERAGE(H18:M18)</f>
        <v>20.100000000000005</v>
      </c>
    </row>
    <row r="19" spans="1:20" ht="14">
      <c r="A19" s="277" t="s">
        <v>165</v>
      </c>
      <c r="B19" s="368">
        <v>4.9000000000000004</v>
      </c>
      <c r="C19" s="369">
        <v>5.5</v>
      </c>
      <c r="D19" s="59">
        <v>5.2</v>
      </c>
      <c r="E19" s="59">
        <v>6.9</v>
      </c>
      <c r="F19" s="59">
        <v>8.4</v>
      </c>
      <c r="G19" s="59">
        <v>17.600000000000001</v>
      </c>
      <c r="H19" s="59">
        <v>21.2</v>
      </c>
      <c r="I19" s="59">
        <v>22.7</v>
      </c>
      <c r="J19" s="279">
        <v>21.7</v>
      </c>
      <c r="K19" s="59">
        <v>20.55</v>
      </c>
      <c r="L19" s="59">
        <v>21.1</v>
      </c>
      <c r="M19" s="59">
        <v>12.8</v>
      </c>
      <c r="N19" s="59">
        <v>11.4</v>
      </c>
      <c r="O19" s="59">
        <v>7.6</v>
      </c>
      <c r="P19" s="59">
        <v>5.5</v>
      </c>
      <c r="Q19" s="59"/>
      <c r="R19" s="109">
        <f t="shared" si="1"/>
        <v>12.870000000000001</v>
      </c>
      <c r="S19" s="110">
        <f t="shared" si="2"/>
        <v>22.7</v>
      </c>
      <c r="T19" s="110">
        <f t="shared" si="3"/>
        <v>20.008333333333333</v>
      </c>
    </row>
    <row r="20" spans="1:20" ht="14">
      <c r="A20" s="277" t="s">
        <v>187</v>
      </c>
      <c r="B20" s="368">
        <v>5.4</v>
      </c>
      <c r="C20" s="369">
        <v>5.8</v>
      </c>
      <c r="D20" s="59">
        <v>5.6</v>
      </c>
      <c r="E20" s="59">
        <v>6.8</v>
      </c>
      <c r="F20" s="59">
        <v>8.1999999999999993</v>
      </c>
      <c r="G20" s="59">
        <v>17.3</v>
      </c>
      <c r="H20" s="59">
        <v>21</v>
      </c>
      <c r="I20" s="59">
        <v>22.5</v>
      </c>
      <c r="J20" s="279">
        <v>21.6</v>
      </c>
      <c r="K20" s="59">
        <v>20.350000000000001</v>
      </c>
      <c r="L20" s="59">
        <v>21</v>
      </c>
      <c r="M20" s="59">
        <v>12.7</v>
      </c>
      <c r="N20" s="59">
        <v>11.4</v>
      </c>
      <c r="O20" s="59">
        <v>7</v>
      </c>
      <c r="P20" s="59">
        <v>5.6</v>
      </c>
      <c r="Q20" s="59"/>
      <c r="R20" s="109">
        <f t="shared" si="1"/>
        <v>12.816666666666665</v>
      </c>
      <c r="S20" s="110">
        <f t="shared" si="2"/>
        <v>22.5</v>
      </c>
      <c r="T20" s="110">
        <f t="shared" si="3"/>
        <v>19.858333333333331</v>
      </c>
    </row>
    <row r="21" spans="1:20" ht="14">
      <c r="A21" s="354" t="s">
        <v>188</v>
      </c>
      <c r="B21" s="368"/>
      <c r="C21" s="369"/>
      <c r="D21" s="59"/>
      <c r="E21" s="59">
        <v>6.8</v>
      </c>
      <c r="F21" s="59">
        <v>8.1999999999999993</v>
      </c>
      <c r="G21" s="59">
        <v>16.899999999999999</v>
      </c>
      <c r="H21" s="59">
        <v>21</v>
      </c>
      <c r="I21" s="59">
        <v>22.3</v>
      </c>
      <c r="J21" s="279">
        <v>21.4</v>
      </c>
      <c r="K21" s="59">
        <v>20.100000000000001</v>
      </c>
      <c r="L21" s="59">
        <v>20.7</v>
      </c>
      <c r="M21" s="59">
        <v>12.6</v>
      </c>
      <c r="N21" s="59">
        <v>11.3</v>
      </c>
      <c r="O21" s="59">
        <v>6.8</v>
      </c>
      <c r="P21" s="59">
        <v>5.6</v>
      </c>
      <c r="Q21" s="59"/>
      <c r="R21" s="109">
        <f t="shared" si="1"/>
        <v>14.475</v>
      </c>
      <c r="S21" s="110">
        <f t="shared" si="2"/>
        <v>22.3</v>
      </c>
      <c r="T21" s="110">
        <f t="shared" si="3"/>
        <v>19.68333333333333</v>
      </c>
    </row>
    <row r="22" spans="1:20" ht="14">
      <c r="A22" s="362" t="s">
        <v>568</v>
      </c>
      <c r="B22" s="368">
        <f>AVERAGE(B7:B10)</f>
        <v>3.9</v>
      </c>
      <c r="C22" s="368">
        <f t="shared" ref="C22:Q22" si="4">AVERAGE(C7:C10)</f>
        <v>5.4749999999999996</v>
      </c>
      <c r="D22" s="368">
        <f t="shared" si="4"/>
        <v>5.375</v>
      </c>
      <c r="E22" s="368">
        <f t="shared" si="4"/>
        <v>8.9499999999999993</v>
      </c>
      <c r="F22" s="368">
        <f t="shared" si="4"/>
        <v>13.700000000000001</v>
      </c>
      <c r="G22" s="368">
        <f t="shared" si="4"/>
        <v>18.125</v>
      </c>
      <c r="H22" s="368">
        <f t="shared" si="4"/>
        <v>21.875</v>
      </c>
      <c r="I22" s="368">
        <f t="shared" si="4"/>
        <v>23.400000000000002</v>
      </c>
      <c r="J22" s="368">
        <f t="shared" si="4"/>
        <v>22.225000000000001</v>
      </c>
      <c r="K22" s="368">
        <f t="shared" si="4"/>
        <v>21.387500000000003</v>
      </c>
      <c r="L22" s="368">
        <f t="shared" si="4"/>
        <v>21.35</v>
      </c>
      <c r="M22" s="368">
        <f t="shared" si="4"/>
        <v>14.875</v>
      </c>
      <c r="N22" s="368">
        <f t="shared" si="4"/>
        <v>11.424999999999999</v>
      </c>
      <c r="O22" s="368">
        <f t="shared" si="4"/>
        <v>8.4499999999999993</v>
      </c>
      <c r="P22" s="368">
        <f t="shared" si="4"/>
        <v>5.6999999999999993</v>
      </c>
      <c r="Q22" s="368">
        <f t="shared" si="4"/>
        <v>2.8250000000000002</v>
      </c>
      <c r="R22" s="109"/>
      <c r="S22" s="110"/>
      <c r="T22" s="110"/>
    </row>
    <row r="23" spans="1:20" ht="14">
      <c r="A23" s="362" t="s">
        <v>569</v>
      </c>
      <c r="B23" s="368">
        <f>AVERAGE(B7:B21)</f>
        <v>4.2285714285714286</v>
      </c>
      <c r="C23" s="368">
        <f t="shared" ref="C23:Q23" si="5">AVERAGE(C7:C21)</f>
        <v>5.4785714285714286</v>
      </c>
      <c r="D23" s="368">
        <f t="shared" si="5"/>
        <v>5.2785714285714294</v>
      </c>
      <c r="E23" s="368">
        <f t="shared" si="5"/>
        <v>7.6800000000000006</v>
      </c>
      <c r="F23" s="368">
        <f t="shared" si="5"/>
        <v>11.126666666666667</v>
      </c>
      <c r="G23" s="368">
        <f t="shared" si="5"/>
        <v>17.813333333333336</v>
      </c>
      <c r="H23" s="368">
        <f t="shared" si="5"/>
        <v>21.553333333333331</v>
      </c>
      <c r="I23" s="368">
        <f t="shared" si="5"/>
        <v>22.940000000000005</v>
      </c>
      <c r="J23" s="368">
        <f t="shared" si="5"/>
        <v>21.933333333333334</v>
      </c>
      <c r="K23" s="368">
        <f t="shared" si="5"/>
        <v>20.858666666666672</v>
      </c>
      <c r="L23" s="368">
        <f t="shared" si="5"/>
        <v>21.166666666666664</v>
      </c>
      <c r="M23" s="368">
        <f t="shared" si="5"/>
        <v>14.126666666666665</v>
      </c>
      <c r="N23" s="368">
        <f t="shared" si="5"/>
        <v>11.400000000000004</v>
      </c>
      <c r="O23" s="368">
        <f t="shared" si="5"/>
        <v>8.0133333333333319</v>
      </c>
      <c r="P23" s="368">
        <f t="shared" si="5"/>
        <v>5.5799999999999992</v>
      </c>
      <c r="Q23" s="368">
        <f t="shared" si="5"/>
        <v>3.163636363636364</v>
      </c>
      <c r="R23" s="109"/>
      <c r="S23" s="110"/>
      <c r="T23" s="110"/>
    </row>
    <row r="24" spans="1:20" ht="15" customHeight="1">
      <c r="A24" s="1194" t="s">
        <v>548</v>
      </c>
      <c r="B24" s="1195"/>
      <c r="C24" s="1195"/>
      <c r="D24" s="1195"/>
      <c r="E24" s="1195"/>
      <c r="F24" s="1195"/>
      <c r="G24" s="1195"/>
      <c r="H24" s="1195"/>
      <c r="I24" s="1195"/>
      <c r="J24" s="1195"/>
      <c r="K24" s="1195"/>
      <c r="L24" s="1195"/>
      <c r="M24" s="1195"/>
      <c r="N24" s="1195"/>
      <c r="O24" s="1195"/>
      <c r="P24" s="1195"/>
      <c r="Q24" s="1195"/>
      <c r="R24" s="1195"/>
      <c r="S24" s="1195"/>
      <c r="T24" s="1196"/>
    </row>
    <row r="25" spans="1:20" ht="14">
      <c r="A25" s="354" t="s">
        <v>350</v>
      </c>
      <c r="B25" s="59">
        <v>4.2</v>
      </c>
      <c r="C25" s="59">
        <v>5.3</v>
      </c>
      <c r="D25" s="59">
        <v>5.6</v>
      </c>
      <c r="E25" s="53"/>
      <c r="F25" s="59">
        <v>13.4</v>
      </c>
      <c r="G25" s="59">
        <v>18.399999999999999</v>
      </c>
      <c r="H25" s="59">
        <v>21.9</v>
      </c>
      <c r="I25" s="59">
        <v>23.5</v>
      </c>
      <c r="J25" s="59">
        <v>22.3</v>
      </c>
      <c r="K25" s="59">
        <v>21.9</v>
      </c>
      <c r="L25" s="59">
        <v>21.4</v>
      </c>
      <c r="M25" s="59">
        <v>15</v>
      </c>
      <c r="N25" s="59"/>
      <c r="O25" s="59">
        <v>9.6</v>
      </c>
      <c r="P25" s="53">
        <v>5.9</v>
      </c>
      <c r="Q25" s="53"/>
      <c r="R25" s="109">
        <f>AVERAGE(B25:Q25)</f>
        <v>14.492307692307692</v>
      </c>
      <c r="S25" s="110">
        <f>MAX(B25:Q25)</f>
        <v>23.5</v>
      </c>
      <c r="T25" s="110">
        <f t="shared" si="3"/>
        <v>21</v>
      </c>
    </row>
    <row r="26" spans="1:20" ht="14">
      <c r="A26" s="354" t="s">
        <v>157</v>
      </c>
      <c r="B26" s="59">
        <v>4.2</v>
      </c>
      <c r="C26" s="59">
        <v>5.3</v>
      </c>
      <c r="D26" s="59">
        <v>5.3</v>
      </c>
      <c r="E26" s="53"/>
      <c r="F26" s="59">
        <v>13.3</v>
      </c>
      <c r="G26" s="59">
        <v>18.2</v>
      </c>
      <c r="H26" s="59">
        <v>21.8</v>
      </c>
      <c r="I26" s="59">
        <v>23.5</v>
      </c>
      <c r="J26" s="59">
        <v>22.2</v>
      </c>
      <c r="K26" s="59">
        <v>21.6</v>
      </c>
      <c r="L26" s="59">
        <v>21.4</v>
      </c>
      <c r="M26" s="59">
        <v>15</v>
      </c>
      <c r="N26" s="59"/>
      <c r="O26" s="59">
        <v>9.6</v>
      </c>
      <c r="P26" s="53">
        <v>5.8</v>
      </c>
      <c r="Q26" s="53"/>
      <c r="R26" s="109">
        <f t="shared" ref="R26:R36" si="6">AVERAGE(B26:Q26)</f>
        <v>14.400000000000002</v>
      </c>
      <c r="S26" s="110">
        <f t="shared" ref="S26:S36" si="7">MAX(B26:Q26)</f>
        <v>23.5</v>
      </c>
      <c r="T26" s="110">
        <f t="shared" si="3"/>
        <v>20.916666666666668</v>
      </c>
    </row>
    <row r="27" spans="1:20" ht="14">
      <c r="A27" s="354" t="s">
        <v>351</v>
      </c>
      <c r="B27" s="59">
        <v>4.2</v>
      </c>
      <c r="C27" s="59">
        <v>5.3</v>
      </c>
      <c r="D27" s="59">
        <v>5.3</v>
      </c>
      <c r="E27" s="53"/>
      <c r="F27" s="59">
        <v>12.4</v>
      </c>
      <c r="G27" s="367">
        <v>18.100000000000001</v>
      </c>
      <c r="H27" s="59">
        <v>21.7</v>
      </c>
      <c r="I27" s="59">
        <v>23.1</v>
      </c>
      <c r="J27" s="59">
        <v>22.2</v>
      </c>
      <c r="K27" s="59">
        <v>21.2</v>
      </c>
      <c r="L27" s="59">
        <v>21.3</v>
      </c>
      <c r="M27" s="59">
        <v>14.9</v>
      </c>
      <c r="N27" s="59"/>
      <c r="O27" s="59">
        <v>9.1</v>
      </c>
      <c r="P27" s="53">
        <v>5.7</v>
      </c>
      <c r="Q27" s="53"/>
      <c r="R27" s="109">
        <f t="shared" si="6"/>
        <v>14.192307692307692</v>
      </c>
      <c r="S27" s="110">
        <f t="shared" si="7"/>
        <v>23.1</v>
      </c>
      <c r="T27" s="110">
        <f t="shared" si="3"/>
        <v>20.733333333333334</v>
      </c>
    </row>
    <row r="28" spans="1:20" ht="14">
      <c r="A28" s="354" t="s">
        <v>158</v>
      </c>
      <c r="B28" s="59">
        <v>4.2</v>
      </c>
      <c r="C28" s="59">
        <v>5.3</v>
      </c>
      <c r="D28" s="59">
        <v>5.2</v>
      </c>
      <c r="E28" s="59"/>
      <c r="F28" s="59">
        <v>12.2</v>
      </c>
      <c r="G28" s="59">
        <v>18</v>
      </c>
      <c r="H28" s="59">
        <v>21.6</v>
      </c>
      <c r="I28" s="59">
        <v>23</v>
      </c>
      <c r="J28" s="59">
        <v>22</v>
      </c>
      <c r="K28" s="59">
        <v>21.1</v>
      </c>
      <c r="L28" s="59">
        <v>21.3</v>
      </c>
      <c r="M28" s="59">
        <v>14.8</v>
      </c>
      <c r="N28" s="59"/>
      <c r="O28" s="59">
        <v>8.3000000000000007</v>
      </c>
      <c r="P28" s="53">
        <v>5.6</v>
      </c>
      <c r="Q28" s="53"/>
      <c r="R28" s="109">
        <f t="shared" si="6"/>
        <v>14.046153846153848</v>
      </c>
      <c r="S28" s="110">
        <f t="shared" si="7"/>
        <v>23</v>
      </c>
      <c r="T28" s="110">
        <f>AVERAGE(H28:M28)</f>
        <v>20.633333333333329</v>
      </c>
    </row>
    <row r="29" spans="1:20" ht="14">
      <c r="A29" s="354" t="s">
        <v>352</v>
      </c>
      <c r="B29" s="59">
        <v>4.3</v>
      </c>
      <c r="C29" s="59">
        <v>5.6</v>
      </c>
      <c r="D29" s="59">
        <v>5.2</v>
      </c>
      <c r="E29" s="59"/>
      <c r="F29" s="59">
        <v>11.9</v>
      </c>
      <c r="G29" s="59">
        <v>17.899999999999999</v>
      </c>
      <c r="H29" s="59">
        <v>21.6</v>
      </c>
      <c r="I29" s="59">
        <v>23</v>
      </c>
      <c r="J29" s="59">
        <v>22</v>
      </c>
      <c r="K29" s="59">
        <v>21.1</v>
      </c>
      <c r="L29" s="59">
        <v>21.2</v>
      </c>
      <c r="M29" s="59">
        <v>14.8</v>
      </c>
      <c r="N29" s="59"/>
      <c r="O29" s="59">
        <v>8.1999999999999993</v>
      </c>
      <c r="P29" s="53">
        <v>5.6</v>
      </c>
      <c r="Q29" s="53"/>
      <c r="R29" s="109">
        <f t="shared" si="6"/>
        <v>14.030769230769229</v>
      </c>
      <c r="S29" s="110">
        <f t="shared" si="7"/>
        <v>23</v>
      </c>
      <c r="T29" s="110">
        <f t="shared" si="3"/>
        <v>20.616666666666664</v>
      </c>
    </row>
    <row r="30" spans="1:20" ht="14">
      <c r="A30" s="354" t="s">
        <v>159</v>
      </c>
      <c r="B30" s="59">
        <v>4.3</v>
      </c>
      <c r="C30" s="59">
        <v>5.7</v>
      </c>
      <c r="D30" s="59">
        <v>5.2</v>
      </c>
      <c r="E30" s="59"/>
      <c r="F30" s="59">
        <v>11.8</v>
      </c>
      <c r="G30" s="59">
        <v>17.899999999999999</v>
      </c>
      <c r="H30" s="59">
        <v>21.6</v>
      </c>
      <c r="I30" s="59">
        <v>22.9</v>
      </c>
      <c r="J30" s="59">
        <v>22</v>
      </c>
      <c r="K30" s="59">
        <v>21</v>
      </c>
      <c r="L30" s="59">
        <v>21.2</v>
      </c>
      <c r="M30" s="59">
        <v>14.7</v>
      </c>
      <c r="N30" s="59"/>
      <c r="O30" s="59">
        <v>8.1999999999999993</v>
      </c>
      <c r="P30" s="53">
        <v>5.6</v>
      </c>
      <c r="Q30" s="53"/>
      <c r="R30" s="109">
        <f t="shared" si="6"/>
        <v>14.007692307692306</v>
      </c>
      <c r="S30" s="110">
        <f t="shared" si="7"/>
        <v>22.9</v>
      </c>
      <c r="T30" s="110">
        <f t="shared" si="3"/>
        <v>20.566666666666666</v>
      </c>
    </row>
    <row r="31" spans="1:20" ht="14">
      <c r="A31" s="354" t="s">
        <v>353</v>
      </c>
      <c r="B31" s="59">
        <v>4.3</v>
      </c>
      <c r="C31" s="59">
        <v>5.6</v>
      </c>
      <c r="D31" s="59">
        <v>5.2</v>
      </c>
      <c r="E31" s="59"/>
      <c r="F31" s="59">
        <v>11.7</v>
      </c>
      <c r="G31" s="59">
        <v>17.899999999999999</v>
      </c>
      <c r="H31" s="59">
        <v>21.6</v>
      </c>
      <c r="I31" s="59">
        <v>22.9</v>
      </c>
      <c r="J31" s="59">
        <v>22</v>
      </c>
      <c r="K31" s="59">
        <v>21</v>
      </c>
      <c r="L31" s="59">
        <v>21.2</v>
      </c>
      <c r="M31" s="59">
        <v>14.7</v>
      </c>
      <c r="N31" s="59"/>
      <c r="O31" s="59">
        <v>8.1999999999999993</v>
      </c>
      <c r="P31" s="53">
        <v>5.6</v>
      </c>
      <c r="Q31" s="53"/>
      <c r="R31" s="109">
        <f t="shared" si="6"/>
        <v>13.992307692307689</v>
      </c>
      <c r="S31" s="110">
        <f t="shared" si="7"/>
        <v>22.9</v>
      </c>
      <c r="T31" s="110">
        <f t="shared" si="3"/>
        <v>20.566666666666666</v>
      </c>
    </row>
    <row r="32" spans="1:20" ht="14">
      <c r="A32" s="354" t="s">
        <v>160</v>
      </c>
      <c r="B32" s="59">
        <v>4.3</v>
      </c>
      <c r="C32" s="59">
        <v>5.5</v>
      </c>
      <c r="D32" s="59">
        <v>5.2</v>
      </c>
      <c r="E32" s="59"/>
      <c r="F32" s="59">
        <v>11.7</v>
      </c>
      <c r="G32" s="59">
        <v>17.8</v>
      </c>
      <c r="H32" s="59">
        <v>21.5</v>
      </c>
      <c r="I32" s="59">
        <v>22.9</v>
      </c>
      <c r="J32" s="59">
        <v>22</v>
      </c>
      <c r="K32" s="59">
        <v>21</v>
      </c>
      <c r="L32" s="59">
        <v>21.2</v>
      </c>
      <c r="M32" s="59">
        <v>14.6</v>
      </c>
      <c r="N32" s="59"/>
      <c r="O32" s="59">
        <v>8.1999999999999993</v>
      </c>
      <c r="P32" s="53">
        <v>5.6</v>
      </c>
      <c r="Q32" s="53"/>
      <c r="R32" s="109">
        <f t="shared" si="6"/>
        <v>13.96153846153846</v>
      </c>
      <c r="S32" s="110">
        <f t="shared" si="7"/>
        <v>22.9</v>
      </c>
      <c r="T32" s="110">
        <f t="shared" si="3"/>
        <v>20.533333333333335</v>
      </c>
    </row>
    <row r="33" spans="1:20" ht="14">
      <c r="A33" s="354" t="s">
        <v>161</v>
      </c>
      <c r="B33" s="59">
        <v>4.5</v>
      </c>
      <c r="C33" s="59">
        <v>5.5</v>
      </c>
      <c r="D33" s="59">
        <v>5.0999999999999996</v>
      </c>
      <c r="E33" s="59"/>
      <c r="F33" s="59">
        <v>10.8</v>
      </c>
      <c r="G33" s="59">
        <v>17.8</v>
      </c>
      <c r="H33" s="59">
        <v>21.5</v>
      </c>
      <c r="I33" s="59">
        <v>22.9</v>
      </c>
      <c r="J33" s="59">
        <v>22</v>
      </c>
      <c r="K33" s="59">
        <v>20.8</v>
      </c>
      <c r="L33" s="59">
        <v>21.2</v>
      </c>
      <c r="M33" s="59">
        <v>14.3</v>
      </c>
      <c r="N33" s="59"/>
      <c r="O33" s="59">
        <v>8.1999999999999993</v>
      </c>
      <c r="P33" s="53">
        <v>5.6</v>
      </c>
      <c r="Q33" s="53"/>
      <c r="R33" s="109">
        <f t="shared" si="6"/>
        <v>13.86153846153846</v>
      </c>
      <c r="S33" s="110">
        <f t="shared" si="7"/>
        <v>22.9</v>
      </c>
      <c r="T33" s="110">
        <f t="shared" si="3"/>
        <v>20.45</v>
      </c>
    </row>
    <row r="34" spans="1:20" ht="14">
      <c r="A34" s="354" t="s">
        <v>162</v>
      </c>
      <c r="B34" s="59">
        <v>4.5999999999999996</v>
      </c>
      <c r="C34" s="59">
        <v>5.4</v>
      </c>
      <c r="D34" s="59">
        <v>5</v>
      </c>
      <c r="E34" s="59"/>
      <c r="F34" s="59">
        <v>9</v>
      </c>
      <c r="G34" s="59">
        <v>17.8</v>
      </c>
      <c r="H34" s="59">
        <v>21.5</v>
      </c>
      <c r="I34" s="59">
        <v>22.8</v>
      </c>
      <c r="J34" s="59">
        <v>22</v>
      </c>
      <c r="K34" s="59">
        <v>20.8</v>
      </c>
      <c r="L34" s="59">
        <v>21.2</v>
      </c>
      <c r="M34" s="59">
        <v>13.9</v>
      </c>
      <c r="N34" s="59"/>
      <c r="O34" s="59">
        <v>8.1</v>
      </c>
      <c r="P34" s="53">
        <v>5.6</v>
      </c>
      <c r="Q34" s="53"/>
      <c r="R34" s="109">
        <f t="shared" si="6"/>
        <v>13.669230769230769</v>
      </c>
      <c r="S34" s="110">
        <f t="shared" si="7"/>
        <v>22.8</v>
      </c>
      <c r="T34" s="110">
        <f t="shared" si="3"/>
        <v>20.366666666666667</v>
      </c>
    </row>
    <row r="35" spans="1:20" ht="14">
      <c r="A35" s="354" t="s">
        <v>163</v>
      </c>
      <c r="B35" s="59">
        <v>4.7</v>
      </c>
      <c r="C35" s="59"/>
      <c r="D35" s="59">
        <v>4.9000000000000004</v>
      </c>
      <c r="E35" s="59"/>
      <c r="F35" s="59">
        <v>8.6999999999999993</v>
      </c>
      <c r="G35" s="59">
        <v>17.7</v>
      </c>
      <c r="H35" s="59">
        <v>21.5</v>
      </c>
      <c r="I35" s="59"/>
      <c r="J35" s="59">
        <v>22</v>
      </c>
      <c r="K35" s="59">
        <v>20.8</v>
      </c>
      <c r="L35" s="59">
        <v>21.2</v>
      </c>
      <c r="M35" s="59">
        <v>13.8</v>
      </c>
      <c r="N35" s="59"/>
      <c r="O35" s="59">
        <v>8.1</v>
      </c>
      <c r="P35" s="53">
        <v>5.6</v>
      </c>
      <c r="Q35" s="53"/>
      <c r="R35" s="109">
        <f t="shared" si="6"/>
        <v>13.545454545454545</v>
      </c>
      <c r="S35" s="110">
        <f t="shared" si="7"/>
        <v>22</v>
      </c>
      <c r="T35" s="110">
        <f t="shared" si="3"/>
        <v>19.86</v>
      </c>
    </row>
    <row r="36" spans="1:20" ht="14">
      <c r="A36" s="354" t="s">
        <v>164</v>
      </c>
      <c r="B36" s="59"/>
      <c r="C36" s="59"/>
      <c r="D36" s="59">
        <v>4.9000000000000004</v>
      </c>
      <c r="E36" s="59"/>
      <c r="F36" s="59">
        <v>8.5</v>
      </c>
      <c r="G36" s="59">
        <v>17.5</v>
      </c>
      <c r="H36" s="59">
        <v>21.5</v>
      </c>
      <c r="I36" s="59"/>
      <c r="J36" s="59">
        <v>21.9</v>
      </c>
      <c r="K36" s="59">
        <v>20.8</v>
      </c>
      <c r="L36" s="59">
        <v>21.1</v>
      </c>
      <c r="M36" s="59">
        <v>13.7</v>
      </c>
      <c r="N36" s="59"/>
      <c r="O36" s="59">
        <v>8.1999999999999993</v>
      </c>
      <c r="P36" s="53">
        <v>5.5</v>
      </c>
      <c r="Q36" s="53"/>
      <c r="R36" s="109">
        <f t="shared" si="6"/>
        <v>14.359999999999996</v>
      </c>
      <c r="S36" s="110">
        <f t="shared" si="7"/>
        <v>21.9</v>
      </c>
      <c r="T36" s="110">
        <f t="shared" si="3"/>
        <v>19.800000000000004</v>
      </c>
    </row>
    <row r="37" spans="1:20" ht="14">
      <c r="A37" s="362" t="s">
        <v>568</v>
      </c>
      <c r="B37" s="368">
        <f>AVERAGE(B25:B28)</f>
        <v>4.2</v>
      </c>
      <c r="C37" s="368">
        <f t="shared" ref="C37:P37" si="8">AVERAGE(C25:C28)</f>
        <v>5.3</v>
      </c>
      <c r="D37" s="368">
        <f t="shared" si="8"/>
        <v>5.35</v>
      </c>
      <c r="E37" s="368"/>
      <c r="F37" s="368">
        <f t="shared" si="8"/>
        <v>12.824999999999999</v>
      </c>
      <c r="G37" s="368">
        <f t="shared" si="8"/>
        <v>18.174999999999997</v>
      </c>
      <c r="H37" s="368">
        <f t="shared" si="8"/>
        <v>21.75</v>
      </c>
      <c r="I37" s="368">
        <f t="shared" si="8"/>
        <v>23.274999999999999</v>
      </c>
      <c r="J37" s="368">
        <f t="shared" si="8"/>
        <v>22.175000000000001</v>
      </c>
      <c r="K37" s="368">
        <f t="shared" si="8"/>
        <v>21.450000000000003</v>
      </c>
      <c r="L37" s="368">
        <f t="shared" si="8"/>
        <v>21.349999999999998</v>
      </c>
      <c r="M37" s="368">
        <f t="shared" si="8"/>
        <v>14.925000000000001</v>
      </c>
      <c r="N37" s="368"/>
      <c r="O37" s="368">
        <f t="shared" si="8"/>
        <v>9.1499999999999986</v>
      </c>
      <c r="P37" s="368">
        <f t="shared" si="8"/>
        <v>5.75</v>
      </c>
      <c r="Q37" s="368"/>
      <c r="R37" s="109"/>
      <c r="S37" s="110"/>
      <c r="T37" s="110"/>
    </row>
    <row r="38" spans="1:20" ht="14">
      <c r="A38" s="354" t="s">
        <v>562</v>
      </c>
      <c r="B38" s="368">
        <f>AVERAGE(B25:B36)</f>
        <v>4.3454545454545457</v>
      </c>
      <c r="C38" s="368">
        <f t="shared" ref="C38:O38" si="9">AVERAGE(C25:C36)</f>
        <v>5.45</v>
      </c>
      <c r="D38" s="368">
        <f t="shared" si="9"/>
        <v>5.1749999999999998</v>
      </c>
      <c r="E38" s="368"/>
      <c r="F38" s="368">
        <f t="shared" si="9"/>
        <v>11.283333333333333</v>
      </c>
      <c r="G38" s="368">
        <f t="shared" si="9"/>
        <v>17.916666666666668</v>
      </c>
      <c r="H38" s="368">
        <f t="shared" si="9"/>
        <v>21.608333333333331</v>
      </c>
      <c r="I38" s="368">
        <f t="shared" si="9"/>
        <v>23.050000000000004</v>
      </c>
      <c r="J38" s="368">
        <f t="shared" si="9"/>
        <v>22.049999999999997</v>
      </c>
      <c r="K38" s="368">
        <f t="shared" si="9"/>
        <v>21.091666666666672</v>
      </c>
      <c r="L38" s="368">
        <f t="shared" si="9"/>
        <v>21.241666666666664</v>
      </c>
      <c r="M38" s="368">
        <f t="shared" si="9"/>
        <v>14.516666666666667</v>
      </c>
      <c r="N38" s="368"/>
      <c r="O38" s="368">
        <f t="shared" si="9"/>
        <v>8.5</v>
      </c>
      <c r="P38" s="368">
        <f>AVERAGE(P25:P36)</f>
        <v>5.6416666666666684</v>
      </c>
      <c r="Q38" s="368"/>
      <c r="R38" s="109"/>
      <c r="S38" s="110"/>
      <c r="T38" s="110"/>
    </row>
    <row r="39" spans="1:20" ht="15" customHeight="1">
      <c r="A39" s="1194" t="s">
        <v>549</v>
      </c>
      <c r="B39" s="1195"/>
      <c r="C39" s="1195"/>
      <c r="D39" s="1195"/>
      <c r="E39" s="1195"/>
      <c r="F39" s="1195"/>
      <c r="G39" s="1195"/>
      <c r="H39" s="1195"/>
      <c r="I39" s="1195"/>
      <c r="J39" s="1195"/>
      <c r="K39" s="1195"/>
      <c r="L39" s="1195"/>
      <c r="M39" s="1195"/>
      <c r="N39" s="1195"/>
      <c r="O39" s="1195"/>
      <c r="P39" s="1195"/>
      <c r="Q39" s="1195"/>
      <c r="R39" s="1195"/>
      <c r="S39" s="1195"/>
      <c r="T39" s="1196"/>
    </row>
    <row r="40" spans="1:20" ht="14">
      <c r="A40" s="354" t="s">
        <v>350</v>
      </c>
      <c r="B40" s="59">
        <v>4.0999999999999996</v>
      </c>
      <c r="C40" s="59">
        <v>5.6</v>
      </c>
      <c r="D40" s="59">
        <v>5.5</v>
      </c>
      <c r="E40" s="59"/>
      <c r="F40" s="59">
        <v>13.7</v>
      </c>
      <c r="G40" s="59">
        <v>18.5</v>
      </c>
      <c r="H40" s="59">
        <v>22.3</v>
      </c>
      <c r="I40" s="59">
        <v>23.4</v>
      </c>
      <c r="J40" s="59">
        <v>22.2</v>
      </c>
      <c r="K40" s="59">
        <v>21.7</v>
      </c>
      <c r="L40" s="59">
        <v>21.3</v>
      </c>
      <c r="M40" s="59">
        <v>15</v>
      </c>
      <c r="N40" s="59"/>
      <c r="O40" s="59">
        <v>9</v>
      </c>
      <c r="P40" s="53">
        <v>5.9</v>
      </c>
      <c r="Q40" s="53"/>
      <c r="R40" s="109">
        <f>AVERAGE(B40:Q40)</f>
        <v>14.476923076923079</v>
      </c>
      <c r="S40" s="110">
        <f>MAX(B40:Q40)</f>
        <v>23.4</v>
      </c>
      <c r="T40" s="110">
        <f t="shared" si="3"/>
        <v>20.983333333333334</v>
      </c>
    </row>
    <row r="41" spans="1:20" ht="14">
      <c r="A41" s="354" t="s">
        <v>157</v>
      </c>
      <c r="B41" s="59">
        <v>4.0999999999999996</v>
      </c>
      <c r="C41" s="59">
        <v>5.6</v>
      </c>
      <c r="D41" s="59">
        <v>5.4</v>
      </c>
      <c r="E41" s="59"/>
      <c r="F41" s="59">
        <v>13.6</v>
      </c>
      <c r="G41" s="59">
        <v>18.2</v>
      </c>
      <c r="H41" s="59">
        <v>21.9</v>
      </c>
      <c r="I41" s="59">
        <v>23.4</v>
      </c>
      <c r="J41" s="59">
        <v>22.2</v>
      </c>
      <c r="K41" s="59">
        <v>21.2</v>
      </c>
      <c r="L41" s="59">
        <v>21.3</v>
      </c>
      <c r="M41" s="59">
        <v>14.9</v>
      </c>
      <c r="N41" s="59"/>
      <c r="O41" s="59">
        <v>8.4</v>
      </c>
      <c r="P41" s="53">
        <v>5.8</v>
      </c>
      <c r="Q41" s="53"/>
      <c r="R41" s="109">
        <f t="shared" ref="R41:R48" si="10">AVERAGE(B41:Q41)</f>
        <v>14.30769230769231</v>
      </c>
      <c r="S41" s="110">
        <f t="shared" ref="S41:S48" si="11">MAX(B41:Q41)</f>
        <v>23.4</v>
      </c>
      <c r="T41" s="110">
        <f t="shared" si="3"/>
        <v>20.816666666666666</v>
      </c>
    </row>
    <row r="42" spans="1:20" ht="14">
      <c r="A42" s="354" t="s">
        <v>351</v>
      </c>
      <c r="B42" s="59">
        <v>4</v>
      </c>
      <c r="C42" s="59">
        <v>5.8</v>
      </c>
      <c r="D42" s="59">
        <v>5.4</v>
      </c>
      <c r="E42" s="59"/>
      <c r="F42" s="59">
        <v>13.5</v>
      </c>
      <c r="G42" s="59">
        <v>18</v>
      </c>
      <c r="H42" s="59">
        <v>21.8</v>
      </c>
      <c r="I42" s="59">
        <v>23.4</v>
      </c>
      <c r="J42" s="59">
        <v>22.2</v>
      </c>
      <c r="K42" s="59">
        <v>21.1</v>
      </c>
      <c r="L42" s="59">
        <v>21.4</v>
      </c>
      <c r="M42" s="59">
        <v>15</v>
      </c>
      <c r="N42" s="59"/>
      <c r="O42" s="59">
        <v>8.4</v>
      </c>
      <c r="P42" s="53">
        <v>5.7</v>
      </c>
      <c r="Q42" s="53"/>
      <c r="R42" s="109">
        <f t="shared" si="10"/>
        <v>14.284615384615385</v>
      </c>
      <c r="S42" s="110">
        <f t="shared" si="11"/>
        <v>23.4</v>
      </c>
      <c r="T42" s="110">
        <f t="shared" si="3"/>
        <v>20.816666666666666</v>
      </c>
    </row>
    <row r="43" spans="1:20" ht="14">
      <c r="A43" s="354" t="s">
        <v>158</v>
      </c>
      <c r="B43" s="59">
        <v>4</v>
      </c>
      <c r="C43" s="59">
        <v>5.8</v>
      </c>
      <c r="D43" s="59">
        <v>5.0999999999999996</v>
      </c>
      <c r="E43" s="59"/>
      <c r="F43" s="59">
        <v>13.4</v>
      </c>
      <c r="G43" s="59">
        <v>18</v>
      </c>
      <c r="H43" s="59">
        <v>21.7</v>
      </c>
      <c r="I43" s="59">
        <v>23.4</v>
      </c>
      <c r="J43" s="59">
        <v>22.1</v>
      </c>
      <c r="K43" s="59">
        <v>21</v>
      </c>
      <c r="L43" s="59">
        <v>21.3</v>
      </c>
      <c r="M43" s="59">
        <v>14.9</v>
      </c>
      <c r="N43" s="59"/>
      <c r="O43" s="59">
        <v>8.4</v>
      </c>
      <c r="P43" s="53">
        <v>5.6</v>
      </c>
      <c r="Q43" s="53"/>
      <c r="R43" s="109">
        <f t="shared" si="10"/>
        <v>14.207692307692309</v>
      </c>
      <c r="S43" s="110">
        <f t="shared" si="11"/>
        <v>23.4</v>
      </c>
      <c r="T43" s="110">
        <f t="shared" si="3"/>
        <v>20.733333333333331</v>
      </c>
    </row>
    <row r="44" spans="1:20" ht="14">
      <c r="A44" s="354" t="s">
        <v>352</v>
      </c>
      <c r="B44" s="59">
        <v>4</v>
      </c>
      <c r="C44" s="59">
        <v>5.8</v>
      </c>
      <c r="D44" s="59">
        <v>5.0999999999999996</v>
      </c>
      <c r="E44" s="59"/>
      <c r="F44" s="59">
        <v>12.9</v>
      </c>
      <c r="G44" s="59">
        <v>17.899999999999999</v>
      </c>
      <c r="H44" s="59">
        <v>21.7</v>
      </c>
      <c r="I44" s="59">
        <v>23.4</v>
      </c>
      <c r="J44" s="59">
        <v>22</v>
      </c>
      <c r="K44" s="59">
        <v>21</v>
      </c>
      <c r="L44" s="59">
        <v>21.3</v>
      </c>
      <c r="M44" s="59">
        <v>14.8</v>
      </c>
      <c r="N44" s="59"/>
      <c r="O44" s="59">
        <v>8.3000000000000007</v>
      </c>
      <c r="P44" s="53">
        <v>5.5</v>
      </c>
      <c r="Q44" s="53"/>
      <c r="R44" s="109">
        <f t="shared" si="10"/>
        <v>14.130769230769234</v>
      </c>
      <c r="S44" s="110">
        <f t="shared" si="11"/>
        <v>23.4</v>
      </c>
      <c r="T44" s="110">
        <f t="shared" si="3"/>
        <v>20.7</v>
      </c>
    </row>
    <row r="45" spans="1:20" ht="14">
      <c r="A45" s="354" t="s">
        <v>159</v>
      </c>
      <c r="B45" s="59">
        <v>4.0999999999999996</v>
      </c>
      <c r="C45" s="59">
        <v>5.8</v>
      </c>
      <c r="D45" s="59">
        <v>5.0999999999999996</v>
      </c>
      <c r="E45" s="59"/>
      <c r="F45" s="59">
        <v>12.4</v>
      </c>
      <c r="G45" s="59">
        <v>17.899999999999999</v>
      </c>
      <c r="H45" s="59">
        <v>21.7</v>
      </c>
      <c r="I45" s="59">
        <v>23</v>
      </c>
      <c r="J45" s="59">
        <v>22</v>
      </c>
      <c r="K45" s="59">
        <v>21</v>
      </c>
      <c r="L45" s="59">
        <v>21.3</v>
      </c>
      <c r="M45" s="59">
        <v>14.8</v>
      </c>
      <c r="N45" s="59"/>
      <c r="O45" s="59">
        <v>8.3000000000000007</v>
      </c>
      <c r="P45" s="53">
        <v>5.5</v>
      </c>
      <c r="Q45" s="53"/>
      <c r="R45" s="109">
        <f t="shared" si="10"/>
        <v>14.069230769230773</v>
      </c>
      <c r="S45" s="110">
        <f t="shared" si="11"/>
        <v>23</v>
      </c>
      <c r="T45" s="110">
        <f t="shared" si="3"/>
        <v>20.633333333333333</v>
      </c>
    </row>
    <row r="46" spans="1:20" ht="14">
      <c r="A46" s="354" t="s">
        <v>353</v>
      </c>
      <c r="B46" s="59">
        <v>4.0999999999999996</v>
      </c>
      <c r="C46" s="59">
        <v>5.8</v>
      </c>
      <c r="D46" s="59">
        <v>5</v>
      </c>
      <c r="E46" s="59"/>
      <c r="F46" s="59">
        <v>11.9</v>
      </c>
      <c r="G46" s="59">
        <v>17.899999999999999</v>
      </c>
      <c r="H46" s="59">
        <v>21.6</v>
      </c>
      <c r="I46" s="59">
        <v>23</v>
      </c>
      <c r="J46" s="59">
        <v>22</v>
      </c>
      <c r="K46" s="59">
        <v>20.8</v>
      </c>
      <c r="L46" s="59">
        <v>21.3</v>
      </c>
      <c r="M46" s="59">
        <v>14.8</v>
      </c>
      <c r="N46" s="59"/>
      <c r="O46" s="59">
        <v>8.3000000000000007</v>
      </c>
      <c r="P46" s="53">
        <v>5.5</v>
      </c>
      <c r="Q46" s="53"/>
      <c r="R46" s="109">
        <f t="shared" si="10"/>
        <v>14.000000000000002</v>
      </c>
      <c r="S46" s="110">
        <f t="shared" si="11"/>
        <v>23</v>
      </c>
      <c r="T46" s="110">
        <f t="shared" si="3"/>
        <v>20.583333333333332</v>
      </c>
    </row>
    <row r="47" spans="1:20" ht="14">
      <c r="A47" s="354" t="s">
        <v>160</v>
      </c>
      <c r="B47" s="59">
        <v>4.0999999999999996</v>
      </c>
      <c r="C47" s="59">
        <v>5.8</v>
      </c>
      <c r="D47" s="59">
        <v>4.8</v>
      </c>
      <c r="E47" s="59"/>
      <c r="F47" s="59">
        <v>11.8</v>
      </c>
      <c r="G47" s="59">
        <v>17.8</v>
      </c>
      <c r="H47" s="59">
        <v>21.6</v>
      </c>
      <c r="I47" s="59">
        <v>22.9</v>
      </c>
      <c r="J47" s="59">
        <v>22</v>
      </c>
      <c r="K47" s="59">
        <v>20.8</v>
      </c>
      <c r="L47" s="59">
        <v>21.3</v>
      </c>
      <c r="M47" s="59">
        <v>14.8</v>
      </c>
      <c r="N47" s="59"/>
      <c r="O47" s="59">
        <v>8.1999999999999993</v>
      </c>
      <c r="P47" s="53">
        <v>5.5</v>
      </c>
      <c r="Q47" s="53"/>
      <c r="R47" s="109">
        <f t="shared" si="10"/>
        <v>13.953846153846156</v>
      </c>
      <c r="S47" s="110">
        <f t="shared" si="11"/>
        <v>22.9</v>
      </c>
      <c r="T47" s="110">
        <f t="shared" si="3"/>
        <v>20.566666666666666</v>
      </c>
    </row>
    <row r="48" spans="1:20" ht="14">
      <c r="A48" s="354" t="s">
        <v>161</v>
      </c>
      <c r="B48" s="59"/>
      <c r="C48" s="59">
        <v>5.8</v>
      </c>
      <c r="D48" s="59">
        <v>4.7</v>
      </c>
      <c r="E48" s="59"/>
      <c r="F48" s="59">
        <v>11.1</v>
      </c>
      <c r="G48" s="59">
        <v>17.8</v>
      </c>
      <c r="H48" s="59">
        <v>21.5</v>
      </c>
      <c r="I48" s="59">
        <v>22.8</v>
      </c>
      <c r="J48" s="59">
        <v>21.8</v>
      </c>
      <c r="K48" s="59">
        <v>20.8</v>
      </c>
      <c r="L48" s="59">
        <v>21.3</v>
      </c>
      <c r="M48" s="59">
        <v>14.8</v>
      </c>
      <c r="N48" s="59"/>
      <c r="O48" s="59">
        <v>8.1</v>
      </c>
      <c r="P48" s="53">
        <v>5.4</v>
      </c>
      <c r="Q48" s="53"/>
      <c r="R48" s="109">
        <f t="shared" si="10"/>
        <v>14.658333333333333</v>
      </c>
      <c r="S48" s="110">
        <f t="shared" si="11"/>
        <v>22.8</v>
      </c>
      <c r="T48" s="110">
        <f t="shared" si="3"/>
        <v>20.499999999999996</v>
      </c>
    </row>
    <row r="49" spans="1:20" ht="14">
      <c r="A49" s="362" t="s">
        <v>568</v>
      </c>
      <c r="B49" s="368">
        <f>AVERAGE(B40:B43)</f>
        <v>4.05</v>
      </c>
      <c r="C49" s="368">
        <f t="shared" ref="C49:P49" si="12">AVERAGE(C40:C43)</f>
        <v>5.7</v>
      </c>
      <c r="D49" s="368">
        <f t="shared" si="12"/>
        <v>5.35</v>
      </c>
      <c r="E49" s="368"/>
      <c r="F49" s="368">
        <f t="shared" si="12"/>
        <v>13.549999999999999</v>
      </c>
      <c r="G49" s="368">
        <f t="shared" si="12"/>
        <v>18.175000000000001</v>
      </c>
      <c r="H49" s="368">
        <f t="shared" si="12"/>
        <v>21.925000000000001</v>
      </c>
      <c r="I49" s="368">
        <f t="shared" si="12"/>
        <v>23.4</v>
      </c>
      <c r="J49" s="368">
        <f t="shared" si="12"/>
        <v>22.174999999999997</v>
      </c>
      <c r="K49" s="368">
        <f t="shared" si="12"/>
        <v>21.25</v>
      </c>
      <c r="L49" s="368">
        <f t="shared" si="12"/>
        <v>21.324999999999999</v>
      </c>
      <c r="M49" s="368">
        <f t="shared" si="12"/>
        <v>14.95</v>
      </c>
      <c r="N49" s="368"/>
      <c r="O49" s="368">
        <f t="shared" si="12"/>
        <v>8.5499999999999989</v>
      </c>
      <c r="P49" s="368">
        <f t="shared" si="12"/>
        <v>5.75</v>
      </c>
      <c r="Q49" s="368"/>
      <c r="R49" s="109"/>
      <c r="S49" s="110"/>
      <c r="T49" s="110"/>
    </row>
    <row r="50" spans="1:20" ht="14">
      <c r="A50" s="354" t="s">
        <v>562</v>
      </c>
      <c r="B50" s="368">
        <f t="shared" ref="B50:O50" si="13">AVERAGE(B40:B48)</f>
        <v>4.0625</v>
      </c>
      <c r="C50" s="368">
        <f t="shared" si="13"/>
        <v>5.7555555555555546</v>
      </c>
      <c r="D50" s="368">
        <f t="shared" si="13"/>
        <v>5.1222222222222227</v>
      </c>
      <c r="E50" s="368"/>
      <c r="F50" s="368">
        <f t="shared" si="13"/>
        <v>12.7</v>
      </c>
      <c r="G50" s="368">
        <f t="shared" si="13"/>
        <v>18.000000000000004</v>
      </c>
      <c r="H50" s="368">
        <f t="shared" si="13"/>
        <v>21.755555555555553</v>
      </c>
      <c r="I50" s="368">
        <f t="shared" si="13"/>
        <v>23.18888888888889</v>
      </c>
      <c r="J50" s="368">
        <f t="shared" si="13"/>
        <v>22.055555555555557</v>
      </c>
      <c r="K50" s="368">
        <f t="shared" si="13"/>
        <v>21.044444444444448</v>
      </c>
      <c r="L50" s="368">
        <f t="shared" si="13"/>
        <v>21.311111111111114</v>
      </c>
      <c r="M50" s="368">
        <f t="shared" si="13"/>
        <v>14.866666666666665</v>
      </c>
      <c r="N50" s="368"/>
      <c r="O50" s="368">
        <f t="shared" si="13"/>
        <v>8.3777777777777764</v>
      </c>
      <c r="P50" s="368">
        <f>AVERAGE(P40:P48)</f>
        <v>5.6</v>
      </c>
      <c r="Q50" s="368"/>
      <c r="R50" s="109"/>
      <c r="S50" s="110"/>
      <c r="T50" s="110"/>
    </row>
    <row r="51" spans="1:20" ht="15" customHeight="1">
      <c r="A51" s="1194" t="s">
        <v>550</v>
      </c>
      <c r="B51" s="1195"/>
      <c r="C51" s="1195"/>
      <c r="D51" s="1195"/>
      <c r="E51" s="1195"/>
      <c r="F51" s="1195"/>
      <c r="G51" s="1195"/>
      <c r="H51" s="1195"/>
      <c r="I51" s="1195"/>
      <c r="J51" s="1195"/>
      <c r="K51" s="1195"/>
      <c r="L51" s="1195"/>
      <c r="M51" s="1195"/>
      <c r="N51" s="1195"/>
      <c r="O51" s="1195"/>
      <c r="P51" s="1195"/>
      <c r="Q51" s="1195"/>
      <c r="R51" s="1195"/>
      <c r="S51" s="1195"/>
      <c r="T51" s="1196"/>
    </row>
    <row r="52" spans="1:20" ht="14">
      <c r="A52" s="354" t="s">
        <v>350</v>
      </c>
      <c r="B52" s="59">
        <v>4</v>
      </c>
      <c r="C52" s="59">
        <v>5.2</v>
      </c>
      <c r="D52" s="59">
        <v>5.6</v>
      </c>
      <c r="E52" s="53"/>
      <c r="F52" s="59">
        <v>13.3</v>
      </c>
      <c r="G52" s="59">
        <v>19.3</v>
      </c>
      <c r="H52" s="59">
        <v>22.3</v>
      </c>
      <c r="I52" s="59">
        <v>24</v>
      </c>
      <c r="J52" s="59">
        <v>22.8</v>
      </c>
      <c r="K52" s="59">
        <v>23.2</v>
      </c>
      <c r="L52" s="59">
        <v>21.8</v>
      </c>
      <c r="M52" s="59">
        <v>15.4</v>
      </c>
      <c r="N52" s="59"/>
      <c r="O52" s="59">
        <v>9.4</v>
      </c>
      <c r="P52" s="59">
        <v>5.9</v>
      </c>
      <c r="Q52" s="59">
        <v>2.4</v>
      </c>
      <c r="R52" s="109">
        <f>AVERAGE(B52:Q52)</f>
        <v>13.900000000000002</v>
      </c>
      <c r="S52" s="110">
        <f>MAX(B52:Q52)</f>
        <v>24</v>
      </c>
      <c r="T52" s="110">
        <f t="shared" si="3"/>
        <v>21.583333333333332</v>
      </c>
    </row>
    <row r="53" spans="1:20" ht="14">
      <c r="A53" s="354" t="s">
        <v>157</v>
      </c>
      <c r="B53" s="59">
        <v>4</v>
      </c>
      <c r="C53" s="59">
        <v>5.3</v>
      </c>
      <c r="D53" s="59">
        <v>5.4</v>
      </c>
      <c r="E53" s="53"/>
      <c r="F53" s="59">
        <v>13.2</v>
      </c>
      <c r="G53" s="59">
        <v>18.8</v>
      </c>
      <c r="H53" s="59">
        <v>22.3</v>
      </c>
      <c r="I53" s="59">
        <v>24</v>
      </c>
      <c r="J53" s="59">
        <v>22.8</v>
      </c>
      <c r="K53" s="59">
        <v>22.8</v>
      </c>
      <c r="L53" s="59">
        <v>21.7</v>
      </c>
      <c r="M53" s="59">
        <v>15.4</v>
      </c>
      <c r="N53" s="59"/>
      <c r="O53" s="59">
        <v>9.1</v>
      </c>
      <c r="P53" s="59">
        <v>5.8</v>
      </c>
      <c r="Q53" s="59">
        <v>2.9</v>
      </c>
      <c r="R53" s="109">
        <f t="shared" ref="R53:R59" si="14">AVERAGE(B53:Q53)</f>
        <v>13.821428571428571</v>
      </c>
      <c r="S53" s="110">
        <f t="shared" ref="S53:S59" si="15">MAX(B53:Q53)</f>
        <v>24</v>
      </c>
      <c r="T53" s="110">
        <f t="shared" si="3"/>
        <v>21.5</v>
      </c>
    </row>
    <row r="54" spans="1:20" ht="14">
      <c r="A54" s="354" t="s">
        <v>351</v>
      </c>
      <c r="B54" s="59">
        <v>4.0999999999999996</v>
      </c>
      <c r="C54" s="59">
        <v>5.4</v>
      </c>
      <c r="D54" s="59">
        <v>5.3</v>
      </c>
      <c r="E54" s="53"/>
      <c r="F54" s="59">
        <v>13</v>
      </c>
      <c r="G54" s="59">
        <v>18.399999999999999</v>
      </c>
      <c r="H54" s="59">
        <v>22.3</v>
      </c>
      <c r="I54" s="59">
        <v>24</v>
      </c>
      <c r="J54" s="59">
        <v>22.7</v>
      </c>
      <c r="K54" s="59">
        <v>21.6</v>
      </c>
      <c r="L54" s="59">
        <v>21.6</v>
      </c>
      <c r="M54" s="59">
        <v>15.3</v>
      </c>
      <c r="N54" s="59"/>
      <c r="O54" s="59">
        <v>8.9</v>
      </c>
      <c r="P54" s="59">
        <v>5.6</v>
      </c>
      <c r="Q54" s="59">
        <v>3</v>
      </c>
      <c r="R54" s="109">
        <f t="shared" si="14"/>
        <v>13.657142857142858</v>
      </c>
      <c r="S54" s="110">
        <f t="shared" si="15"/>
        <v>24</v>
      </c>
      <c r="T54" s="110">
        <f t="shared" si="3"/>
        <v>21.249999999999996</v>
      </c>
    </row>
    <row r="55" spans="1:20" ht="14">
      <c r="A55" s="354" t="s">
        <v>158</v>
      </c>
      <c r="B55" s="59">
        <v>4</v>
      </c>
      <c r="C55" s="59">
        <v>5.3</v>
      </c>
      <c r="D55" s="59">
        <v>5.3</v>
      </c>
      <c r="E55" s="53"/>
      <c r="F55" s="59">
        <v>13</v>
      </c>
      <c r="G55" s="59">
        <v>18.399999999999999</v>
      </c>
      <c r="H55" s="59">
        <v>22.2</v>
      </c>
      <c r="I55" s="59">
        <v>24</v>
      </c>
      <c r="J55" s="59">
        <v>22.7</v>
      </c>
      <c r="K55" s="59">
        <v>21.2</v>
      </c>
      <c r="L55" s="59">
        <v>21.6</v>
      </c>
      <c r="M55" s="59">
        <v>15.3</v>
      </c>
      <c r="N55" s="59"/>
      <c r="O55" s="59">
        <v>8.8000000000000007</v>
      </c>
      <c r="P55" s="59">
        <v>5.4</v>
      </c>
      <c r="Q55" s="59">
        <v>2.9</v>
      </c>
      <c r="R55" s="109">
        <f t="shared" si="14"/>
        <v>13.578571428571431</v>
      </c>
      <c r="S55" s="110">
        <f t="shared" si="15"/>
        <v>24</v>
      </c>
      <c r="T55" s="110">
        <f t="shared" si="3"/>
        <v>21.166666666666668</v>
      </c>
    </row>
    <row r="56" spans="1:20" ht="14">
      <c r="A56" s="354" t="s">
        <v>352</v>
      </c>
      <c r="B56" s="59">
        <v>3.7</v>
      </c>
      <c r="C56" s="59">
        <v>5.2</v>
      </c>
      <c r="D56" s="59">
        <v>5.2</v>
      </c>
      <c r="E56" s="53"/>
      <c r="F56" s="59">
        <v>12.9</v>
      </c>
      <c r="G56" s="59">
        <v>18.3</v>
      </c>
      <c r="H56" s="59">
        <v>22.2</v>
      </c>
      <c r="I56" s="59">
        <v>23.9</v>
      </c>
      <c r="J56" s="59">
        <v>22.7</v>
      </c>
      <c r="K56" s="59">
        <v>21</v>
      </c>
      <c r="L56" s="59">
        <v>21.5</v>
      </c>
      <c r="M56" s="59">
        <v>15.1</v>
      </c>
      <c r="N56" s="59"/>
      <c r="O56" s="59">
        <v>8.3000000000000007</v>
      </c>
      <c r="P56" s="59">
        <v>5.4</v>
      </c>
      <c r="Q56" s="59">
        <v>2.9</v>
      </c>
      <c r="R56" s="109">
        <f t="shared" si="14"/>
        <v>13.450000000000003</v>
      </c>
      <c r="S56" s="110">
        <f t="shared" si="15"/>
        <v>23.9</v>
      </c>
      <c r="T56" s="110">
        <f t="shared" si="3"/>
        <v>21.066666666666666</v>
      </c>
    </row>
    <row r="57" spans="1:20" ht="14">
      <c r="A57" s="354" t="s">
        <v>159</v>
      </c>
      <c r="B57" s="59"/>
      <c r="C57" s="59"/>
      <c r="D57" s="59">
        <v>5.2</v>
      </c>
      <c r="E57" s="53"/>
      <c r="F57" s="59">
        <v>12.9</v>
      </c>
      <c r="G57" s="59"/>
      <c r="H57" s="59">
        <v>22.2</v>
      </c>
      <c r="I57" s="59">
        <v>23.9</v>
      </c>
      <c r="J57" s="59">
        <v>22.3</v>
      </c>
      <c r="K57" s="59"/>
      <c r="L57" s="59"/>
      <c r="M57" s="59">
        <v>15</v>
      </c>
      <c r="N57" s="59"/>
      <c r="O57" s="59"/>
      <c r="P57" s="59">
        <v>5.3</v>
      </c>
      <c r="Q57" s="59">
        <v>2.8</v>
      </c>
      <c r="R57" s="109">
        <f t="shared" si="14"/>
        <v>13.699999999999998</v>
      </c>
      <c r="S57" s="110">
        <f t="shared" si="15"/>
        <v>23.9</v>
      </c>
      <c r="T57" s="110">
        <f t="shared" si="3"/>
        <v>20.849999999999998</v>
      </c>
    </row>
    <row r="58" spans="1:20" ht="14">
      <c r="A58" s="354" t="s">
        <v>353</v>
      </c>
      <c r="B58" s="59"/>
      <c r="C58" s="59"/>
      <c r="D58" s="59">
        <v>5.0999999999999996</v>
      </c>
      <c r="E58" s="53"/>
      <c r="F58" s="59"/>
      <c r="G58" s="59"/>
      <c r="H58" s="59">
        <v>21.6</v>
      </c>
      <c r="I58" s="59">
        <v>23.9</v>
      </c>
      <c r="J58" s="59">
        <v>22</v>
      </c>
      <c r="K58" s="59"/>
      <c r="L58" s="59"/>
      <c r="M58" s="59">
        <v>15</v>
      </c>
      <c r="N58" s="59"/>
      <c r="O58" s="59"/>
      <c r="P58" s="59">
        <v>5.3</v>
      </c>
      <c r="Q58" s="59"/>
      <c r="R58" s="109">
        <f t="shared" si="14"/>
        <v>15.483333333333333</v>
      </c>
      <c r="S58" s="110">
        <f t="shared" si="15"/>
        <v>23.9</v>
      </c>
      <c r="T58" s="110">
        <f t="shared" si="3"/>
        <v>20.625</v>
      </c>
    </row>
    <row r="59" spans="1:20" ht="14">
      <c r="A59" s="354" t="s">
        <v>160</v>
      </c>
      <c r="B59" s="59"/>
      <c r="C59" s="59"/>
      <c r="D59" s="59">
        <v>5</v>
      </c>
      <c r="E59" s="59"/>
      <c r="F59" s="59"/>
      <c r="G59" s="59"/>
      <c r="H59" s="59">
        <v>21.4</v>
      </c>
      <c r="I59" s="59">
        <v>23.5</v>
      </c>
      <c r="J59" s="59">
        <v>21.9</v>
      </c>
      <c r="K59" s="59"/>
      <c r="L59" s="59"/>
      <c r="M59" s="59">
        <v>14.9</v>
      </c>
      <c r="N59" s="59"/>
      <c r="O59" s="59"/>
      <c r="P59" s="59">
        <v>5.2</v>
      </c>
      <c r="Q59" s="59"/>
      <c r="R59" s="109">
        <f t="shared" si="14"/>
        <v>15.316666666666668</v>
      </c>
      <c r="S59" s="110">
        <f t="shared" si="15"/>
        <v>23.5</v>
      </c>
      <c r="T59" s="110">
        <f t="shared" si="3"/>
        <v>20.425000000000001</v>
      </c>
    </row>
    <row r="60" spans="1:20" ht="14">
      <c r="A60" s="362" t="s">
        <v>568</v>
      </c>
      <c r="B60" s="368">
        <f>AVERAGE(B52:B55)</f>
        <v>4.0250000000000004</v>
      </c>
      <c r="C60" s="368">
        <f t="shared" ref="C60:Q60" si="16">AVERAGE(C52:C55)</f>
        <v>5.3</v>
      </c>
      <c r="D60" s="368">
        <f t="shared" si="16"/>
        <v>5.4</v>
      </c>
      <c r="E60" s="368"/>
      <c r="F60" s="368">
        <f t="shared" si="16"/>
        <v>13.125</v>
      </c>
      <c r="G60" s="368">
        <f t="shared" si="16"/>
        <v>18.725000000000001</v>
      </c>
      <c r="H60" s="368">
        <f t="shared" si="16"/>
        <v>22.275000000000002</v>
      </c>
      <c r="I60" s="368">
        <f t="shared" si="16"/>
        <v>24</v>
      </c>
      <c r="J60" s="368">
        <f t="shared" si="16"/>
        <v>22.75</v>
      </c>
      <c r="K60" s="368">
        <f t="shared" si="16"/>
        <v>22.2</v>
      </c>
      <c r="L60" s="368">
        <f t="shared" si="16"/>
        <v>21.674999999999997</v>
      </c>
      <c r="M60" s="368">
        <f t="shared" si="16"/>
        <v>15.350000000000001</v>
      </c>
      <c r="N60" s="368"/>
      <c r="O60" s="368">
        <f t="shared" si="16"/>
        <v>9.0500000000000007</v>
      </c>
      <c r="P60" s="368">
        <f t="shared" si="16"/>
        <v>5.6749999999999989</v>
      </c>
      <c r="Q60" s="368">
        <f t="shared" si="16"/>
        <v>2.8000000000000003</v>
      </c>
      <c r="R60" s="109"/>
      <c r="S60" s="110"/>
      <c r="T60" s="110"/>
    </row>
    <row r="61" spans="1:20" ht="14">
      <c r="A61" s="354" t="s">
        <v>562</v>
      </c>
      <c r="B61" s="368">
        <f>AVERAGE(B52:B59)</f>
        <v>3.96</v>
      </c>
      <c r="C61" s="368">
        <f t="shared" ref="C61:O61" si="17">AVERAGE(C52:C59)</f>
        <v>5.2799999999999994</v>
      </c>
      <c r="D61" s="368">
        <f t="shared" si="17"/>
        <v>5.2625000000000002</v>
      </c>
      <c r="E61" s="368"/>
      <c r="F61" s="368">
        <f t="shared" si="17"/>
        <v>13.050000000000002</v>
      </c>
      <c r="G61" s="368">
        <f t="shared" si="17"/>
        <v>18.64</v>
      </c>
      <c r="H61" s="368">
        <f t="shared" si="17"/>
        <v>22.0625</v>
      </c>
      <c r="I61" s="368">
        <f t="shared" si="17"/>
        <v>23.900000000000002</v>
      </c>
      <c r="J61" s="368">
        <f t="shared" si="17"/>
        <v>22.487500000000001</v>
      </c>
      <c r="K61" s="368">
        <f t="shared" si="17"/>
        <v>21.96</v>
      </c>
      <c r="L61" s="368">
        <f t="shared" si="17"/>
        <v>21.639999999999997</v>
      </c>
      <c r="M61" s="368">
        <f t="shared" si="17"/>
        <v>15.175000000000001</v>
      </c>
      <c r="N61" s="368"/>
      <c r="O61" s="368">
        <f t="shared" si="17"/>
        <v>8.9</v>
      </c>
      <c r="P61" s="368">
        <f>AVERAGE(P52:P59)</f>
        <v>5.4874999999999989</v>
      </c>
      <c r="Q61" s="368">
        <f>AVERAGE(Q52:Q59)</f>
        <v>2.8166666666666669</v>
      </c>
      <c r="R61" s="109"/>
      <c r="S61" s="110"/>
      <c r="T61" s="110"/>
    </row>
    <row r="62" spans="1:20" ht="15" customHeight="1">
      <c r="A62" s="1194" t="s">
        <v>551</v>
      </c>
      <c r="B62" s="1195"/>
      <c r="C62" s="1195"/>
      <c r="D62" s="1195"/>
      <c r="E62" s="1195"/>
      <c r="F62" s="1195"/>
      <c r="G62" s="1195"/>
      <c r="H62" s="1195"/>
      <c r="I62" s="1195"/>
      <c r="J62" s="1195"/>
      <c r="K62" s="1195"/>
      <c r="L62" s="1195"/>
      <c r="M62" s="1195"/>
      <c r="N62" s="1195"/>
      <c r="O62" s="1195"/>
      <c r="P62" s="1195"/>
      <c r="Q62" s="1195"/>
      <c r="R62" s="1195"/>
      <c r="S62" s="1195"/>
      <c r="T62" s="1196"/>
    </row>
    <row r="63" spans="1:20" ht="14">
      <c r="A63" s="687" t="s">
        <v>350</v>
      </c>
      <c r="B63" s="59">
        <v>4</v>
      </c>
      <c r="C63" s="59">
        <v>5.0999999999999996</v>
      </c>
      <c r="D63" s="59">
        <v>6</v>
      </c>
      <c r="E63" s="59"/>
      <c r="F63" s="59">
        <v>13.9</v>
      </c>
      <c r="G63" s="59">
        <v>19.399999999999999</v>
      </c>
      <c r="H63" s="59">
        <v>22.2</v>
      </c>
      <c r="I63" s="59">
        <v>24.1</v>
      </c>
      <c r="J63" s="59">
        <v>22.7</v>
      </c>
      <c r="K63" s="59">
        <v>22.6</v>
      </c>
      <c r="L63" s="59">
        <v>21.9</v>
      </c>
      <c r="M63" s="59">
        <v>15.5</v>
      </c>
      <c r="N63" s="59"/>
      <c r="O63" s="59">
        <v>9.8000000000000007</v>
      </c>
      <c r="P63" s="53">
        <v>5.9</v>
      </c>
      <c r="Q63" s="53">
        <v>2.2999999999999998</v>
      </c>
      <c r="R63" s="109">
        <f>AVERAGE(B63:Q63)</f>
        <v>13.957142857142859</v>
      </c>
      <c r="S63" s="110">
        <f>MAX(B63:Q63)</f>
        <v>24.1</v>
      </c>
      <c r="T63" s="110">
        <f t="shared" si="3"/>
        <v>21.5</v>
      </c>
    </row>
    <row r="64" spans="1:20" ht="14">
      <c r="A64" s="687" t="s">
        <v>157</v>
      </c>
      <c r="B64" s="59">
        <v>4.2</v>
      </c>
      <c r="C64" s="59">
        <v>5.2</v>
      </c>
      <c r="D64" s="59">
        <v>5.7</v>
      </c>
      <c r="E64" s="59"/>
      <c r="F64" s="59">
        <v>13.8</v>
      </c>
      <c r="G64" s="59">
        <v>19</v>
      </c>
      <c r="H64" s="59">
        <v>22.1</v>
      </c>
      <c r="I64" s="59">
        <v>24</v>
      </c>
      <c r="J64" s="59">
        <v>22.6</v>
      </c>
      <c r="K64" s="59">
        <v>22.6</v>
      </c>
      <c r="L64" s="59">
        <v>21.6</v>
      </c>
      <c r="M64" s="59">
        <v>15.6</v>
      </c>
      <c r="N64" s="59"/>
      <c r="O64" s="59">
        <v>8.8000000000000007</v>
      </c>
      <c r="P64" s="53">
        <v>5.7</v>
      </c>
      <c r="Q64" s="53">
        <v>2.7</v>
      </c>
      <c r="R64" s="109">
        <f t="shared" ref="R64:R72" si="18">AVERAGE(B64:Q64)</f>
        <v>13.828571428571426</v>
      </c>
      <c r="S64" s="110">
        <f t="shared" ref="S64:S72" si="19">MAX(B64:Q64)</f>
        <v>24</v>
      </c>
      <c r="T64" s="110">
        <f t="shared" si="3"/>
        <v>21.416666666666668</v>
      </c>
    </row>
    <row r="65" spans="1:20" ht="14">
      <c r="A65" s="687" t="s">
        <v>351</v>
      </c>
      <c r="B65" s="59">
        <v>4.0999999999999996</v>
      </c>
      <c r="C65" s="59">
        <v>5.4</v>
      </c>
      <c r="D65" s="59">
        <v>5.4</v>
      </c>
      <c r="E65" s="59"/>
      <c r="F65" s="59">
        <v>13.6</v>
      </c>
      <c r="G65" s="59">
        <v>18.5</v>
      </c>
      <c r="H65" s="59">
        <v>22</v>
      </c>
      <c r="I65" s="59">
        <v>24</v>
      </c>
      <c r="J65" s="59">
        <v>22.4</v>
      </c>
      <c r="K65" s="59">
        <v>22.5</v>
      </c>
      <c r="L65" s="59">
        <v>21.4</v>
      </c>
      <c r="M65" s="59">
        <v>15.5</v>
      </c>
      <c r="N65" s="59"/>
      <c r="O65" s="59">
        <v>8.5</v>
      </c>
      <c r="P65" s="53">
        <v>5.6</v>
      </c>
      <c r="Q65" s="53">
        <v>2.8</v>
      </c>
      <c r="R65" s="109">
        <f t="shared" si="18"/>
        <v>13.692857142857145</v>
      </c>
      <c r="S65" s="110">
        <f t="shared" si="19"/>
        <v>24</v>
      </c>
      <c r="T65" s="110">
        <f t="shared" si="3"/>
        <v>21.3</v>
      </c>
    </row>
    <row r="66" spans="1:20" ht="14">
      <c r="A66" s="687" t="s">
        <v>158</v>
      </c>
      <c r="B66" s="59">
        <v>4</v>
      </c>
      <c r="C66" s="59">
        <v>5.4</v>
      </c>
      <c r="D66" s="59">
        <v>5.4</v>
      </c>
      <c r="E66" s="59"/>
      <c r="F66" s="59">
        <v>13.5</v>
      </c>
      <c r="G66" s="59">
        <v>18.3</v>
      </c>
      <c r="H66" s="59">
        <v>22</v>
      </c>
      <c r="I66" s="59">
        <v>23.9</v>
      </c>
      <c r="J66" s="59">
        <v>22.2</v>
      </c>
      <c r="K66" s="59">
        <v>21.4</v>
      </c>
      <c r="L66" s="59">
        <v>21.4</v>
      </c>
      <c r="M66" s="59">
        <v>15.1</v>
      </c>
      <c r="N66" s="59"/>
      <c r="O66" s="59">
        <v>8.4</v>
      </c>
      <c r="P66" s="53">
        <v>5.5</v>
      </c>
      <c r="Q66" s="53">
        <v>2.9</v>
      </c>
      <c r="R66" s="109">
        <f t="shared" si="18"/>
        <v>13.528571428571428</v>
      </c>
      <c r="S66" s="110">
        <f t="shared" si="19"/>
        <v>23.9</v>
      </c>
      <c r="T66" s="110">
        <f t="shared" si="3"/>
        <v>21</v>
      </c>
    </row>
    <row r="67" spans="1:20" ht="14">
      <c r="A67" s="687" t="s">
        <v>352</v>
      </c>
      <c r="B67" s="59">
        <v>4</v>
      </c>
      <c r="C67" s="59">
        <v>5.3</v>
      </c>
      <c r="D67" s="59">
        <v>5.3</v>
      </c>
      <c r="E67" s="59"/>
      <c r="F67" s="59">
        <v>13.4</v>
      </c>
      <c r="G67" s="59">
        <v>18.100000000000001</v>
      </c>
      <c r="H67" s="59">
        <v>21.9</v>
      </c>
      <c r="I67" s="59">
        <v>23.9</v>
      </c>
      <c r="J67" s="59">
        <v>21.9</v>
      </c>
      <c r="K67" s="59">
        <v>21.3</v>
      </c>
      <c r="L67" s="59">
        <v>21.2</v>
      </c>
      <c r="M67" s="59">
        <v>15.1</v>
      </c>
      <c r="N67" s="59"/>
      <c r="O67" s="59">
        <v>8.5</v>
      </c>
      <c r="P67" s="53">
        <v>5.4</v>
      </c>
      <c r="Q67" s="53">
        <v>2.9</v>
      </c>
      <c r="R67" s="109">
        <f t="shared" si="18"/>
        <v>13.442857142857145</v>
      </c>
      <c r="S67" s="110">
        <f t="shared" si="19"/>
        <v>23.9</v>
      </c>
      <c r="T67" s="110">
        <f t="shared" si="3"/>
        <v>20.883333333333329</v>
      </c>
    </row>
    <row r="68" spans="1:20" ht="14">
      <c r="A68" s="687" t="s">
        <v>159</v>
      </c>
      <c r="B68" s="59">
        <v>4.3</v>
      </c>
      <c r="C68" s="59">
        <v>5.2</v>
      </c>
      <c r="D68" s="59">
        <v>5.3</v>
      </c>
      <c r="E68" s="59"/>
      <c r="F68" s="59">
        <v>12</v>
      </c>
      <c r="G68" s="59">
        <v>18</v>
      </c>
      <c r="H68" s="59">
        <v>21.9</v>
      </c>
      <c r="I68" s="59">
        <v>23.7</v>
      </c>
      <c r="J68" s="59">
        <v>21.9</v>
      </c>
      <c r="K68" s="59">
        <v>21.1</v>
      </c>
      <c r="L68" s="59">
        <v>21.2</v>
      </c>
      <c r="M68" s="59">
        <v>15</v>
      </c>
      <c r="N68" s="59"/>
      <c r="O68" s="59">
        <v>8.3000000000000007</v>
      </c>
      <c r="P68" s="53">
        <v>5.4</v>
      </c>
      <c r="Q68" s="53">
        <v>3</v>
      </c>
      <c r="R68" s="109">
        <f t="shared" si="18"/>
        <v>13.307142857142855</v>
      </c>
      <c r="S68" s="110">
        <f t="shared" si="19"/>
        <v>23.7</v>
      </c>
      <c r="T68" s="110">
        <f t="shared" si="3"/>
        <v>20.8</v>
      </c>
    </row>
    <row r="69" spans="1:20" ht="14">
      <c r="A69" s="687" t="s">
        <v>353</v>
      </c>
      <c r="B69" s="59">
        <v>4.3</v>
      </c>
      <c r="C69" s="59">
        <v>5.0999999999999996</v>
      </c>
      <c r="D69" s="59">
        <v>5.3</v>
      </c>
      <c r="E69" s="59"/>
      <c r="F69" s="59">
        <v>11.6</v>
      </c>
      <c r="G69" s="59">
        <v>17.899999999999999</v>
      </c>
      <c r="H69" s="59">
        <v>21.7</v>
      </c>
      <c r="I69" s="59">
        <v>23.4</v>
      </c>
      <c r="J69" s="59">
        <v>21.9</v>
      </c>
      <c r="K69" s="59">
        <v>21</v>
      </c>
      <c r="L69" s="59">
        <v>21.1</v>
      </c>
      <c r="M69" s="59">
        <v>14.8</v>
      </c>
      <c r="N69" s="59"/>
      <c r="O69" s="59">
        <v>8.3000000000000007</v>
      </c>
      <c r="P69" s="53">
        <v>5.4</v>
      </c>
      <c r="Q69" s="53">
        <v>3.2</v>
      </c>
      <c r="R69" s="109">
        <f t="shared" si="18"/>
        <v>13.214285714285714</v>
      </c>
      <c r="S69" s="110">
        <f t="shared" si="19"/>
        <v>23.4</v>
      </c>
      <c r="T69" s="110">
        <f t="shared" si="3"/>
        <v>20.65</v>
      </c>
    </row>
    <row r="70" spans="1:20" ht="14">
      <c r="A70" s="687" t="s">
        <v>160</v>
      </c>
      <c r="B70" s="59">
        <v>4.3</v>
      </c>
      <c r="C70" s="59">
        <v>5.0999999999999996</v>
      </c>
      <c r="D70" s="59">
        <v>5.3</v>
      </c>
      <c r="E70" s="59"/>
      <c r="F70" s="59">
        <v>10.7</v>
      </c>
      <c r="G70" s="59">
        <v>17.899999999999999</v>
      </c>
      <c r="H70" s="59">
        <v>21.6</v>
      </c>
      <c r="I70" s="59">
        <v>23.3</v>
      </c>
      <c r="J70" s="59">
        <v>21.9</v>
      </c>
      <c r="K70" s="59">
        <v>21</v>
      </c>
      <c r="L70" s="59">
        <v>21</v>
      </c>
      <c r="M70" s="59">
        <v>14.2</v>
      </c>
      <c r="N70" s="59"/>
      <c r="O70" s="59">
        <v>8.3000000000000007</v>
      </c>
      <c r="P70" s="53">
        <v>5.4</v>
      </c>
      <c r="Q70" s="53">
        <v>3.3</v>
      </c>
      <c r="R70" s="109">
        <f t="shared" si="18"/>
        <v>13.092857142857143</v>
      </c>
      <c r="S70" s="110">
        <f t="shared" si="19"/>
        <v>23.3</v>
      </c>
      <c r="T70" s="110">
        <f>AVERAGE(H70:M70)</f>
        <v>20.500000000000004</v>
      </c>
    </row>
    <row r="71" spans="1:20" ht="14">
      <c r="A71" s="687" t="s">
        <v>161</v>
      </c>
      <c r="B71" s="59">
        <v>4.4000000000000004</v>
      </c>
      <c r="C71" s="59">
        <v>5.4</v>
      </c>
      <c r="D71" s="59">
        <v>5.2</v>
      </c>
      <c r="E71" s="59"/>
      <c r="F71" s="59">
        <v>9.1999999999999993</v>
      </c>
      <c r="G71" s="59">
        <v>17.8</v>
      </c>
      <c r="H71" s="59">
        <v>21.6</v>
      </c>
      <c r="I71" s="59">
        <v>23.2</v>
      </c>
      <c r="J71" s="59">
        <v>21.9</v>
      </c>
      <c r="K71" s="59">
        <v>20.9</v>
      </c>
      <c r="L71" s="59">
        <v>21</v>
      </c>
      <c r="M71" s="59">
        <v>13.7</v>
      </c>
      <c r="N71" s="59"/>
      <c r="O71" s="59">
        <v>8.1</v>
      </c>
      <c r="P71" s="53">
        <v>5.2</v>
      </c>
      <c r="Q71" s="53">
        <v>3.4</v>
      </c>
      <c r="R71" s="109">
        <f t="shared" si="18"/>
        <v>12.928571428571427</v>
      </c>
      <c r="S71" s="110">
        <f t="shared" si="19"/>
        <v>23.2</v>
      </c>
      <c r="T71" s="110">
        <f t="shared" si="3"/>
        <v>20.383333333333333</v>
      </c>
    </row>
    <row r="72" spans="1:20" ht="14">
      <c r="A72" s="354" t="s">
        <v>162</v>
      </c>
      <c r="B72" s="59">
        <v>4.5999999999999996</v>
      </c>
      <c r="C72" s="59">
        <v>5.6</v>
      </c>
      <c r="D72" s="59">
        <v>5.2</v>
      </c>
      <c r="E72" s="59"/>
      <c r="F72" s="59"/>
      <c r="G72" s="59">
        <v>17.8</v>
      </c>
      <c r="H72" s="59">
        <v>21.5</v>
      </c>
      <c r="I72" s="59">
        <v>23.1</v>
      </c>
      <c r="J72" s="59">
        <v>21.8</v>
      </c>
      <c r="K72" s="59">
        <v>20.8</v>
      </c>
      <c r="L72" s="59">
        <v>20.8</v>
      </c>
      <c r="M72" s="59">
        <v>13.4</v>
      </c>
      <c r="N72" s="59"/>
      <c r="O72" s="59">
        <v>7.9</v>
      </c>
      <c r="P72" s="53">
        <v>4.8</v>
      </c>
      <c r="Q72" s="53">
        <v>3.5</v>
      </c>
      <c r="R72" s="109">
        <f t="shared" si="18"/>
        <v>13.138461538461542</v>
      </c>
      <c r="S72" s="110">
        <f t="shared" si="19"/>
        <v>23.1</v>
      </c>
      <c r="T72" s="110">
        <f t="shared" si="3"/>
        <v>20.233333333333334</v>
      </c>
    </row>
    <row r="73" spans="1:20">
      <c r="A73" s="362" t="s">
        <v>568</v>
      </c>
      <c r="B73" s="368">
        <f>AVERAGE(B63:B66)</f>
        <v>4.0749999999999993</v>
      </c>
      <c r="C73" s="368">
        <f t="shared" ref="C73:Q73" si="20">AVERAGE(C63:C66)</f>
        <v>5.2750000000000004</v>
      </c>
      <c r="D73" s="368">
        <f t="shared" si="20"/>
        <v>5.625</v>
      </c>
      <c r="E73" s="368"/>
      <c r="F73" s="368">
        <f t="shared" si="20"/>
        <v>13.700000000000001</v>
      </c>
      <c r="G73" s="368">
        <f t="shared" si="20"/>
        <v>18.8</v>
      </c>
      <c r="H73" s="368">
        <f t="shared" si="20"/>
        <v>22.074999999999999</v>
      </c>
      <c r="I73" s="368">
        <f t="shared" si="20"/>
        <v>24</v>
      </c>
      <c r="J73" s="368">
        <f t="shared" si="20"/>
        <v>22.474999999999998</v>
      </c>
      <c r="K73" s="368">
        <f t="shared" si="20"/>
        <v>22.274999999999999</v>
      </c>
      <c r="L73" s="368">
        <f t="shared" si="20"/>
        <v>21.575000000000003</v>
      </c>
      <c r="M73" s="368">
        <f t="shared" si="20"/>
        <v>15.425000000000001</v>
      </c>
      <c r="N73" s="368"/>
      <c r="O73" s="368">
        <f t="shared" si="20"/>
        <v>8.875</v>
      </c>
      <c r="P73" s="368">
        <f t="shared" si="20"/>
        <v>5.6750000000000007</v>
      </c>
      <c r="Q73" s="368">
        <f t="shared" si="20"/>
        <v>2.6749999999999998</v>
      </c>
    </row>
    <row r="74" spans="1:20">
      <c r="A74" s="354" t="s">
        <v>562</v>
      </c>
      <c r="B74" s="368">
        <f t="shared" ref="B74:O74" si="21">AVERAGE(B63:B72)</f>
        <v>4.22</v>
      </c>
      <c r="C74" s="368">
        <f t="shared" si="21"/>
        <v>5.28</v>
      </c>
      <c r="D74" s="368">
        <f t="shared" si="21"/>
        <v>5.41</v>
      </c>
      <c r="E74" s="368"/>
      <c r="F74" s="368">
        <f t="shared" si="21"/>
        <v>12.411111111111111</v>
      </c>
      <c r="G74" s="368">
        <f t="shared" si="21"/>
        <v>18.270000000000003</v>
      </c>
      <c r="H74" s="368">
        <f t="shared" si="21"/>
        <v>21.849999999999998</v>
      </c>
      <c r="I74" s="368">
        <f t="shared" si="21"/>
        <v>23.66</v>
      </c>
      <c r="J74" s="368">
        <f t="shared" si="21"/>
        <v>22.12</v>
      </c>
      <c r="K74" s="368">
        <f t="shared" si="21"/>
        <v>21.520000000000003</v>
      </c>
      <c r="L74" s="368">
        <f t="shared" si="21"/>
        <v>21.26</v>
      </c>
      <c r="M74" s="368">
        <f t="shared" si="21"/>
        <v>14.790000000000001</v>
      </c>
      <c r="N74" s="368"/>
      <c r="O74" s="368">
        <f t="shared" si="21"/>
        <v>8.4899999999999984</v>
      </c>
      <c r="P74" s="368">
        <f>AVERAGE(P63:P72)</f>
        <v>5.43</v>
      </c>
      <c r="Q74" s="368">
        <f>AVERAGE(Q63:Q72)</f>
        <v>3</v>
      </c>
    </row>
  </sheetData>
  <mergeCells count="6">
    <mergeCell ref="A62:T62"/>
    <mergeCell ref="A1:Q1"/>
    <mergeCell ref="A6:T6"/>
    <mergeCell ref="A24:T24"/>
    <mergeCell ref="A39:T39"/>
    <mergeCell ref="A51:T51"/>
  </mergeCells>
  <phoneticPr fontId="0" type="noConversion"/>
  <pageMargins left="0.75" right="0.75" top="1" bottom="1" header="0.5" footer="0.5"/>
  <pageSetup scale="44"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
    <tabColor rgb="FF92D050"/>
    <pageSetUpPr fitToPage="1"/>
  </sheetPr>
  <dimension ref="A1:T75"/>
  <sheetViews>
    <sheetView topLeftCell="L13" zoomScale="75" zoomScaleNormal="75" workbookViewId="0">
      <selection activeCell="B5" sqref="B5:Q5"/>
    </sheetView>
  </sheetViews>
  <sheetFormatPr defaultColWidth="14.08984375" defaultRowHeight="13"/>
  <cols>
    <col min="1" max="1" width="31.6328125" style="1" bestFit="1" customWidth="1"/>
    <col min="2" max="2" width="9.453125" bestFit="1" customWidth="1"/>
    <col min="3" max="3" width="9.36328125" bestFit="1" customWidth="1"/>
    <col min="4" max="5" width="9.453125" bestFit="1" customWidth="1"/>
    <col min="6" max="6" width="9.90625" bestFit="1" customWidth="1"/>
    <col min="7" max="7" width="9.453125" bestFit="1" customWidth="1"/>
    <col min="8" max="10" width="9.54296875" bestFit="1" customWidth="1"/>
    <col min="11" max="11" width="9.90625" bestFit="1" customWidth="1"/>
    <col min="12" max="12" width="9.453125" bestFit="1" customWidth="1"/>
    <col min="13" max="13" width="9.90625" bestFit="1" customWidth="1"/>
    <col min="14" max="14" width="9.453125" bestFit="1" customWidth="1"/>
    <col min="15" max="16" width="9.54296875" bestFit="1" customWidth="1"/>
    <col min="17" max="17" width="10.54296875" bestFit="1" customWidth="1"/>
    <col min="18" max="18" width="10.08984375" customWidth="1"/>
    <col min="19" max="19" width="11.54296875" bestFit="1" customWidth="1"/>
  </cols>
  <sheetData>
    <row r="1" spans="1:20" ht="15.5">
      <c r="A1" s="1176" t="s">
        <v>552</v>
      </c>
      <c r="B1" s="1176"/>
      <c r="C1" s="1176"/>
      <c r="D1" s="1176"/>
      <c r="E1" s="1176"/>
      <c r="F1" s="1176"/>
      <c r="G1" s="1176"/>
      <c r="H1" s="1176"/>
      <c r="I1" s="1176"/>
      <c r="J1" s="1176"/>
      <c r="K1" s="1176"/>
      <c r="L1" s="1176"/>
      <c r="M1" s="1176"/>
      <c r="N1" s="1176"/>
      <c r="O1" s="1176"/>
      <c r="P1" s="1176"/>
      <c r="Q1" s="1176"/>
    </row>
    <row r="2" spans="1:20" ht="26">
      <c r="A2" s="74"/>
      <c r="B2" s="617">
        <v>41296</v>
      </c>
      <c r="C2" s="617">
        <v>41324</v>
      </c>
      <c r="D2" s="617">
        <v>41358</v>
      </c>
      <c r="E2" s="617">
        <v>41386</v>
      </c>
      <c r="F2" s="617">
        <v>41414</v>
      </c>
      <c r="G2" s="617">
        <v>41442</v>
      </c>
      <c r="H2" s="617">
        <v>41463</v>
      </c>
      <c r="I2" s="617">
        <v>41477</v>
      </c>
      <c r="J2" s="617">
        <v>41491</v>
      </c>
      <c r="K2" s="617">
        <v>41512</v>
      </c>
      <c r="L2" s="617">
        <v>41526</v>
      </c>
      <c r="M2" s="617">
        <v>41540</v>
      </c>
      <c r="N2" s="617">
        <v>41558</v>
      </c>
      <c r="O2" s="617">
        <v>41568</v>
      </c>
      <c r="P2" s="617">
        <v>41596</v>
      </c>
      <c r="Q2" s="617">
        <v>41624</v>
      </c>
      <c r="R2" s="75" t="s">
        <v>91</v>
      </c>
      <c r="S2" s="76" t="s">
        <v>83</v>
      </c>
      <c r="T2" s="76" t="s">
        <v>109</v>
      </c>
    </row>
    <row r="3" spans="1:20" ht="14">
      <c r="A3" s="77" t="s">
        <v>557</v>
      </c>
      <c r="B3" s="30">
        <v>2.14</v>
      </c>
      <c r="C3" s="30">
        <v>2.2200000000000002</v>
      </c>
      <c r="D3" s="30">
        <v>1.63</v>
      </c>
      <c r="E3" s="30">
        <v>1.37</v>
      </c>
      <c r="F3" s="30">
        <v>1.06</v>
      </c>
      <c r="G3" s="30">
        <v>1.42</v>
      </c>
      <c r="H3" s="30">
        <v>2.06</v>
      </c>
      <c r="I3" s="30">
        <v>0.56999999999999995</v>
      </c>
      <c r="J3" s="1001">
        <v>1.99</v>
      </c>
      <c r="K3" s="30">
        <v>2.2069999999999999</v>
      </c>
      <c r="L3" s="30">
        <v>2.62</v>
      </c>
      <c r="M3" s="30">
        <v>0.58299999999999996</v>
      </c>
      <c r="N3" s="30"/>
      <c r="O3" s="30">
        <v>0.89</v>
      </c>
      <c r="P3" s="30">
        <v>1.18</v>
      </c>
      <c r="Q3" s="30">
        <v>1.29</v>
      </c>
      <c r="R3" s="109">
        <f>AVERAGE(B3:Q3)</f>
        <v>1.5486666666666666</v>
      </c>
      <c r="S3" s="110">
        <f>MAX(B3:Q3)</f>
        <v>2.62</v>
      </c>
      <c r="T3" s="110">
        <f>AVERAGE(H3:M3)</f>
        <v>1.6716666666666666</v>
      </c>
    </row>
    <row r="4" spans="1:20" s="7" customFormat="1" ht="14">
      <c r="A4" s="78" t="s">
        <v>558</v>
      </c>
      <c r="B4" s="30">
        <v>0.435</v>
      </c>
      <c r="C4" s="30">
        <v>0.48699999999999999</v>
      </c>
      <c r="D4" s="30">
        <v>0.63900000000000001</v>
      </c>
      <c r="E4" s="30">
        <v>0.46300000000000002</v>
      </c>
      <c r="F4" s="30">
        <v>0.157</v>
      </c>
      <c r="G4" s="30">
        <v>0.18099999999999999</v>
      </c>
      <c r="H4" s="30">
        <v>0.191</v>
      </c>
      <c r="I4" s="30">
        <v>0.223</v>
      </c>
      <c r="J4" s="1001">
        <v>0.182</v>
      </c>
      <c r="K4" s="30">
        <v>0.14799999999999999</v>
      </c>
      <c r="L4" s="30">
        <v>0.13300000000000001</v>
      </c>
      <c r="M4" s="30">
        <v>0.155</v>
      </c>
      <c r="N4" s="30"/>
      <c r="O4" s="30">
        <v>0.21</v>
      </c>
      <c r="P4" s="30">
        <v>0.316</v>
      </c>
      <c r="Q4" s="30">
        <v>0.28000000000000003</v>
      </c>
      <c r="R4" s="109">
        <f>AVERAGE(B4:Q4)</f>
        <v>0.27999999999999997</v>
      </c>
      <c r="S4" s="110">
        <f>MAX(E4:R4)</f>
        <v>0.46300000000000002</v>
      </c>
      <c r="T4" s="110">
        <f t="shared" ref="T4:T67" si="0">AVERAGE(H4:M4)</f>
        <v>0.17200000000000001</v>
      </c>
    </row>
    <row r="5" spans="1:20" ht="14">
      <c r="A5" s="78" t="s">
        <v>559</v>
      </c>
      <c r="B5" s="30">
        <v>0.64200000000000002</v>
      </c>
      <c r="C5" s="30">
        <v>0.56699999999999995</v>
      </c>
      <c r="D5" s="30">
        <v>0.65600000000000003</v>
      </c>
      <c r="E5" s="30">
        <v>0.71</v>
      </c>
      <c r="F5" s="30">
        <v>0.33</v>
      </c>
      <c r="G5" s="30">
        <v>0.40200000000000002</v>
      </c>
      <c r="H5" s="30">
        <v>0.29599999999999999</v>
      </c>
      <c r="I5" s="30">
        <v>0.38800000000000001</v>
      </c>
      <c r="J5" s="1001">
        <v>0.38600000000000001</v>
      </c>
      <c r="K5" s="30">
        <v>0.35199999999999998</v>
      </c>
      <c r="L5" s="30">
        <v>0.34699999999999998</v>
      </c>
      <c r="M5" s="30">
        <v>0.159</v>
      </c>
      <c r="N5" s="30"/>
      <c r="O5" s="30">
        <v>0.28599999999999998</v>
      </c>
      <c r="P5" s="30">
        <v>0.35499999999999998</v>
      </c>
      <c r="Q5" s="30">
        <v>0.39900000000000002</v>
      </c>
      <c r="R5" s="109">
        <f>AVERAGE(B5:Q5)</f>
        <v>0.41833333333333328</v>
      </c>
      <c r="S5" s="110">
        <f>MAX(E5:R5)</f>
        <v>0.71</v>
      </c>
      <c r="T5" s="110">
        <f t="shared" si="0"/>
        <v>0.3213333333333333</v>
      </c>
    </row>
    <row r="6" spans="1:20" ht="15.5">
      <c r="A6" s="1200" t="s">
        <v>547</v>
      </c>
      <c r="B6" s="1201"/>
      <c r="C6" s="1201"/>
      <c r="D6" s="1201"/>
      <c r="E6" s="1201"/>
      <c r="F6" s="1201"/>
      <c r="G6" s="1201"/>
      <c r="H6" s="1201"/>
      <c r="I6" s="1201"/>
      <c r="J6" s="1201"/>
      <c r="K6" s="1201"/>
      <c r="L6" s="1201"/>
      <c r="M6" s="1201"/>
      <c r="N6" s="1201"/>
      <c r="O6" s="1201"/>
      <c r="P6" s="1201"/>
      <c r="Q6" s="1201"/>
      <c r="R6" s="1201"/>
      <c r="S6" s="1201"/>
      <c r="T6" s="1202"/>
    </row>
    <row r="7" spans="1:20" ht="14">
      <c r="A7" s="354" t="s">
        <v>350</v>
      </c>
      <c r="B7" s="30">
        <v>0.56499999999999995</v>
      </c>
      <c r="C7" s="30">
        <v>0.54600000000000004</v>
      </c>
      <c r="D7" s="30">
        <v>0.65200000000000002</v>
      </c>
      <c r="E7" s="30">
        <v>0.70499999999999996</v>
      </c>
      <c r="F7" s="30">
        <v>0.32700000000000001</v>
      </c>
      <c r="G7" s="276">
        <v>0.39600000000000002</v>
      </c>
      <c r="H7" s="276">
        <v>0.39700000000000002</v>
      </c>
      <c r="I7" s="276">
        <v>0.38600000000000001</v>
      </c>
      <c r="J7" s="1002">
        <v>0.38500000000000001</v>
      </c>
      <c r="K7" s="276">
        <v>0.34799999999999998</v>
      </c>
      <c r="L7" s="276">
        <v>0.30499999999999999</v>
      </c>
      <c r="M7" s="276">
        <v>0.188</v>
      </c>
      <c r="N7" s="276">
        <v>0.22600000000000001</v>
      </c>
      <c r="O7" s="276">
        <v>0.28499999999999998</v>
      </c>
      <c r="P7" s="276">
        <v>0.35</v>
      </c>
      <c r="Q7" s="276">
        <v>0.38400000000000001</v>
      </c>
      <c r="R7" s="461">
        <f>AVERAGE(B7:Q7)</f>
        <v>0.40281249999999996</v>
      </c>
      <c r="S7" s="462">
        <f>MAX(B7:Q7)</f>
        <v>0.70499999999999996</v>
      </c>
      <c r="T7" s="462">
        <f t="shared" si="0"/>
        <v>0.33483333333333332</v>
      </c>
    </row>
    <row r="8" spans="1:20" ht="14">
      <c r="A8" s="354" t="s">
        <v>157</v>
      </c>
      <c r="B8" s="30">
        <v>0.56599999999999995</v>
      </c>
      <c r="C8" s="30">
        <v>0.55000000000000004</v>
      </c>
      <c r="D8" s="30">
        <v>0.65100000000000002</v>
      </c>
      <c r="E8" s="30">
        <v>0.70399999999999996</v>
      </c>
      <c r="F8" s="30">
        <v>0.32600000000000001</v>
      </c>
      <c r="G8" s="276">
        <v>0.39700000000000002</v>
      </c>
      <c r="H8" s="276">
        <v>0.39700000000000002</v>
      </c>
      <c r="I8" s="276">
        <v>0.38600000000000001</v>
      </c>
      <c r="J8" s="1002">
        <v>0.38400000000000001</v>
      </c>
      <c r="K8" s="276">
        <v>0.34799999999999998</v>
      </c>
      <c r="L8" s="276">
        <v>0.30499999999999999</v>
      </c>
      <c r="M8" s="276">
        <v>0.188</v>
      </c>
      <c r="N8" s="276">
        <v>0.22600000000000001</v>
      </c>
      <c r="O8" s="276">
        <v>0.28499999999999998</v>
      </c>
      <c r="P8" s="276">
        <v>0.35</v>
      </c>
      <c r="Q8" s="276">
        <v>0.38600000000000001</v>
      </c>
      <c r="R8" s="461">
        <f t="shared" ref="R8:R20" si="1">AVERAGE(B8:Q8)</f>
        <v>0.40306249999999999</v>
      </c>
      <c r="S8" s="462">
        <f t="shared" ref="S8:S20" si="2">MAX(B8:Q8)</f>
        <v>0.70399999999999996</v>
      </c>
      <c r="T8" s="462">
        <f t="shared" si="0"/>
        <v>0.33466666666666667</v>
      </c>
    </row>
    <row r="9" spans="1:20" ht="14">
      <c r="A9" s="354" t="s">
        <v>351</v>
      </c>
      <c r="B9" s="30">
        <v>0.56499999999999995</v>
      </c>
      <c r="C9" s="30">
        <v>0.55900000000000005</v>
      </c>
      <c r="D9" s="30">
        <v>0.65200000000000002</v>
      </c>
      <c r="E9" s="30">
        <v>0.70299999999999996</v>
      </c>
      <c r="F9" s="30">
        <v>0.32500000000000001</v>
      </c>
      <c r="G9" s="276">
        <v>0.39700000000000002</v>
      </c>
      <c r="H9" s="276">
        <v>0.39700000000000002</v>
      </c>
      <c r="I9" s="276">
        <v>0.38600000000000001</v>
      </c>
      <c r="J9" s="1002">
        <v>0.38500000000000001</v>
      </c>
      <c r="K9" s="276">
        <v>0.34799999999999998</v>
      </c>
      <c r="L9" s="276">
        <v>0.30399999999999999</v>
      </c>
      <c r="M9" s="276">
        <v>0.188</v>
      </c>
      <c r="N9" s="276">
        <v>0.22600000000000001</v>
      </c>
      <c r="O9" s="276">
        <v>0.28499999999999998</v>
      </c>
      <c r="P9" s="276">
        <v>0.35</v>
      </c>
      <c r="Q9" s="276">
        <v>0.38700000000000001</v>
      </c>
      <c r="R9" s="461">
        <f t="shared" si="1"/>
        <v>0.40356250000000005</v>
      </c>
      <c r="S9" s="462">
        <f t="shared" si="2"/>
        <v>0.70299999999999996</v>
      </c>
      <c r="T9" s="462">
        <f t="shared" si="0"/>
        <v>0.33466666666666667</v>
      </c>
    </row>
    <row r="10" spans="1:20" ht="14">
      <c r="A10" s="354" t="s">
        <v>158</v>
      </c>
      <c r="B10" s="30">
        <v>0.56699999999999995</v>
      </c>
      <c r="C10" s="30">
        <v>0.56699999999999995</v>
      </c>
      <c r="D10" s="30">
        <v>0.65200000000000002</v>
      </c>
      <c r="E10" s="30">
        <v>0.70199999999999996</v>
      </c>
      <c r="F10" s="30">
        <v>0.32600000000000001</v>
      </c>
      <c r="G10" s="276">
        <v>0.39600000000000002</v>
      </c>
      <c r="H10" s="276">
        <v>0.39700000000000002</v>
      </c>
      <c r="I10" s="276">
        <v>0.38600000000000001</v>
      </c>
      <c r="J10" s="1002">
        <v>0.38500000000000001</v>
      </c>
      <c r="K10" s="276">
        <v>0.34799999999999998</v>
      </c>
      <c r="L10" s="276">
        <v>0.30399999999999999</v>
      </c>
      <c r="M10" s="276">
        <v>0.188</v>
      </c>
      <c r="N10" s="276">
        <v>0.22600000000000001</v>
      </c>
      <c r="O10" s="276">
        <v>0.28499999999999998</v>
      </c>
      <c r="P10" s="276">
        <v>0.35</v>
      </c>
      <c r="Q10" s="276">
        <v>0.38700000000000001</v>
      </c>
      <c r="R10" s="461">
        <f t="shared" si="1"/>
        <v>0.40412499999999996</v>
      </c>
      <c r="S10" s="462">
        <f t="shared" si="2"/>
        <v>0.70199999999999996</v>
      </c>
      <c r="T10" s="462">
        <f t="shared" si="0"/>
        <v>0.33466666666666667</v>
      </c>
    </row>
    <row r="11" spans="1:20" ht="14">
      <c r="A11" s="354" t="s">
        <v>352</v>
      </c>
      <c r="B11" s="30">
        <v>0.56699999999999995</v>
      </c>
      <c r="C11" s="30">
        <v>0.56999999999999995</v>
      </c>
      <c r="D11" s="30">
        <v>0.65200000000000002</v>
      </c>
      <c r="E11" s="30">
        <v>0.70099999999999996</v>
      </c>
      <c r="F11" s="30">
        <v>0.32700000000000001</v>
      </c>
      <c r="G11" s="276">
        <v>0.39600000000000002</v>
      </c>
      <c r="H11" s="276">
        <v>0.39700000000000002</v>
      </c>
      <c r="I11" s="276">
        <v>0.38600000000000001</v>
      </c>
      <c r="J11" s="1002">
        <v>0.38500000000000001</v>
      </c>
      <c r="K11" s="276">
        <v>0.34699999999999998</v>
      </c>
      <c r="L11" s="276">
        <v>0.30399999999999999</v>
      </c>
      <c r="M11" s="276">
        <v>0.188</v>
      </c>
      <c r="N11" s="276">
        <v>0.22600000000000001</v>
      </c>
      <c r="O11" s="276">
        <v>0.28499999999999998</v>
      </c>
      <c r="P11" s="276">
        <v>0.35</v>
      </c>
      <c r="Q11" s="276">
        <v>0.39400000000000002</v>
      </c>
      <c r="R11" s="461">
        <f t="shared" si="1"/>
        <v>0.40468749999999998</v>
      </c>
      <c r="S11" s="462">
        <f t="shared" si="2"/>
        <v>0.70099999999999996</v>
      </c>
      <c r="T11" s="462">
        <f t="shared" si="0"/>
        <v>0.33450000000000002</v>
      </c>
    </row>
    <row r="12" spans="1:20" ht="14">
      <c r="A12" s="354" t="s">
        <v>159</v>
      </c>
      <c r="B12" s="30">
        <v>0.56699999999999995</v>
      </c>
      <c r="C12" s="30">
        <v>0.57499999999999996</v>
      </c>
      <c r="D12" s="30">
        <v>0.65200000000000002</v>
      </c>
      <c r="E12" s="30">
        <v>0.70699999999999996</v>
      </c>
      <c r="F12" s="30">
        <v>0.33400000000000002</v>
      </c>
      <c r="G12" s="276">
        <v>0.39800000000000002</v>
      </c>
      <c r="H12" s="276">
        <v>0.39700000000000002</v>
      </c>
      <c r="I12" s="276">
        <v>0.38600000000000001</v>
      </c>
      <c r="J12" s="1002">
        <v>0.38500000000000001</v>
      </c>
      <c r="K12" s="276">
        <v>0.34699999999999998</v>
      </c>
      <c r="L12" s="276">
        <v>0.30399999999999999</v>
      </c>
      <c r="M12" s="276">
        <v>0.188</v>
      </c>
      <c r="N12" s="276">
        <v>0.22600000000000001</v>
      </c>
      <c r="O12" s="276">
        <v>0.28599999999999998</v>
      </c>
      <c r="P12" s="276">
        <v>0.35</v>
      </c>
      <c r="Q12" s="276">
        <v>0.40200000000000002</v>
      </c>
      <c r="R12" s="461">
        <f t="shared" si="1"/>
        <v>0.40649999999999992</v>
      </c>
      <c r="S12" s="462">
        <f t="shared" si="2"/>
        <v>0.70699999999999996</v>
      </c>
      <c r="T12" s="462">
        <f t="shared" si="0"/>
        <v>0.33450000000000002</v>
      </c>
    </row>
    <row r="13" spans="1:20" ht="14">
      <c r="A13" s="354" t="s">
        <v>353</v>
      </c>
      <c r="B13" s="30">
        <v>0.56699999999999995</v>
      </c>
      <c r="C13" s="30">
        <v>0.58199999999999996</v>
      </c>
      <c r="D13" s="30">
        <v>0.65200000000000002</v>
      </c>
      <c r="E13" s="30">
        <v>0.70699999999999996</v>
      </c>
      <c r="F13" s="30">
        <v>0.35499999999999998</v>
      </c>
      <c r="G13" s="276">
        <v>0.39800000000000002</v>
      </c>
      <c r="H13" s="276">
        <v>0.39700000000000002</v>
      </c>
      <c r="I13" s="276">
        <v>0.38600000000000001</v>
      </c>
      <c r="J13" s="1002">
        <v>0.38500000000000001</v>
      </c>
      <c r="K13" s="276">
        <v>0.34699999999999998</v>
      </c>
      <c r="L13" s="276">
        <v>0.30299999999999999</v>
      </c>
      <c r="M13" s="276">
        <v>0.188</v>
      </c>
      <c r="N13" s="276">
        <v>0.22600000000000001</v>
      </c>
      <c r="O13" s="276">
        <v>0.28699999999999998</v>
      </c>
      <c r="P13" s="276">
        <v>0.35</v>
      </c>
      <c r="Q13" s="276">
        <v>0.4</v>
      </c>
      <c r="R13" s="461">
        <f t="shared" si="1"/>
        <v>0.40812499999999996</v>
      </c>
      <c r="S13" s="462">
        <f t="shared" si="2"/>
        <v>0.70699999999999996</v>
      </c>
      <c r="T13" s="462">
        <f t="shared" si="0"/>
        <v>0.33433333333333337</v>
      </c>
    </row>
    <row r="14" spans="1:20" ht="14">
      <c r="A14" s="354" t="s">
        <v>160</v>
      </c>
      <c r="B14" s="30">
        <v>0.56699999999999995</v>
      </c>
      <c r="C14" s="30">
        <v>0.58799999999999997</v>
      </c>
      <c r="D14" s="30">
        <v>0.65200000000000002</v>
      </c>
      <c r="E14" s="30">
        <v>0.70699999999999996</v>
      </c>
      <c r="F14" s="30">
        <v>0.37</v>
      </c>
      <c r="G14" s="276">
        <v>0.39800000000000002</v>
      </c>
      <c r="H14" s="276">
        <v>0.39700000000000002</v>
      </c>
      <c r="I14" s="276">
        <v>0.38600000000000001</v>
      </c>
      <c r="J14" s="1002">
        <v>0.38400000000000001</v>
      </c>
      <c r="K14" s="276">
        <v>0.34699999999999998</v>
      </c>
      <c r="L14" s="276">
        <v>0.30299999999999999</v>
      </c>
      <c r="M14" s="276">
        <v>0.188</v>
      </c>
      <c r="N14" s="276">
        <v>0.22600000000000001</v>
      </c>
      <c r="O14" s="276">
        <v>0.28599999999999998</v>
      </c>
      <c r="P14" s="276">
        <v>0.35</v>
      </c>
      <c r="Q14" s="276">
        <v>0.41299999999999998</v>
      </c>
      <c r="R14" s="461">
        <f t="shared" si="1"/>
        <v>0.41012500000000002</v>
      </c>
      <c r="S14" s="462">
        <f t="shared" si="2"/>
        <v>0.70699999999999996</v>
      </c>
      <c r="T14" s="462">
        <f t="shared" si="0"/>
        <v>0.33416666666666667</v>
      </c>
    </row>
    <row r="15" spans="1:20" ht="14">
      <c r="A15" s="354" t="s">
        <v>161</v>
      </c>
      <c r="B15" s="30">
        <v>0.58399999999999996</v>
      </c>
      <c r="C15" s="30">
        <v>0.60599999999999998</v>
      </c>
      <c r="D15" s="30">
        <v>0.65200000000000002</v>
      </c>
      <c r="E15" s="30">
        <v>0.71299999999999997</v>
      </c>
      <c r="F15" s="30">
        <v>0.50900000000000001</v>
      </c>
      <c r="G15" s="276">
        <v>0.39800000000000002</v>
      </c>
      <c r="H15" s="276">
        <v>0.39700000000000002</v>
      </c>
      <c r="I15" s="276">
        <v>0.38400000000000001</v>
      </c>
      <c r="J15" s="1002">
        <v>0.38400000000000001</v>
      </c>
      <c r="K15" s="276">
        <v>0.34799999999999998</v>
      </c>
      <c r="L15" s="276">
        <v>0.30299999999999999</v>
      </c>
      <c r="M15" s="276">
        <v>0.189</v>
      </c>
      <c r="N15" s="276">
        <v>0.22600000000000001</v>
      </c>
      <c r="O15" s="276">
        <v>0.28799999999999998</v>
      </c>
      <c r="P15" s="276">
        <v>0.35</v>
      </c>
      <c r="Q15" s="276">
        <v>0.45700000000000002</v>
      </c>
      <c r="R15" s="461">
        <f t="shared" si="1"/>
        <v>0.42425000000000002</v>
      </c>
      <c r="S15" s="462">
        <f t="shared" si="2"/>
        <v>0.71299999999999997</v>
      </c>
      <c r="T15" s="462">
        <f t="shared" si="0"/>
        <v>0.33416666666666667</v>
      </c>
    </row>
    <row r="16" spans="1:20" ht="14">
      <c r="A16" s="354" t="s">
        <v>162</v>
      </c>
      <c r="B16" s="30">
        <v>0.60599999999999998</v>
      </c>
      <c r="C16" s="30">
        <v>0.623</v>
      </c>
      <c r="D16" s="30">
        <v>0.65200000000000002</v>
      </c>
      <c r="E16" s="30">
        <v>0.71599999999999997</v>
      </c>
      <c r="F16" s="30">
        <v>0.61099999999999999</v>
      </c>
      <c r="G16" s="276">
        <v>0.39800000000000002</v>
      </c>
      <c r="H16" s="276">
        <v>0.39700000000000002</v>
      </c>
      <c r="I16" s="276">
        <v>0.38600000000000001</v>
      </c>
      <c r="J16" s="1002">
        <v>0.38400000000000001</v>
      </c>
      <c r="K16" s="276">
        <v>0.34799999999999998</v>
      </c>
      <c r="L16" s="276">
        <v>0.30399999999999999</v>
      </c>
      <c r="M16" s="276">
        <v>0.19900000000000001</v>
      </c>
      <c r="N16" s="276">
        <v>0.22700000000000001</v>
      </c>
      <c r="O16" s="276">
        <v>0.28699999999999998</v>
      </c>
      <c r="P16" s="276">
        <v>0.35</v>
      </c>
      <c r="Q16" s="276">
        <v>0.48299999999999998</v>
      </c>
      <c r="R16" s="461">
        <f t="shared" si="1"/>
        <v>0.43568750000000001</v>
      </c>
      <c r="S16" s="462">
        <f t="shared" si="2"/>
        <v>0.71599999999999997</v>
      </c>
      <c r="T16" s="462">
        <f t="shared" si="0"/>
        <v>0.33633333333333337</v>
      </c>
    </row>
    <row r="17" spans="1:20" ht="14">
      <c r="A17" s="354" t="s">
        <v>163</v>
      </c>
      <c r="B17" s="30">
        <v>0.629</v>
      </c>
      <c r="C17" s="1003">
        <v>0.65800000000000003</v>
      </c>
      <c r="D17" s="30">
        <v>0.65200000000000002</v>
      </c>
      <c r="E17" s="30">
        <v>0.71799999999999997</v>
      </c>
      <c r="F17" s="30">
        <v>0.63500000000000001</v>
      </c>
      <c r="G17" s="276">
        <v>0.39700000000000002</v>
      </c>
      <c r="H17" s="276">
        <v>0.39700000000000002</v>
      </c>
      <c r="I17" s="276">
        <v>0.38600000000000001</v>
      </c>
      <c r="J17" s="1002">
        <v>0.38400000000000001</v>
      </c>
      <c r="K17" s="276">
        <v>0.34799999999999998</v>
      </c>
      <c r="L17" s="276">
        <v>0.30399999999999999</v>
      </c>
      <c r="M17" s="276">
        <v>0.20100000000000001</v>
      </c>
      <c r="N17" s="276">
        <v>0.22600000000000001</v>
      </c>
      <c r="O17" s="276">
        <v>0.28499999999999998</v>
      </c>
      <c r="P17" s="276">
        <v>0.35</v>
      </c>
      <c r="Q17" s="276">
        <v>0.51300000000000001</v>
      </c>
      <c r="R17" s="461">
        <f t="shared" si="1"/>
        <v>0.44268750000000001</v>
      </c>
      <c r="S17" s="462">
        <f t="shared" si="2"/>
        <v>0.71799999999999997</v>
      </c>
      <c r="T17" s="462">
        <f t="shared" si="0"/>
        <v>0.33666666666666667</v>
      </c>
    </row>
    <row r="18" spans="1:20" ht="14">
      <c r="A18" s="354" t="s">
        <v>164</v>
      </c>
      <c r="B18" s="30">
        <v>0.66400000000000003</v>
      </c>
      <c r="C18" s="30">
        <v>0.69299999999999995</v>
      </c>
      <c r="D18" s="30">
        <v>0.65200000000000002</v>
      </c>
      <c r="E18" s="30">
        <v>0.72299999999999998</v>
      </c>
      <c r="F18" s="30">
        <v>0.65</v>
      </c>
      <c r="G18" s="276">
        <v>0.39700000000000002</v>
      </c>
      <c r="H18" s="276">
        <v>0.39500000000000002</v>
      </c>
      <c r="I18" s="276">
        <v>0.38600000000000001</v>
      </c>
      <c r="J18" s="1002">
        <v>0.38200000000000001</v>
      </c>
      <c r="K18" s="276">
        <v>0.34599999999999997</v>
      </c>
      <c r="L18" s="276">
        <v>0.30299999999999999</v>
      </c>
      <c r="M18" s="276">
        <v>0.17</v>
      </c>
      <c r="N18" s="276">
        <v>0.22600000000000001</v>
      </c>
      <c r="O18" s="276">
        <v>0.28499999999999998</v>
      </c>
      <c r="P18" s="276">
        <v>0.35199999999999998</v>
      </c>
      <c r="Q18" s="276"/>
      <c r="R18" s="461">
        <f t="shared" si="1"/>
        <v>0.44159999999999999</v>
      </c>
      <c r="S18" s="462">
        <f t="shared" si="2"/>
        <v>0.72299999999999998</v>
      </c>
      <c r="T18" s="462">
        <f t="shared" si="0"/>
        <v>0.33033333333333331</v>
      </c>
    </row>
    <row r="19" spans="1:20" ht="14">
      <c r="A19" s="354" t="s">
        <v>165</v>
      </c>
      <c r="B19" s="30">
        <v>0.72499999999999998</v>
      </c>
      <c r="C19" s="30">
        <v>0.77500000000000002</v>
      </c>
      <c r="D19" s="30">
        <v>0.66500000000000004</v>
      </c>
      <c r="E19" s="30">
        <v>0.72499999999999998</v>
      </c>
      <c r="F19" s="30">
        <v>0.68100000000000005</v>
      </c>
      <c r="G19" s="276">
        <v>0.39800000000000002</v>
      </c>
      <c r="H19" s="276">
        <v>0.38600000000000001</v>
      </c>
      <c r="I19" s="276">
        <v>0.39100000000000001</v>
      </c>
      <c r="J19" s="1002">
        <v>0.38100000000000001</v>
      </c>
      <c r="K19" s="276">
        <v>0.33900000000000002</v>
      </c>
      <c r="L19" s="276">
        <v>0.3</v>
      </c>
      <c r="M19" s="276">
        <v>0.16800000000000001</v>
      </c>
      <c r="N19" s="276">
        <v>0.22500000000000001</v>
      </c>
      <c r="O19" s="276">
        <v>0.28100000000000003</v>
      </c>
      <c r="P19" s="276">
        <v>0.35199999999999998</v>
      </c>
      <c r="Q19" s="276"/>
      <c r="R19" s="461">
        <f t="shared" si="1"/>
        <v>0.45280000000000004</v>
      </c>
      <c r="S19" s="462">
        <f t="shared" si="2"/>
        <v>0.77500000000000002</v>
      </c>
      <c r="T19" s="462">
        <f t="shared" si="0"/>
        <v>0.32749999999999996</v>
      </c>
    </row>
    <row r="20" spans="1:20" ht="14">
      <c r="A20" s="354" t="s">
        <v>187</v>
      </c>
      <c r="B20" s="30">
        <v>0.79400000000000004</v>
      </c>
      <c r="C20" s="30">
        <v>0.83</v>
      </c>
      <c r="D20" s="30">
        <v>0.78800000000000003</v>
      </c>
      <c r="E20" s="30">
        <v>0.72199999999999998</v>
      </c>
      <c r="F20" s="30">
        <v>0.69499999999999995</v>
      </c>
      <c r="G20" s="276">
        <v>0.39800000000000002</v>
      </c>
      <c r="H20" s="276">
        <v>0.376</v>
      </c>
      <c r="I20" s="276">
        <v>0.39300000000000002</v>
      </c>
      <c r="J20" s="1002">
        <v>0.378</v>
      </c>
      <c r="K20" s="276">
        <v>0.32700000000000001</v>
      </c>
      <c r="L20" s="276">
        <v>0.29499999999999998</v>
      </c>
      <c r="M20" s="276">
        <v>0.16800000000000001</v>
      </c>
      <c r="N20" s="276">
        <v>0.22500000000000001</v>
      </c>
      <c r="O20" s="276">
        <v>0.27500000000000002</v>
      </c>
      <c r="P20" s="276">
        <v>0.35899999999999999</v>
      </c>
      <c r="Q20" s="276"/>
      <c r="R20" s="461">
        <f t="shared" si="1"/>
        <v>0.46820000000000001</v>
      </c>
      <c r="S20" s="462">
        <f t="shared" si="2"/>
        <v>0.83</v>
      </c>
      <c r="T20" s="462">
        <f t="shared" si="0"/>
        <v>0.32283333333333331</v>
      </c>
    </row>
    <row r="21" spans="1:20" ht="14">
      <c r="A21" s="354" t="s">
        <v>188</v>
      </c>
      <c r="B21" s="276"/>
      <c r="C21" s="30"/>
      <c r="D21" s="30"/>
      <c r="E21" s="30">
        <v>0.72299999999999998</v>
      </c>
      <c r="F21" s="30">
        <v>0.69899999999999995</v>
      </c>
      <c r="G21" s="276">
        <v>0.377</v>
      </c>
      <c r="H21" s="276">
        <v>0.34599999999999997</v>
      </c>
      <c r="I21" s="276">
        <v>0.38500000000000001</v>
      </c>
      <c r="J21" s="1002">
        <v>0.379</v>
      </c>
      <c r="K21" s="276">
        <v>0.31900000000000001</v>
      </c>
      <c r="L21" s="276"/>
      <c r="M21" s="276">
        <v>0.16</v>
      </c>
      <c r="N21" s="276">
        <v>0.224</v>
      </c>
      <c r="O21" s="276">
        <v>0.27500000000000002</v>
      </c>
      <c r="P21" s="276">
        <v>0.46500000000000002</v>
      </c>
      <c r="Q21" s="276"/>
      <c r="R21" s="461"/>
      <c r="S21" s="462"/>
      <c r="T21" s="462">
        <f t="shared" si="0"/>
        <v>0.31779999999999997</v>
      </c>
    </row>
    <row r="22" spans="1:20">
      <c r="A22" s="354" t="s">
        <v>561</v>
      </c>
      <c r="B22" s="30">
        <f t="shared" ref="B22:T22" si="3">AVERAGE(B7:B10)</f>
        <v>0.56574999999999998</v>
      </c>
      <c r="C22" s="30">
        <f t="shared" si="3"/>
        <v>0.5555000000000001</v>
      </c>
      <c r="D22" s="30">
        <f>AVERAGE(D7:D10)</f>
        <v>0.65175000000000005</v>
      </c>
      <c r="E22" s="30">
        <f>AVERAGE(E7:E10)</f>
        <v>0.7034999999999999</v>
      </c>
      <c r="F22" s="30">
        <f>AVERAGE(F7:F10)</f>
        <v>0.32600000000000001</v>
      </c>
      <c r="G22" s="30">
        <f>AVERAGE(G7:G10)</f>
        <v>0.39649999999999996</v>
      </c>
      <c r="H22" s="30">
        <f t="shared" si="3"/>
        <v>0.39700000000000002</v>
      </c>
      <c r="I22" s="30">
        <f t="shared" si="3"/>
        <v>0.38600000000000001</v>
      </c>
      <c r="J22" s="30">
        <f t="shared" si="3"/>
        <v>0.38474999999999998</v>
      </c>
      <c r="K22" s="30">
        <f>AVERAGE(K7:K11)</f>
        <v>0.3478</v>
      </c>
      <c r="L22" s="30">
        <f t="shared" si="3"/>
        <v>0.30449999999999999</v>
      </c>
      <c r="M22" s="30">
        <f t="shared" si="3"/>
        <v>0.188</v>
      </c>
      <c r="N22" s="30">
        <f t="shared" si="3"/>
        <v>0.22600000000000001</v>
      </c>
      <c r="O22" s="30">
        <f t="shared" si="3"/>
        <v>0.28499999999999998</v>
      </c>
      <c r="P22" s="30">
        <f t="shared" si="3"/>
        <v>0.35</v>
      </c>
      <c r="Q22" s="30">
        <f>AVERAGE(Q7:Q10)</f>
        <v>0.38600000000000001</v>
      </c>
      <c r="R22" s="30">
        <f t="shared" si="3"/>
        <v>0.403390625</v>
      </c>
      <c r="S22" s="30">
        <f t="shared" si="3"/>
        <v>0.7034999999999999</v>
      </c>
      <c r="T22" s="30">
        <f t="shared" si="3"/>
        <v>0.33470833333333333</v>
      </c>
    </row>
    <row r="23" spans="1:20">
      <c r="A23" s="362" t="s">
        <v>569</v>
      </c>
      <c r="B23" s="30">
        <f t="shared" ref="B23:T23" si="4">AVERAGE(B7:B21)</f>
        <v>0.60949999999999993</v>
      </c>
      <c r="C23" s="30">
        <f t="shared" si="4"/>
        <v>0.623</v>
      </c>
      <c r="D23" s="30">
        <f t="shared" si="4"/>
        <v>0.6625714285714287</v>
      </c>
      <c r="E23" s="30">
        <f t="shared" si="4"/>
        <v>0.71173333333333333</v>
      </c>
      <c r="F23" s="30">
        <f t="shared" si="4"/>
        <v>0.47800000000000004</v>
      </c>
      <c r="G23" s="30">
        <f t="shared" si="4"/>
        <v>0.39593333333333336</v>
      </c>
      <c r="H23" s="30">
        <f t="shared" si="4"/>
        <v>0.39133333333333342</v>
      </c>
      <c r="I23" s="30">
        <f t="shared" si="4"/>
        <v>0.3866</v>
      </c>
      <c r="J23" s="30">
        <f t="shared" si="4"/>
        <v>0.38333333333333336</v>
      </c>
      <c r="K23" s="30">
        <f t="shared" si="4"/>
        <v>0.34366666666666662</v>
      </c>
      <c r="L23" s="30">
        <f t="shared" si="4"/>
        <v>0.30292857142857138</v>
      </c>
      <c r="M23" s="30">
        <f t="shared" si="4"/>
        <v>0.18393333333333337</v>
      </c>
      <c r="N23" s="30">
        <f t="shared" si="4"/>
        <v>0.22580000000000003</v>
      </c>
      <c r="O23" s="30">
        <f t="shared" si="4"/>
        <v>0.28399999999999997</v>
      </c>
      <c r="P23" s="30">
        <f t="shared" si="4"/>
        <v>0.35853333333333343</v>
      </c>
      <c r="Q23" s="30">
        <f t="shared" si="4"/>
        <v>0.41872727272727273</v>
      </c>
      <c r="R23" s="30">
        <f t="shared" si="4"/>
        <v>0.4220160714285715</v>
      </c>
      <c r="S23" s="30">
        <f t="shared" si="4"/>
        <v>0.72221428571428581</v>
      </c>
      <c r="T23" s="30">
        <f t="shared" si="4"/>
        <v>0.33213111111111104</v>
      </c>
    </row>
    <row r="24" spans="1:20" ht="15.5">
      <c r="A24" s="1194" t="s">
        <v>548</v>
      </c>
      <c r="B24" s="1195"/>
      <c r="C24" s="1195"/>
      <c r="D24" s="1195"/>
      <c r="E24" s="1195"/>
      <c r="F24" s="1195"/>
      <c r="G24" s="1195"/>
      <c r="H24" s="1195"/>
      <c r="I24" s="1195"/>
      <c r="J24" s="1195"/>
      <c r="K24" s="1195"/>
      <c r="L24" s="1195"/>
      <c r="M24" s="1195"/>
      <c r="N24" s="1195"/>
      <c r="O24" s="1195"/>
      <c r="P24" s="1195"/>
      <c r="Q24" s="1195"/>
      <c r="R24" s="1195"/>
      <c r="S24" s="1195"/>
      <c r="T24" s="1196"/>
    </row>
    <row r="25" spans="1:20" ht="14">
      <c r="A25" s="354" t="s">
        <v>350</v>
      </c>
      <c r="B25" s="30">
        <v>0.56599999999999995</v>
      </c>
      <c r="C25" s="30">
        <v>0.54700000000000004</v>
      </c>
      <c r="D25" s="30">
        <v>0.65</v>
      </c>
      <c r="E25" s="276"/>
      <c r="F25" s="276">
        <v>0.32200000000000001</v>
      </c>
      <c r="G25" s="276">
        <v>0.39800000000000002</v>
      </c>
      <c r="H25" s="276">
        <v>0.39700000000000002</v>
      </c>
      <c r="I25" s="276">
        <v>0.38600000000000001</v>
      </c>
      <c r="J25" s="276">
        <v>0.38500000000000001</v>
      </c>
      <c r="K25" s="276">
        <v>0.32500000000000001</v>
      </c>
      <c r="L25" s="276">
        <v>0.30399999999999999</v>
      </c>
      <c r="M25" s="276">
        <v>0.188</v>
      </c>
      <c r="N25" s="276"/>
      <c r="O25" s="276">
        <v>0.28399999999999997</v>
      </c>
      <c r="P25" s="276">
        <v>0.35</v>
      </c>
      <c r="Q25" s="276"/>
      <c r="R25" s="461">
        <f>AVERAGE(B25:Q25)</f>
        <v>0.39246153846153842</v>
      </c>
      <c r="S25" s="462">
        <f>MAX(B25:Q25)</f>
        <v>0.65</v>
      </c>
      <c r="T25" s="462">
        <f t="shared" si="0"/>
        <v>0.33083333333333337</v>
      </c>
    </row>
    <row r="26" spans="1:20" ht="14">
      <c r="A26" s="354" t="s">
        <v>157</v>
      </c>
      <c r="B26" s="30">
        <v>0.56599999999999995</v>
      </c>
      <c r="C26" s="30">
        <v>0.55400000000000005</v>
      </c>
      <c r="D26" s="30">
        <v>0.65100000000000002</v>
      </c>
      <c r="E26" s="276"/>
      <c r="F26" s="276">
        <v>0.32100000000000001</v>
      </c>
      <c r="G26" s="276">
        <v>0.39700000000000002</v>
      </c>
      <c r="H26" s="276">
        <v>0.39700000000000002</v>
      </c>
      <c r="I26" s="276">
        <v>0.38600000000000001</v>
      </c>
      <c r="J26" s="276">
        <v>0.38600000000000001</v>
      </c>
      <c r="K26" s="276">
        <v>0.32500000000000001</v>
      </c>
      <c r="L26" s="276">
        <v>0.30399999999999999</v>
      </c>
      <c r="M26" s="276">
        <v>0.188</v>
      </c>
      <c r="N26" s="276"/>
      <c r="O26" s="276">
        <v>0.28499999999999998</v>
      </c>
      <c r="P26" s="276">
        <v>0.35</v>
      </c>
      <c r="Q26" s="276"/>
      <c r="R26" s="461">
        <f t="shared" ref="R26:R36" si="5">AVERAGE(B26:Q26)</f>
        <v>0.3930769230769231</v>
      </c>
      <c r="S26" s="462">
        <f t="shared" ref="S26:S36" si="6">MAX(B26:Q26)</f>
        <v>0.65100000000000002</v>
      </c>
      <c r="T26" s="462">
        <f t="shared" si="0"/>
        <v>0.33100000000000002</v>
      </c>
    </row>
    <row r="27" spans="1:20" ht="14">
      <c r="A27" s="354" t="s">
        <v>351</v>
      </c>
      <c r="B27" s="30">
        <v>0.56699999999999995</v>
      </c>
      <c r="C27" s="30">
        <v>0.55300000000000005</v>
      </c>
      <c r="D27" s="30">
        <v>0.65100000000000002</v>
      </c>
      <c r="E27" s="276"/>
      <c r="F27" s="276">
        <v>0.31</v>
      </c>
      <c r="G27" s="276">
        <v>0.39600000000000002</v>
      </c>
      <c r="H27" s="276">
        <v>0.39700000000000002</v>
      </c>
      <c r="I27" s="276">
        <v>0.38600000000000001</v>
      </c>
      <c r="J27" s="276">
        <v>0.38300000000000001</v>
      </c>
      <c r="K27" s="276">
        <v>0.32600000000000001</v>
      </c>
      <c r="L27" s="276">
        <v>0.30399999999999999</v>
      </c>
      <c r="M27" s="276">
        <v>0.188</v>
      </c>
      <c r="N27" s="276"/>
      <c r="O27" s="276">
        <v>0.28499999999999998</v>
      </c>
      <c r="P27" s="276">
        <v>0.35</v>
      </c>
      <c r="Q27" s="276"/>
      <c r="R27" s="461">
        <f t="shared" si="5"/>
        <v>0.39199999999999996</v>
      </c>
      <c r="S27" s="462">
        <f t="shared" si="6"/>
        <v>0.65100000000000002</v>
      </c>
      <c r="T27" s="462">
        <f t="shared" si="0"/>
        <v>0.33066666666666666</v>
      </c>
    </row>
    <row r="28" spans="1:20" ht="14">
      <c r="A28" s="354" t="s">
        <v>158</v>
      </c>
      <c r="B28" s="30">
        <v>0.56699999999999995</v>
      </c>
      <c r="C28" s="30">
        <v>0.55600000000000005</v>
      </c>
      <c r="D28" s="30">
        <v>0.65100000000000002</v>
      </c>
      <c r="E28" s="276"/>
      <c r="F28" s="276">
        <v>0.32200000000000001</v>
      </c>
      <c r="G28" s="276">
        <v>0.39700000000000002</v>
      </c>
      <c r="H28" s="276">
        <v>0.39700000000000002</v>
      </c>
      <c r="I28" s="276">
        <v>0.38600000000000001</v>
      </c>
      <c r="J28" s="276">
        <v>0.38300000000000001</v>
      </c>
      <c r="K28" s="276">
        <v>0.32500000000000001</v>
      </c>
      <c r="L28" s="276">
        <v>0.30399999999999999</v>
      </c>
      <c r="M28" s="276">
        <v>0.188</v>
      </c>
      <c r="N28" s="276"/>
      <c r="O28" s="276">
        <v>0.28399999999999997</v>
      </c>
      <c r="P28" s="276">
        <v>0.35</v>
      </c>
      <c r="Q28" s="276"/>
      <c r="R28" s="461">
        <f t="shared" si="5"/>
        <v>0.3930769230769231</v>
      </c>
      <c r="S28" s="462">
        <f t="shared" si="6"/>
        <v>0.65100000000000002</v>
      </c>
      <c r="T28" s="462">
        <f t="shared" si="0"/>
        <v>0.33049999999999996</v>
      </c>
    </row>
    <row r="29" spans="1:20" ht="14">
      <c r="A29" s="354" t="s">
        <v>352</v>
      </c>
      <c r="B29" s="30">
        <v>0.56799999999999995</v>
      </c>
      <c r="C29" s="30">
        <v>0.56299999999999994</v>
      </c>
      <c r="D29" s="30">
        <v>0.65100000000000002</v>
      </c>
      <c r="E29" s="276"/>
      <c r="F29" s="276">
        <v>0.32200000000000001</v>
      </c>
      <c r="G29" s="276">
        <v>0.39700000000000002</v>
      </c>
      <c r="H29" s="276">
        <v>0.39700000000000002</v>
      </c>
      <c r="I29" s="276">
        <v>0.38600000000000001</v>
      </c>
      <c r="J29" s="276">
        <v>0.38300000000000001</v>
      </c>
      <c r="K29" s="276">
        <v>0.32600000000000001</v>
      </c>
      <c r="L29" s="276">
        <v>0.30399999999999999</v>
      </c>
      <c r="M29" s="276">
        <v>0.188</v>
      </c>
      <c r="N29" s="276"/>
      <c r="O29" s="276">
        <v>0.28399999999999997</v>
      </c>
      <c r="P29" s="276">
        <v>0.35</v>
      </c>
      <c r="Q29" s="276"/>
      <c r="R29" s="461">
        <f t="shared" si="5"/>
        <v>0.3937692307692307</v>
      </c>
      <c r="S29" s="462">
        <f t="shared" si="6"/>
        <v>0.65100000000000002</v>
      </c>
      <c r="T29" s="462">
        <f t="shared" si="0"/>
        <v>0.33066666666666666</v>
      </c>
    </row>
    <row r="30" spans="1:20" ht="14">
      <c r="A30" s="354" t="s">
        <v>159</v>
      </c>
      <c r="B30" s="30">
        <v>0.56799999999999995</v>
      </c>
      <c r="C30" s="30">
        <v>0.58099999999999996</v>
      </c>
      <c r="D30" s="30">
        <v>0.65100000000000002</v>
      </c>
      <c r="E30" s="276"/>
      <c r="F30" s="276">
        <v>0.35</v>
      </c>
      <c r="G30" s="276">
        <v>0.39700000000000002</v>
      </c>
      <c r="H30" s="276">
        <v>0.39700000000000002</v>
      </c>
      <c r="I30" s="276">
        <v>0.38600000000000001</v>
      </c>
      <c r="J30" s="276">
        <v>0.38300000000000001</v>
      </c>
      <c r="K30" s="276">
        <v>0.32600000000000001</v>
      </c>
      <c r="L30" s="276">
        <v>0.30399999999999999</v>
      </c>
      <c r="M30" s="276">
        <v>0.188</v>
      </c>
      <c r="N30" s="276"/>
      <c r="O30" s="276">
        <v>0.28399999999999997</v>
      </c>
      <c r="P30" s="276">
        <v>0.35</v>
      </c>
      <c r="Q30" s="276"/>
      <c r="R30" s="461">
        <f t="shared" si="5"/>
        <v>0.39730769230769225</v>
      </c>
      <c r="S30" s="462">
        <f t="shared" si="6"/>
        <v>0.65100000000000002</v>
      </c>
      <c r="T30" s="462">
        <f t="shared" si="0"/>
        <v>0.33066666666666666</v>
      </c>
    </row>
    <row r="31" spans="1:20" ht="14">
      <c r="A31" s="354" t="s">
        <v>353</v>
      </c>
      <c r="B31" s="30">
        <v>0.56999999999999995</v>
      </c>
      <c r="C31" s="30">
        <v>0.58599999999999997</v>
      </c>
      <c r="D31" s="30">
        <v>0.65100000000000002</v>
      </c>
      <c r="E31" s="276"/>
      <c r="F31" s="276">
        <v>0.371</v>
      </c>
      <c r="G31" s="276">
        <v>0.39700000000000002</v>
      </c>
      <c r="H31" s="276">
        <v>0.39700000000000002</v>
      </c>
      <c r="I31" s="276">
        <v>0.38600000000000001</v>
      </c>
      <c r="J31" s="276">
        <v>0.38200000000000001</v>
      </c>
      <c r="K31" s="276">
        <v>0.32500000000000001</v>
      </c>
      <c r="L31" s="276">
        <v>0.30399999999999999</v>
      </c>
      <c r="M31" s="276">
        <v>0.187</v>
      </c>
      <c r="N31" s="276"/>
      <c r="O31" s="276">
        <v>0.28499999999999998</v>
      </c>
      <c r="P31" s="276">
        <v>0.35</v>
      </c>
      <c r="Q31" s="276"/>
      <c r="R31" s="461">
        <f t="shared" si="5"/>
        <v>0.39930769230769236</v>
      </c>
      <c r="S31" s="462">
        <f t="shared" si="6"/>
        <v>0.65100000000000002</v>
      </c>
      <c r="T31" s="462">
        <f t="shared" si="0"/>
        <v>0.33016666666666666</v>
      </c>
    </row>
    <row r="32" spans="1:20" ht="14">
      <c r="A32" s="354" t="s">
        <v>160</v>
      </c>
      <c r="B32" s="30">
        <v>0.57199999999999995</v>
      </c>
      <c r="C32" s="30">
        <v>0.59499999999999997</v>
      </c>
      <c r="D32" s="30">
        <v>0.65100000000000002</v>
      </c>
      <c r="E32" s="276"/>
      <c r="F32" s="276">
        <v>0.378</v>
      </c>
      <c r="G32" s="276">
        <v>0.39700000000000002</v>
      </c>
      <c r="H32" s="276">
        <v>0.39700000000000002</v>
      </c>
      <c r="I32" s="276">
        <v>0.38600000000000001</v>
      </c>
      <c r="J32" s="276">
        <v>0.38300000000000001</v>
      </c>
      <c r="K32" s="276">
        <v>0.32500000000000001</v>
      </c>
      <c r="L32" s="276">
        <v>0.30399999999999999</v>
      </c>
      <c r="M32" s="276">
        <v>0.187</v>
      </c>
      <c r="N32" s="276"/>
      <c r="O32" s="276">
        <v>0.28499999999999998</v>
      </c>
      <c r="P32" s="276">
        <v>0.35</v>
      </c>
      <c r="Q32" s="276"/>
      <c r="R32" s="461">
        <f t="shared" si="5"/>
        <v>0.40076923076923082</v>
      </c>
      <c r="S32" s="462">
        <f t="shared" si="6"/>
        <v>0.65100000000000002</v>
      </c>
      <c r="T32" s="462">
        <f t="shared" si="0"/>
        <v>0.33033333333333331</v>
      </c>
    </row>
    <row r="33" spans="1:20" ht="14">
      <c r="A33" s="354" t="s">
        <v>161</v>
      </c>
      <c r="B33" s="30">
        <v>0.57999999999999996</v>
      </c>
      <c r="C33" s="30">
        <v>0.61199999999999999</v>
      </c>
      <c r="D33" s="30">
        <v>0.65100000000000002</v>
      </c>
      <c r="E33" s="276"/>
      <c r="F33" s="276">
        <v>0.45100000000000001</v>
      </c>
      <c r="G33" s="276">
        <v>0.39700000000000002</v>
      </c>
      <c r="H33" s="276">
        <v>0.39700000000000002</v>
      </c>
      <c r="I33" s="276">
        <v>0.38600000000000001</v>
      </c>
      <c r="J33" s="276">
        <v>0.38300000000000001</v>
      </c>
      <c r="K33" s="276">
        <v>0.32600000000000001</v>
      </c>
      <c r="L33" s="276">
        <v>0.30399999999999999</v>
      </c>
      <c r="M33" s="276">
        <v>0.187</v>
      </c>
      <c r="N33" s="276"/>
      <c r="O33" s="276">
        <v>0.28499999999999998</v>
      </c>
      <c r="P33" s="276">
        <v>0.35</v>
      </c>
      <c r="Q33" s="276"/>
      <c r="R33" s="461">
        <f t="shared" si="5"/>
        <v>0.4083846153846154</v>
      </c>
      <c r="S33" s="462">
        <f t="shared" si="6"/>
        <v>0.65100000000000002</v>
      </c>
      <c r="T33" s="462">
        <f t="shared" si="0"/>
        <v>0.33050000000000002</v>
      </c>
    </row>
    <row r="34" spans="1:20" ht="14">
      <c r="A34" s="354" t="s">
        <v>162</v>
      </c>
      <c r="B34" s="30">
        <v>0.6</v>
      </c>
      <c r="C34" s="30">
        <v>0.623</v>
      </c>
      <c r="D34" s="30">
        <v>0.65200000000000002</v>
      </c>
      <c r="E34" s="276"/>
      <c r="F34" s="276">
        <v>0.64100000000000001</v>
      </c>
      <c r="G34" s="276">
        <v>0.39600000000000002</v>
      </c>
      <c r="H34" s="276">
        <v>0.39800000000000002</v>
      </c>
      <c r="I34" s="276">
        <v>0.38600000000000001</v>
      </c>
      <c r="J34" s="276">
        <v>0.38400000000000001</v>
      </c>
      <c r="K34" s="276">
        <v>0.32800000000000001</v>
      </c>
      <c r="L34" s="276">
        <v>0.30399999999999999</v>
      </c>
      <c r="M34" s="276">
        <v>0.187</v>
      </c>
      <c r="N34" s="276"/>
      <c r="O34" s="276">
        <v>0.28599999999999998</v>
      </c>
      <c r="P34" s="276">
        <v>0.35099999999999998</v>
      </c>
      <c r="Q34" s="276"/>
      <c r="R34" s="461">
        <f t="shared" si="5"/>
        <v>0.42584615384615387</v>
      </c>
      <c r="S34" s="462">
        <f t="shared" si="6"/>
        <v>0.65200000000000002</v>
      </c>
      <c r="T34" s="462">
        <f t="shared" si="0"/>
        <v>0.33116666666666672</v>
      </c>
    </row>
    <row r="35" spans="1:20" ht="14">
      <c r="A35" s="354" t="s">
        <v>163</v>
      </c>
      <c r="B35" s="30">
        <v>0.60599999999999998</v>
      </c>
      <c r="C35" s="30"/>
      <c r="D35" s="30">
        <v>0.65300000000000002</v>
      </c>
      <c r="E35" s="276"/>
      <c r="F35" s="276">
        <v>0.66900000000000004</v>
      </c>
      <c r="G35" s="276">
        <v>0.39800000000000002</v>
      </c>
      <c r="H35" s="276">
        <v>0.39900000000000002</v>
      </c>
      <c r="I35" s="276"/>
      <c r="J35" s="276">
        <v>0.38600000000000001</v>
      </c>
      <c r="K35" s="276">
        <v>0.32800000000000001</v>
      </c>
      <c r="L35" s="276">
        <v>0.30399999999999999</v>
      </c>
      <c r="M35" s="276">
        <v>0.184</v>
      </c>
      <c r="N35" s="276"/>
      <c r="O35" s="276">
        <v>0.29699999999999999</v>
      </c>
      <c r="P35" s="276">
        <v>0.35099999999999998</v>
      </c>
      <c r="Q35" s="276"/>
      <c r="R35" s="461">
        <f t="shared" si="5"/>
        <v>0.41590909090909095</v>
      </c>
      <c r="S35" s="462">
        <f t="shared" si="6"/>
        <v>0.66900000000000004</v>
      </c>
      <c r="T35" s="462">
        <f t="shared" si="0"/>
        <v>0.32019999999999998</v>
      </c>
    </row>
    <row r="36" spans="1:20" ht="14">
      <c r="A36" s="354" t="s">
        <v>164</v>
      </c>
      <c r="B36" s="30"/>
      <c r="C36" s="30"/>
      <c r="D36" s="30">
        <v>0.52</v>
      </c>
      <c r="E36" s="276"/>
      <c r="F36" s="276">
        <v>0.67900000000000005</v>
      </c>
      <c r="G36" s="276">
        <v>0.40100000000000002</v>
      </c>
      <c r="H36" s="276">
        <v>0.39800000000000002</v>
      </c>
      <c r="I36" s="276"/>
      <c r="J36" s="276">
        <v>0.39</v>
      </c>
      <c r="K36" s="276">
        <v>0.32900000000000001</v>
      </c>
      <c r="L36" s="276">
        <v>0.30499999999999999</v>
      </c>
      <c r="M36" s="276">
        <v>0.17699999999999999</v>
      </c>
      <c r="N36" s="276"/>
      <c r="O36" s="276">
        <v>0.29699999999999999</v>
      </c>
      <c r="P36" s="276">
        <v>0.35099999999999998</v>
      </c>
      <c r="Q36" s="276"/>
      <c r="R36" s="461">
        <f t="shared" si="5"/>
        <v>0.3847000000000001</v>
      </c>
      <c r="S36" s="462">
        <f t="shared" si="6"/>
        <v>0.67900000000000005</v>
      </c>
      <c r="T36" s="462">
        <f t="shared" si="0"/>
        <v>0.31979999999999997</v>
      </c>
    </row>
    <row r="37" spans="1:20">
      <c r="A37" s="354" t="s">
        <v>561</v>
      </c>
      <c r="B37" s="30">
        <f>AVERAGE(B25:B28)</f>
        <v>0.5665</v>
      </c>
      <c r="C37" s="30">
        <f t="shared" ref="C37:P37" si="7">AVERAGE(C25:C28)</f>
        <v>0.55249999999999999</v>
      </c>
      <c r="D37" s="30">
        <f t="shared" si="7"/>
        <v>0.65075000000000005</v>
      </c>
      <c r="E37" s="30"/>
      <c r="F37" s="30">
        <f>AVERAGE(F25:F28)</f>
        <v>0.31875000000000003</v>
      </c>
      <c r="G37" s="30">
        <f t="shared" si="7"/>
        <v>0.39700000000000002</v>
      </c>
      <c r="H37" s="30">
        <f t="shared" si="7"/>
        <v>0.39700000000000002</v>
      </c>
      <c r="I37" s="30">
        <f t="shared" si="7"/>
        <v>0.38600000000000001</v>
      </c>
      <c r="J37" s="30">
        <f t="shared" si="7"/>
        <v>0.38424999999999998</v>
      </c>
      <c r="K37" s="30">
        <f t="shared" si="7"/>
        <v>0.32524999999999998</v>
      </c>
      <c r="L37" s="30">
        <f t="shared" si="7"/>
        <v>0.30399999999999999</v>
      </c>
      <c r="M37" s="30">
        <f t="shared" si="7"/>
        <v>0.188</v>
      </c>
      <c r="N37" s="30"/>
      <c r="O37" s="30">
        <f t="shared" si="7"/>
        <v>0.28449999999999998</v>
      </c>
      <c r="P37" s="30">
        <f t="shared" si="7"/>
        <v>0.35</v>
      </c>
      <c r="Q37" s="30"/>
      <c r="R37" s="30">
        <f>AVERAGE(R25:R28)</f>
        <v>0.39265384615384613</v>
      </c>
      <c r="S37" s="30">
        <f>AVERAGE(S25:S28)</f>
        <v>0.65075000000000005</v>
      </c>
      <c r="T37" s="30">
        <f>AVERAGE(T25:T28)</f>
        <v>0.33074999999999999</v>
      </c>
    </row>
    <row r="38" spans="1:20">
      <c r="A38" s="354" t="s">
        <v>562</v>
      </c>
      <c r="B38" s="30">
        <f t="shared" ref="B38:P38" si="8">AVERAGE(B25:B36)</f>
        <v>0.57545454545454533</v>
      </c>
      <c r="C38" s="30">
        <f t="shared" si="8"/>
        <v>0.57699999999999996</v>
      </c>
      <c r="D38" s="30">
        <f t="shared" si="8"/>
        <v>0.64024999999999999</v>
      </c>
      <c r="E38" s="30"/>
      <c r="F38" s="30">
        <f t="shared" si="8"/>
        <v>0.4280000000000001</v>
      </c>
      <c r="G38" s="30">
        <f t="shared" si="8"/>
        <v>0.39733333333333332</v>
      </c>
      <c r="H38" s="30">
        <f t="shared" si="8"/>
        <v>0.39733333333333337</v>
      </c>
      <c r="I38" s="30">
        <f t="shared" si="8"/>
        <v>0.38600000000000007</v>
      </c>
      <c r="J38" s="30">
        <f t="shared" si="8"/>
        <v>0.38424999999999998</v>
      </c>
      <c r="K38" s="30">
        <f t="shared" si="8"/>
        <v>0.32616666666666666</v>
      </c>
      <c r="L38" s="30">
        <f t="shared" si="8"/>
        <v>0.30408333333333332</v>
      </c>
      <c r="M38" s="30">
        <f t="shared" si="8"/>
        <v>0.18641666666666667</v>
      </c>
      <c r="N38" s="30"/>
      <c r="O38" s="30">
        <f t="shared" si="8"/>
        <v>0.28675</v>
      </c>
      <c r="P38" s="30">
        <f t="shared" si="8"/>
        <v>0.35025000000000001</v>
      </c>
      <c r="Q38" s="30"/>
      <c r="R38" s="30">
        <f>AVERAGE(R25:R36)</f>
        <v>0.39971742424242424</v>
      </c>
      <c r="S38" s="30">
        <f>AVERAGE(S25:S36)</f>
        <v>0.65483333333333338</v>
      </c>
      <c r="T38" s="30">
        <f>AVERAGE(T25:T36)</f>
        <v>0.32887499999999997</v>
      </c>
    </row>
    <row r="39" spans="1:20" ht="15.5">
      <c r="A39" s="1194" t="s">
        <v>549</v>
      </c>
      <c r="B39" s="1195"/>
      <c r="C39" s="1195"/>
      <c r="D39" s="1195"/>
      <c r="E39" s="1195"/>
      <c r="F39" s="1195"/>
      <c r="G39" s="1195"/>
      <c r="H39" s="1195"/>
      <c r="I39" s="1195"/>
      <c r="J39" s="1195"/>
      <c r="K39" s="1195"/>
      <c r="L39" s="1195"/>
      <c r="M39" s="1195"/>
      <c r="N39" s="1195"/>
      <c r="O39" s="1195"/>
      <c r="P39" s="1195"/>
      <c r="Q39" s="1195"/>
      <c r="R39" s="1195"/>
      <c r="S39" s="1195"/>
      <c r="T39" s="1196"/>
    </row>
    <row r="40" spans="1:20" ht="14">
      <c r="A40" s="354" t="s">
        <v>350</v>
      </c>
      <c r="B40" s="30">
        <v>0.56499999999999995</v>
      </c>
      <c r="C40" s="30">
        <v>0.55300000000000005</v>
      </c>
      <c r="D40" s="30">
        <v>0.65</v>
      </c>
      <c r="E40" s="276"/>
      <c r="F40" s="276">
        <v>0.32400000000000001</v>
      </c>
      <c r="G40" s="276">
        <v>0.39700000000000002</v>
      </c>
      <c r="H40" s="276">
        <v>0.39700000000000002</v>
      </c>
      <c r="I40" s="276">
        <v>0.38600000000000001</v>
      </c>
      <c r="J40" s="276">
        <v>0.38600000000000001</v>
      </c>
      <c r="K40" s="276">
        <v>0.34899999999999998</v>
      </c>
      <c r="L40" s="276">
        <v>0.307</v>
      </c>
      <c r="M40" s="276">
        <v>0.188</v>
      </c>
      <c r="N40" s="276"/>
      <c r="O40" s="276">
        <v>0.28499999999999998</v>
      </c>
      <c r="P40" s="276">
        <v>0.35</v>
      </c>
      <c r="Q40" s="276"/>
      <c r="R40" s="461">
        <f t="shared" ref="R40:R48" si="9">AVERAGE(B40:Q40)</f>
        <v>0.39515384615384619</v>
      </c>
      <c r="S40" s="462">
        <f>MAX(B40:Q40)</f>
        <v>0.65</v>
      </c>
      <c r="T40" s="462">
        <f t="shared" si="0"/>
        <v>0.33549999999999996</v>
      </c>
    </row>
    <row r="41" spans="1:20" ht="14">
      <c r="A41" s="354" t="s">
        <v>157</v>
      </c>
      <c r="B41" s="30">
        <v>0.56499999999999995</v>
      </c>
      <c r="C41" s="30">
        <v>0.55800000000000005</v>
      </c>
      <c r="D41" s="30">
        <v>0.65100000000000002</v>
      </c>
      <c r="E41" s="276"/>
      <c r="F41" s="276">
        <v>0.32400000000000001</v>
      </c>
      <c r="G41" s="276">
        <v>0.39800000000000002</v>
      </c>
      <c r="H41" s="276">
        <v>0.39700000000000002</v>
      </c>
      <c r="I41" s="276">
        <v>0.38700000000000001</v>
      </c>
      <c r="J41" s="276">
        <v>0.38500000000000001</v>
      </c>
      <c r="K41" s="276">
        <v>0.34899999999999998</v>
      </c>
      <c r="L41" s="276">
        <v>0.30599999999999999</v>
      </c>
      <c r="M41" s="276">
        <v>0.188</v>
      </c>
      <c r="N41" s="276"/>
      <c r="O41" s="276">
        <v>0.28499999999999998</v>
      </c>
      <c r="P41" s="276">
        <v>0.34899999999999998</v>
      </c>
      <c r="Q41" s="276"/>
      <c r="R41" s="461">
        <f t="shared" si="9"/>
        <v>0.39553846153846156</v>
      </c>
      <c r="S41" s="462">
        <f t="shared" ref="S41:S48" si="10">MAX(B41:Q41)</f>
        <v>0.65100000000000002</v>
      </c>
      <c r="T41" s="462">
        <f t="shared" si="0"/>
        <v>0.33533333333333332</v>
      </c>
    </row>
    <row r="42" spans="1:20" ht="14">
      <c r="A42" s="354" t="s">
        <v>351</v>
      </c>
      <c r="B42" s="30">
        <v>0.56499999999999995</v>
      </c>
      <c r="C42" s="30">
        <v>0.56499999999999995</v>
      </c>
      <c r="D42" s="30">
        <v>0.65200000000000002</v>
      </c>
      <c r="E42" s="276"/>
      <c r="F42" s="276">
        <v>0.32400000000000001</v>
      </c>
      <c r="G42" s="276">
        <v>0.39700000000000002</v>
      </c>
      <c r="H42" s="276">
        <v>0.39700000000000002</v>
      </c>
      <c r="I42" s="276">
        <v>0.38600000000000001</v>
      </c>
      <c r="J42" s="276">
        <v>0.38500000000000001</v>
      </c>
      <c r="K42" s="276">
        <v>0.34799999999999998</v>
      </c>
      <c r="L42" s="276">
        <v>0.30599999999999999</v>
      </c>
      <c r="M42" s="276">
        <v>0.188</v>
      </c>
      <c r="N42" s="276"/>
      <c r="O42" s="276">
        <v>0.28499999999999998</v>
      </c>
      <c r="P42" s="276">
        <v>0.34899999999999998</v>
      </c>
      <c r="Q42" s="276"/>
      <c r="R42" s="461">
        <f t="shared" si="9"/>
        <v>0.39592307692307693</v>
      </c>
      <c r="S42" s="462">
        <f t="shared" si="10"/>
        <v>0.65200000000000002</v>
      </c>
      <c r="T42" s="462">
        <f t="shared" si="0"/>
        <v>0.33500000000000002</v>
      </c>
    </row>
    <row r="43" spans="1:20" ht="14">
      <c r="A43" s="354" t="s">
        <v>158</v>
      </c>
      <c r="B43" s="30">
        <v>0.56499999999999995</v>
      </c>
      <c r="C43" s="30">
        <v>0.57399999999999995</v>
      </c>
      <c r="D43" s="30">
        <v>0.65</v>
      </c>
      <c r="E43" s="276"/>
      <c r="F43" s="276">
        <v>0.32200000000000001</v>
      </c>
      <c r="G43" s="276">
        <v>0.39700000000000002</v>
      </c>
      <c r="H43" s="276">
        <v>0.39700000000000002</v>
      </c>
      <c r="I43" s="276">
        <v>0.38600000000000001</v>
      </c>
      <c r="J43" s="276">
        <v>0.38500000000000001</v>
      </c>
      <c r="K43" s="276">
        <v>0.34799999999999998</v>
      </c>
      <c r="L43" s="276">
        <v>0.30599999999999999</v>
      </c>
      <c r="M43" s="276">
        <v>0.188</v>
      </c>
      <c r="N43" s="276"/>
      <c r="O43" s="276">
        <v>0.28499999999999998</v>
      </c>
      <c r="P43" s="276">
        <v>0.34899999999999998</v>
      </c>
      <c r="Q43" s="276"/>
      <c r="R43" s="461">
        <f t="shared" si="9"/>
        <v>0.39630769230769231</v>
      </c>
      <c r="S43" s="462">
        <f t="shared" si="10"/>
        <v>0.65</v>
      </c>
      <c r="T43" s="462">
        <f t="shared" si="0"/>
        <v>0.33500000000000002</v>
      </c>
    </row>
    <row r="44" spans="1:20" ht="14">
      <c r="A44" s="354" t="s">
        <v>352</v>
      </c>
      <c r="B44" s="30">
        <v>0.56699999999999995</v>
      </c>
      <c r="C44" s="30">
        <v>0.57999999999999996</v>
      </c>
      <c r="D44" s="30">
        <v>0.65</v>
      </c>
      <c r="E44" s="276"/>
      <c r="F44" s="276">
        <v>0.32800000000000001</v>
      </c>
      <c r="G44" s="276">
        <v>0.39700000000000002</v>
      </c>
      <c r="H44" s="276">
        <v>0.39700000000000002</v>
      </c>
      <c r="I44" s="276">
        <v>0.38600000000000001</v>
      </c>
      <c r="J44" s="276">
        <v>0.38500000000000001</v>
      </c>
      <c r="K44" s="276">
        <v>0.34799999999999998</v>
      </c>
      <c r="L44" s="276">
        <v>0.30599999999999999</v>
      </c>
      <c r="M44" s="276">
        <v>0.188</v>
      </c>
      <c r="N44" s="276"/>
      <c r="O44" s="276">
        <v>0.28499999999999998</v>
      </c>
      <c r="P44" s="276">
        <v>0.34899999999999998</v>
      </c>
      <c r="Q44" s="276"/>
      <c r="R44" s="461">
        <f t="shared" si="9"/>
        <v>0.39738461538461534</v>
      </c>
      <c r="S44" s="462">
        <f t="shared" si="10"/>
        <v>0.65</v>
      </c>
      <c r="T44" s="462">
        <f t="shared" si="0"/>
        <v>0.33500000000000002</v>
      </c>
    </row>
    <row r="45" spans="1:20" ht="14">
      <c r="A45" s="354" t="s">
        <v>159</v>
      </c>
      <c r="B45" s="30">
        <v>0.56399999999999995</v>
      </c>
      <c r="C45" s="30">
        <v>0.58699999999999997</v>
      </c>
      <c r="D45" s="30">
        <v>0.65</v>
      </c>
      <c r="E45" s="276"/>
      <c r="F45" s="276">
        <v>0.312</v>
      </c>
      <c r="G45" s="276">
        <v>0.39600000000000002</v>
      </c>
      <c r="H45" s="276">
        <v>0.39700000000000002</v>
      </c>
      <c r="I45" s="276">
        <v>0.38600000000000001</v>
      </c>
      <c r="J45" s="276">
        <v>0.38500000000000001</v>
      </c>
      <c r="K45" s="276">
        <v>0.34799999999999998</v>
      </c>
      <c r="L45" s="276">
        <v>0.30599999999999999</v>
      </c>
      <c r="M45" s="276">
        <v>0.188</v>
      </c>
      <c r="N45" s="276"/>
      <c r="O45" s="276">
        <v>0.28499999999999998</v>
      </c>
      <c r="P45" s="276">
        <v>0.34899999999999998</v>
      </c>
      <c r="Q45" s="276"/>
      <c r="R45" s="461">
        <f t="shared" si="9"/>
        <v>0.39638461538461534</v>
      </c>
      <c r="S45" s="462">
        <f t="shared" si="10"/>
        <v>0.65</v>
      </c>
      <c r="T45" s="462">
        <f t="shared" si="0"/>
        <v>0.33500000000000002</v>
      </c>
    </row>
    <row r="46" spans="1:20" ht="14">
      <c r="A46" s="354" t="s">
        <v>353</v>
      </c>
      <c r="B46" s="30">
        <v>0.56999999999999995</v>
      </c>
      <c r="C46" s="30">
        <v>0.59099999999999997</v>
      </c>
      <c r="D46" s="30">
        <v>0.65200000000000002</v>
      </c>
      <c r="E46" s="276"/>
      <c r="F46" s="276">
        <v>0.32100000000000001</v>
      </c>
      <c r="G46" s="276">
        <v>0.39600000000000002</v>
      </c>
      <c r="H46" s="276">
        <v>0.39700000000000002</v>
      </c>
      <c r="I46" s="276">
        <v>0.38900000000000001</v>
      </c>
      <c r="J46" s="276">
        <v>0.38600000000000001</v>
      </c>
      <c r="K46" s="276">
        <v>0.34799999999999998</v>
      </c>
      <c r="L46" s="276">
        <v>0.30599999999999999</v>
      </c>
      <c r="M46" s="276">
        <v>0.188</v>
      </c>
      <c r="N46" s="276"/>
      <c r="O46" s="276">
        <v>0.28499999999999998</v>
      </c>
      <c r="P46" s="276">
        <v>0.34899999999999998</v>
      </c>
      <c r="Q46" s="276"/>
      <c r="R46" s="461">
        <f t="shared" si="9"/>
        <v>0.39830769230769236</v>
      </c>
      <c r="S46" s="462">
        <f t="shared" si="10"/>
        <v>0.65200000000000002</v>
      </c>
      <c r="T46" s="462">
        <f t="shared" si="0"/>
        <v>0.33566666666666672</v>
      </c>
    </row>
    <row r="47" spans="1:20" ht="14">
      <c r="A47" s="354" t="s">
        <v>160</v>
      </c>
      <c r="B47" s="30">
        <v>0.56200000000000006</v>
      </c>
      <c r="C47" s="30">
        <v>0.60399999999999998</v>
      </c>
      <c r="D47" s="30">
        <v>0.65100000000000002</v>
      </c>
      <c r="E47" s="276"/>
      <c r="F47" s="276">
        <v>0.32500000000000001</v>
      </c>
      <c r="G47" s="276">
        <v>0.39700000000000002</v>
      </c>
      <c r="H47" s="276">
        <v>0.39700000000000002</v>
      </c>
      <c r="I47" s="276">
        <v>0.38700000000000001</v>
      </c>
      <c r="J47" s="276">
        <v>0.38600000000000001</v>
      </c>
      <c r="K47" s="276">
        <v>0.34699999999999998</v>
      </c>
      <c r="L47" s="276">
        <v>0.30599999999999999</v>
      </c>
      <c r="M47" s="276">
        <v>0.188</v>
      </c>
      <c r="N47" s="276"/>
      <c r="O47" s="276">
        <v>0.28499999999999998</v>
      </c>
      <c r="P47" s="276">
        <v>0.34899999999999998</v>
      </c>
      <c r="Q47" s="276"/>
      <c r="R47" s="461">
        <f t="shared" si="9"/>
        <v>0.39876923076923076</v>
      </c>
      <c r="S47" s="462">
        <f t="shared" si="10"/>
        <v>0.65100000000000002</v>
      </c>
      <c r="T47" s="462">
        <f t="shared" si="0"/>
        <v>0.33516666666666667</v>
      </c>
    </row>
    <row r="48" spans="1:20" ht="14">
      <c r="A48" s="354" t="s">
        <v>161</v>
      </c>
      <c r="B48" s="30"/>
      <c r="C48" s="30">
        <v>0.60799999999999998</v>
      </c>
      <c r="D48" s="30">
        <v>0.65100000000000002</v>
      </c>
      <c r="E48" s="276"/>
      <c r="F48" s="276">
        <v>0.39900000000000002</v>
      </c>
      <c r="G48" s="276">
        <v>0.39700000000000002</v>
      </c>
      <c r="H48" s="276">
        <v>0.39700000000000002</v>
      </c>
      <c r="I48" s="276">
        <v>0.38500000000000001</v>
      </c>
      <c r="J48" s="276">
        <v>0.38700000000000001</v>
      </c>
      <c r="K48" s="276">
        <v>0.34799999999999998</v>
      </c>
      <c r="L48" s="276"/>
      <c r="M48" s="276">
        <v>0.188</v>
      </c>
      <c r="N48" s="276"/>
      <c r="O48" s="276">
        <v>0.28499999999999998</v>
      </c>
      <c r="P48" s="276">
        <v>0.35</v>
      </c>
      <c r="Q48" s="276"/>
      <c r="R48" s="461">
        <f t="shared" si="9"/>
        <v>0.39954545454545448</v>
      </c>
      <c r="S48" s="462">
        <f t="shared" si="10"/>
        <v>0.65100000000000002</v>
      </c>
      <c r="T48" s="462">
        <f t="shared" si="0"/>
        <v>0.34099999999999997</v>
      </c>
    </row>
    <row r="49" spans="1:20" ht="14">
      <c r="A49" s="354" t="s">
        <v>162</v>
      </c>
      <c r="B49" s="30"/>
      <c r="C49" s="30"/>
      <c r="D49" s="30"/>
      <c r="E49" s="276"/>
      <c r="F49" s="276"/>
      <c r="G49" s="276"/>
      <c r="H49" s="276"/>
      <c r="I49" s="276"/>
      <c r="J49" s="276"/>
      <c r="K49" s="276"/>
      <c r="L49" s="276"/>
      <c r="M49" s="276">
        <v>0.191</v>
      </c>
      <c r="N49" s="276"/>
      <c r="O49" s="276"/>
      <c r="P49" s="276"/>
      <c r="Q49" s="276"/>
      <c r="R49" s="461"/>
      <c r="S49" s="462"/>
      <c r="T49" s="462"/>
    </row>
    <row r="50" spans="1:20">
      <c r="A50" s="354" t="s">
        <v>561</v>
      </c>
      <c r="B50" s="30">
        <f t="shared" ref="B50:P50" si="11">AVERAGE(B40:B43)</f>
        <v>0.56499999999999995</v>
      </c>
      <c r="C50" s="30">
        <f t="shared" si="11"/>
        <v>0.5625</v>
      </c>
      <c r="D50" s="30">
        <f t="shared" si="11"/>
        <v>0.65075000000000005</v>
      </c>
      <c r="E50" s="30"/>
      <c r="F50" s="30">
        <f>AVERAGE(F40:F43)</f>
        <v>0.32350000000000001</v>
      </c>
      <c r="G50" s="30">
        <f t="shared" si="11"/>
        <v>0.39725000000000005</v>
      </c>
      <c r="H50" s="30">
        <f t="shared" si="11"/>
        <v>0.39700000000000002</v>
      </c>
      <c r="I50" s="30">
        <f t="shared" si="11"/>
        <v>0.38624999999999998</v>
      </c>
      <c r="J50" s="30">
        <f t="shared" si="11"/>
        <v>0.38525000000000004</v>
      </c>
      <c r="K50" s="30">
        <f t="shared" si="11"/>
        <v>0.34849999999999992</v>
      </c>
      <c r="L50" s="30">
        <f t="shared" si="11"/>
        <v>0.30625000000000002</v>
      </c>
      <c r="M50" s="30">
        <f t="shared" si="11"/>
        <v>0.188</v>
      </c>
      <c r="N50" s="30"/>
      <c r="O50" s="30">
        <f t="shared" si="11"/>
        <v>0.28499999999999998</v>
      </c>
      <c r="P50" s="30">
        <f t="shared" si="11"/>
        <v>0.34925</v>
      </c>
      <c r="Q50" s="30"/>
      <c r="R50" s="30">
        <f>AVERAGE(R40:R43)</f>
        <v>0.39573076923076922</v>
      </c>
      <c r="S50" s="30">
        <f>AVERAGE(S40:S43)</f>
        <v>0.65075000000000005</v>
      </c>
      <c r="T50" s="30">
        <f>AVERAGE(T40:T43)</f>
        <v>0.33520833333333333</v>
      </c>
    </row>
    <row r="51" spans="1:20">
      <c r="A51" s="354" t="s">
        <v>562</v>
      </c>
      <c r="B51" s="30">
        <f t="shared" ref="B51:P51" si="12">AVERAGE(B40:B49)</f>
        <v>0.56537499999999996</v>
      </c>
      <c r="C51" s="30">
        <f t="shared" si="12"/>
        <v>0.57999999999999996</v>
      </c>
      <c r="D51" s="30">
        <f t="shared" si="12"/>
        <v>0.65077777777777768</v>
      </c>
      <c r="E51" s="30"/>
      <c r="F51" s="30">
        <f t="shared" si="12"/>
        <v>0.33100000000000007</v>
      </c>
      <c r="G51" s="30">
        <f t="shared" si="12"/>
        <v>0.3968888888888889</v>
      </c>
      <c r="H51" s="30">
        <f t="shared" si="12"/>
        <v>0.39700000000000002</v>
      </c>
      <c r="I51" s="30">
        <f t="shared" si="12"/>
        <v>0.38644444444444453</v>
      </c>
      <c r="J51" s="30">
        <f t="shared" si="12"/>
        <v>0.3855555555555556</v>
      </c>
      <c r="K51" s="30">
        <f t="shared" si="12"/>
        <v>0.34811111111111104</v>
      </c>
      <c r="L51" s="30">
        <f t="shared" si="12"/>
        <v>0.30612500000000004</v>
      </c>
      <c r="M51" s="30">
        <f t="shared" si="12"/>
        <v>0.18829999999999997</v>
      </c>
      <c r="N51" s="30"/>
      <c r="O51" s="30">
        <f t="shared" si="12"/>
        <v>0.28499999999999998</v>
      </c>
      <c r="P51" s="30">
        <f t="shared" si="12"/>
        <v>0.34922222222222227</v>
      </c>
      <c r="Q51" s="30"/>
      <c r="R51" s="30">
        <f>AVERAGE(R40:R49)</f>
        <v>0.39703496503496499</v>
      </c>
      <c r="S51" s="30">
        <f>AVERAGE(S40:S49)</f>
        <v>0.65077777777777768</v>
      </c>
      <c r="T51" s="30">
        <f>AVERAGE(T40:T49)</f>
        <v>0.33585185185185185</v>
      </c>
    </row>
    <row r="52" spans="1:20" ht="15.5">
      <c r="A52" s="1194" t="s">
        <v>550</v>
      </c>
      <c r="B52" s="1195"/>
      <c r="C52" s="1195"/>
      <c r="D52" s="1195"/>
      <c r="E52" s="1195"/>
      <c r="F52" s="1195"/>
      <c r="G52" s="1195"/>
      <c r="H52" s="1195"/>
      <c r="I52" s="1195"/>
      <c r="J52" s="1195"/>
      <c r="K52" s="1195"/>
      <c r="L52" s="1195"/>
      <c r="M52" s="1195"/>
      <c r="N52" s="1195"/>
      <c r="O52" s="1195"/>
      <c r="P52" s="1195"/>
      <c r="Q52" s="1195"/>
      <c r="R52" s="1195"/>
      <c r="S52" s="1195"/>
      <c r="T52" s="1196"/>
    </row>
    <row r="53" spans="1:20" ht="14">
      <c r="A53" s="354" t="s">
        <v>350</v>
      </c>
      <c r="B53" s="30">
        <v>0.56000000000000005</v>
      </c>
      <c r="C53" s="30">
        <v>0.54900000000000004</v>
      </c>
      <c r="D53" s="30">
        <v>0.65100000000000002</v>
      </c>
      <c r="E53" s="276"/>
      <c r="F53" s="276">
        <v>0.32100000000000001</v>
      </c>
      <c r="G53" s="276">
        <v>0.39900000000000002</v>
      </c>
      <c r="H53" s="276">
        <v>0.39700000000000002</v>
      </c>
      <c r="I53" s="276">
        <v>0.38900000000000001</v>
      </c>
      <c r="J53" s="276">
        <v>0.38600000000000001</v>
      </c>
      <c r="K53" s="276">
        <v>0.35199999999999998</v>
      </c>
      <c r="L53" s="276">
        <v>0.30599999999999999</v>
      </c>
      <c r="M53" s="276">
        <v>0.19</v>
      </c>
      <c r="N53" s="276"/>
      <c r="O53" s="276">
        <v>0.28599999999999998</v>
      </c>
      <c r="P53" s="276">
        <v>0.35</v>
      </c>
      <c r="Q53" s="276">
        <v>0.376</v>
      </c>
      <c r="R53" s="461">
        <f>AVERAGE(B53:Q53)</f>
        <v>0.39371428571428574</v>
      </c>
      <c r="S53" s="462">
        <f t="shared" ref="S53:S60" si="13">MAX(B53:Q53)</f>
        <v>0.65100000000000002</v>
      </c>
      <c r="T53" s="462">
        <f t="shared" si="0"/>
        <v>0.33666666666666667</v>
      </c>
    </row>
    <row r="54" spans="1:20" ht="14">
      <c r="A54" s="354" t="s">
        <v>157</v>
      </c>
      <c r="B54" s="30">
        <v>0.56399999999999995</v>
      </c>
      <c r="C54" s="30">
        <v>0.55200000000000005</v>
      </c>
      <c r="D54" s="30">
        <v>0.65100000000000002</v>
      </c>
      <c r="E54" s="276"/>
      <c r="F54" s="276">
        <v>0.34100000000000003</v>
      </c>
      <c r="G54" s="276">
        <v>0.39800000000000002</v>
      </c>
      <c r="H54" s="276">
        <v>0.39700000000000002</v>
      </c>
      <c r="I54" s="276">
        <v>0.38900000000000001</v>
      </c>
      <c r="J54" s="276">
        <v>0.38600000000000001</v>
      </c>
      <c r="K54" s="276">
        <v>0.35099999999999998</v>
      </c>
      <c r="L54" s="276">
        <v>0.30599999999999999</v>
      </c>
      <c r="M54" s="276">
        <v>0.19</v>
      </c>
      <c r="N54" s="276"/>
      <c r="O54" s="276">
        <v>0.28899999999999998</v>
      </c>
      <c r="P54" s="276">
        <v>0.34899999999999998</v>
      </c>
      <c r="Q54" s="276">
        <v>0.379</v>
      </c>
      <c r="R54" s="461">
        <f t="shared" ref="R54:R60" si="14">AVERAGE(B54:Q54)</f>
        <v>0.39585714285714296</v>
      </c>
      <c r="S54" s="462">
        <f t="shared" si="13"/>
        <v>0.65100000000000002</v>
      </c>
      <c r="T54" s="462">
        <f t="shared" si="0"/>
        <v>0.33650000000000002</v>
      </c>
    </row>
    <row r="55" spans="1:20" ht="14">
      <c r="A55" s="354" t="s">
        <v>351</v>
      </c>
      <c r="B55" s="30">
        <v>0.56499999999999995</v>
      </c>
      <c r="C55" s="30">
        <v>0.55700000000000005</v>
      </c>
      <c r="D55" s="30">
        <v>0.65100000000000002</v>
      </c>
      <c r="E55" s="276"/>
      <c r="F55" s="276">
        <v>0.33700000000000002</v>
      </c>
      <c r="G55" s="276">
        <v>0.40100000000000002</v>
      </c>
      <c r="H55" s="276">
        <v>0.39700000000000002</v>
      </c>
      <c r="I55" s="276">
        <v>0.38900000000000001</v>
      </c>
      <c r="J55" s="276">
        <v>0.38500000000000001</v>
      </c>
      <c r="K55" s="276">
        <v>0.35299999999999998</v>
      </c>
      <c r="L55" s="276">
        <v>0.307</v>
      </c>
      <c r="M55" s="276">
        <v>0.19</v>
      </c>
      <c r="N55" s="276"/>
      <c r="O55" s="276">
        <v>0.28999999999999998</v>
      </c>
      <c r="P55" s="276">
        <v>0.34899999999999998</v>
      </c>
      <c r="Q55" s="276">
        <v>0.38700000000000001</v>
      </c>
      <c r="R55" s="461">
        <f t="shared" si="14"/>
        <v>0.39700000000000013</v>
      </c>
      <c r="S55" s="462">
        <f t="shared" si="13"/>
        <v>0.65100000000000002</v>
      </c>
      <c r="T55" s="462">
        <f t="shared" si="0"/>
        <v>0.33683333333333332</v>
      </c>
    </row>
    <row r="56" spans="1:20" ht="14">
      <c r="A56" s="354" t="s">
        <v>158</v>
      </c>
      <c r="B56" s="30">
        <v>0.56599999999999995</v>
      </c>
      <c r="C56" s="30">
        <v>0.56000000000000005</v>
      </c>
      <c r="D56" s="30">
        <v>0.65100000000000002</v>
      </c>
      <c r="E56" s="276"/>
      <c r="F56" s="276">
        <v>0.33100000000000002</v>
      </c>
      <c r="G56" s="276">
        <v>0.40600000000000003</v>
      </c>
      <c r="H56" s="276">
        <v>0.39700000000000002</v>
      </c>
      <c r="I56" s="276">
        <v>0.38900000000000001</v>
      </c>
      <c r="J56" s="276">
        <v>0.38500000000000001</v>
      </c>
      <c r="K56" s="276">
        <v>0.35299999999999998</v>
      </c>
      <c r="L56" s="276">
        <v>0.307</v>
      </c>
      <c r="M56" s="276">
        <v>0.19</v>
      </c>
      <c r="N56" s="276"/>
      <c r="O56" s="276">
        <v>0.29199999999999998</v>
      </c>
      <c r="P56" s="276">
        <v>0.34899999999999998</v>
      </c>
      <c r="Q56" s="276">
        <v>0.39400000000000002</v>
      </c>
      <c r="R56" s="461">
        <f t="shared" si="14"/>
        <v>0.39785714285714296</v>
      </c>
      <c r="S56" s="462">
        <f t="shared" si="13"/>
        <v>0.65100000000000002</v>
      </c>
      <c r="T56" s="462">
        <f t="shared" si="0"/>
        <v>0.33683333333333332</v>
      </c>
    </row>
    <row r="57" spans="1:20" ht="14">
      <c r="A57" s="354" t="s">
        <v>352</v>
      </c>
      <c r="B57" s="30">
        <v>0.79100000000000004</v>
      </c>
      <c r="C57" s="30">
        <v>0.56699999999999995</v>
      </c>
      <c r="D57" s="30">
        <v>0.65100000000000002</v>
      </c>
      <c r="E57" s="276"/>
      <c r="F57" s="276">
        <v>0.32700000000000001</v>
      </c>
      <c r="G57" s="276">
        <v>0.40699999999999997</v>
      </c>
      <c r="H57" s="276">
        <v>0.39700000000000002</v>
      </c>
      <c r="I57" s="276">
        <v>0.38900000000000001</v>
      </c>
      <c r="J57" s="276">
        <v>0.38500000000000001</v>
      </c>
      <c r="K57" s="276">
        <v>0.35399999999999998</v>
      </c>
      <c r="L57" s="276">
        <v>0.307</v>
      </c>
      <c r="M57" s="276">
        <v>0.191</v>
      </c>
      <c r="N57" s="276"/>
      <c r="O57" s="276">
        <v>0.29499999999999998</v>
      </c>
      <c r="P57" s="276">
        <v>0.35</v>
      </c>
      <c r="Q57" s="276">
        <v>0.39700000000000002</v>
      </c>
      <c r="R57" s="461">
        <f t="shared" si="14"/>
        <v>0.41485714285714292</v>
      </c>
      <c r="S57" s="462">
        <f t="shared" si="13"/>
        <v>0.79100000000000004</v>
      </c>
      <c r="T57" s="462">
        <f t="shared" si="0"/>
        <v>0.33716666666666661</v>
      </c>
    </row>
    <row r="58" spans="1:20" ht="14">
      <c r="A58" s="354" t="s">
        <v>159</v>
      </c>
      <c r="B58" s="30"/>
      <c r="C58" s="30"/>
      <c r="D58" s="30">
        <v>0.65300000000000002</v>
      </c>
      <c r="E58" s="276"/>
      <c r="F58" s="276">
        <v>0.32500000000000001</v>
      </c>
      <c r="G58" s="276"/>
      <c r="H58" s="276">
        <v>0.39700000000000002</v>
      </c>
      <c r="I58" s="276">
        <v>0.38900000000000001</v>
      </c>
      <c r="J58" s="276">
        <v>0.38400000000000001</v>
      </c>
      <c r="K58" s="276"/>
      <c r="L58" s="276"/>
      <c r="M58" s="276">
        <v>0.191</v>
      </c>
      <c r="N58" s="276"/>
      <c r="O58" s="276"/>
      <c r="P58" s="276">
        <v>0.35</v>
      </c>
      <c r="Q58" s="276">
        <v>0.41599999999999998</v>
      </c>
      <c r="R58" s="461">
        <f t="shared" si="14"/>
        <v>0.388125</v>
      </c>
      <c r="S58" s="462">
        <f t="shared" si="13"/>
        <v>0.65300000000000002</v>
      </c>
      <c r="T58" s="462">
        <f t="shared" si="0"/>
        <v>0.34025</v>
      </c>
    </row>
    <row r="59" spans="1:20" ht="14">
      <c r="A59" s="354" t="s">
        <v>353</v>
      </c>
      <c r="B59" s="30"/>
      <c r="C59" s="30"/>
      <c r="D59" s="30">
        <v>0.65600000000000003</v>
      </c>
      <c r="E59" s="276"/>
      <c r="F59" s="276"/>
      <c r="G59" s="276"/>
      <c r="H59" s="276">
        <v>0.40200000000000002</v>
      </c>
      <c r="I59" s="276">
        <v>0.38900000000000001</v>
      </c>
      <c r="J59" s="276">
        <v>0.38600000000000001</v>
      </c>
      <c r="K59" s="276"/>
      <c r="L59" s="276"/>
      <c r="M59" s="276">
        <v>0.19</v>
      </c>
      <c r="N59" s="276"/>
      <c r="O59" s="276"/>
      <c r="P59" s="276">
        <v>0.35</v>
      </c>
      <c r="Q59" s="276"/>
      <c r="R59" s="461">
        <f t="shared" si="14"/>
        <v>0.39550000000000002</v>
      </c>
      <c r="S59" s="462">
        <f t="shared" si="13"/>
        <v>0.65600000000000003</v>
      </c>
      <c r="T59" s="462">
        <f t="shared" si="0"/>
        <v>0.34175</v>
      </c>
    </row>
    <row r="60" spans="1:20" ht="14">
      <c r="A60" s="354" t="s">
        <v>160</v>
      </c>
      <c r="B60" s="30"/>
      <c r="C60" s="30"/>
      <c r="D60" s="30">
        <v>0.752</v>
      </c>
      <c r="E60" s="276"/>
      <c r="F60" s="276"/>
      <c r="G60" s="276"/>
      <c r="H60" s="276">
        <v>0.40200000000000002</v>
      </c>
      <c r="I60" s="276">
        <v>0.38900000000000001</v>
      </c>
      <c r="J60" s="276">
        <v>0.38500000000000001</v>
      </c>
      <c r="K60" s="276"/>
      <c r="L60" s="276"/>
      <c r="M60" s="276">
        <v>0.19</v>
      </c>
      <c r="N60" s="276"/>
      <c r="O60" s="276"/>
      <c r="P60" s="276">
        <v>0.35</v>
      </c>
      <c r="Q60" s="276"/>
      <c r="R60" s="461">
        <f t="shared" si="14"/>
        <v>0.41133333333333333</v>
      </c>
      <c r="S60" s="462">
        <f t="shared" si="13"/>
        <v>0.752</v>
      </c>
      <c r="T60" s="462">
        <f t="shared" si="0"/>
        <v>0.34150000000000003</v>
      </c>
    </row>
    <row r="61" spans="1:20">
      <c r="A61" s="354" t="s">
        <v>561</v>
      </c>
      <c r="B61" s="30">
        <f>AVERAGE(B53:B56)</f>
        <v>0.56374999999999997</v>
      </c>
      <c r="C61" s="30">
        <f t="shared" ref="C61:L61" si="15">AVERAGE(C53:C56)</f>
        <v>0.55449999999999999</v>
      </c>
      <c r="D61" s="30">
        <f t="shared" si="15"/>
        <v>0.65100000000000002</v>
      </c>
      <c r="E61" s="30"/>
      <c r="F61" s="30">
        <f>AVERAGE(F53:F56)</f>
        <v>0.33250000000000002</v>
      </c>
      <c r="G61" s="30">
        <f>AVERAGE(G53:G56)</f>
        <v>0.40100000000000002</v>
      </c>
      <c r="H61" s="30">
        <f t="shared" si="15"/>
        <v>0.39700000000000002</v>
      </c>
      <c r="I61" s="30">
        <f t="shared" si="15"/>
        <v>0.38900000000000001</v>
      </c>
      <c r="J61" s="30">
        <f t="shared" si="15"/>
        <v>0.38550000000000001</v>
      </c>
      <c r="K61" s="30">
        <f t="shared" si="15"/>
        <v>0.35225000000000001</v>
      </c>
      <c r="L61" s="30">
        <f t="shared" si="15"/>
        <v>0.30649999999999999</v>
      </c>
      <c r="M61" s="30">
        <f>AVERAGE(M53:M56)</f>
        <v>0.19</v>
      </c>
      <c r="N61" s="30"/>
      <c r="O61" s="30">
        <f t="shared" ref="O61:T61" si="16">AVERAGE(O53:O56)</f>
        <v>0.28925000000000001</v>
      </c>
      <c r="P61" s="30">
        <f t="shared" si="16"/>
        <v>0.34925</v>
      </c>
      <c r="Q61" s="30">
        <f t="shared" si="16"/>
        <v>0.38400000000000001</v>
      </c>
      <c r="R61" s="30">
        <f t="shared" si="16"/>
        <v>0.39610714285714294</v>
      </c>
      <c r="S61" s="30">
        <f t="shared" si="16"/>
        <v>0.65100000000000002</v>
      </c>
      <c r="T61" s="30">
        <f t="shared" si="16"/>
        <v>0.33670833333333333</v>
      </c>
    </row>
    <row r="62" spans="1:20">
      <c r="A62" s="354" t="s">
        <v>562</v>
      </c>
      <c r="B62" s="30">
        <f t="shared" ref="B62:T62" si="17">AVERAGE(B53:B60)</f>
        <v>0.60919999999999996</v>
      </c>
      <c r="C62" s="30">
        <f t="shared" si="17"/>
        <v>0.55700000000000005</v>
      </c>
      <c r="D62" s="30">
        <f t="shared" si="17"/>
        <v>0.66449999999999998</v>
      </c>
      <c r="E62" s="30"/>
      <c r="F62" s="30">
        <f t="shared" si="17"/>
        <v>0.33033333333333331</v>
      </c>
      <c r="G62" s="30">
        <f t="shared" si="17"/>
        <v>0.4022</v>
      </c>
      <c r="H62" s="30">
        <f t="shared" si="17"/>
        <v>0.39825000000000005</v>
      </c>
      <c r="I62" s="30">
        <f t="shared" si="17"/>
        <v>0.38900000000000001</v>
      </c>
      <c r="J62" s="30">
        <f t="shared" si="17"/>
        <v>0.38524999999999998</v>
      </c>
      <c r="K62" s="30">
        <f t="shared" si="17"/>
        <v>0.35259999999999997</v>
      </c>
      <c r="L62" s="30">
        <f t="shared" si="17"/>
        <v>0.30659999999999998</v>
      </c>
      <c r="M62" s="30">
        <f t="shared" si="17"/>
        <v>0.19025</v>
      </c>
      <c r="N62" s="30"/>
      <c r="O62" s="30">
        <f t="shared" si="17"/>
        <v>0.29039999999999999</v>
      </c>
      <c r="P62" s="30">
        <f t="shared" si="17"/>
        <v>0.34962500000000002</v>
      </c>
      <c r="Q62" s="30">
        <f t="shared" si="17"/>
        <v>0.39150000000000001</v>
      </c>
      <c r="R62" s="30">
        <f t="shared" si="17"/>
        <v>0.39928050595238102</v>
      </c>
      <c r="S62" s="30">
        <f t="shared" si="17"/>
        <v>0.68199999999999994</v>
      </c>
      <c r="T62" s="30">
        <f t="shared" si="17"/>
        <v>0.33843749999999995</v>
      </c>
    </row>
    <row r="63" spans="1:20" ht="15.5">
      <c r="A63" s="1194" t="s">
        <v>551</v>
      </c>
      <c r="B63" s="1195"/>
      <c r="C63" s="1195"/>
      <c r="D63" s="1195"/>
      <c r="E63" s="1195"/>
      <c r="F63" s="1195"/>
      <c r="G63" s="1195"/>
      <c r="H63" s="1195"/>
      <c r="I63" s="1195"/>
      <c r="J63" s="1195"/>
      <c r="K63" s="1195"/>
      <c r="L63" s="1195"/>
      <c r="M63" s="1195"/>
      <c r="N63" s="1195"/>
      <c r="O63" s="1195"/>
      <c r="P63" s="1195"/>
      <c r="Q63" s="1195"/>
      <c r="R63" s="1195"/>
      <c r="S63" s="1195"/>
      <c r="T63" s="1196"/>
    </row>
    <row r="64" spans="1:20" ht="14">
      <c r="A64" s="354" t="s">
        <v>350</v>
      </c>
      <c r="B64" s="30">
        <v>0.57699999999999996</v>
      </c>
      <c r="C64" s="30">
        <v>0.54900000000000004</v>
      </c>
      <c r="D64" s="30">
        <v>0.65700000000000003</v>
      </c>
      <c r="E64" s="276"/>
      <c r="F64" s="276">
        <v>0.32900000000000001</v>
      </c>
      <c r="G64" s="276">
        <v>0.39800000000000002</v>
      </c>
      <c r="H64" s="276">
        <v>0.39600000000000002</v>
      </c>
      <c r="I64" s="276">
        <v>0.38400000000000001</v>
      </c>
      <c r="J64" s="276">
        <v>0.38400000000000001</v>
      </c>
      <c r="K64" s="276">
        <v>0.35</v>
      </c>
      <c r="L64" s="276">
        <v>0.30399999999999999</v>
      </c>
      <c r="M64" s="276">
        <v>0.19</v>
      </c>
      <c r="N64" s="276"/>
      <c r="O64" s="276">
        <v>0.29099999999999998</v>
      </c>
      <c r="P64" s="276">
        <v>0.35099999999999998</v>
      </c>
      <c r="Q64" s="276">
        <v>0.36899999999999999</v>
      </c>
      <c r="R64" s="461">
        <f>AVERAGE(B64:Q64)</f>
        <v>0.39492857142857146</v>
      </c>
      <c r="S64" s="462">
        <f t="shared" ref="S64:S73" si="18">MAX(B64:Q64)</f>
        <v>0.65700000000000003</v>
      </c>
      <c r="T64" s="462">
        <f t="shared" si="0"/>
        <v>0.33466666666666672</v>
      </c>
    </row>
    <row r="65" spans="1:20" ht="14">
      <c r="A65" s="354" t="s">
        <v>157</v>
      </c>
      <c r="B65" s="30">
        <v>0.59899999999999998</v>
      </c>
      <c r="C65" s="8">
        <v>0.55300000000000005</v>
      </c>
      <c r="D65" s="30">
        <v>0.65400000000000003</v>
      </c>
      <c r="E65" s="276"/>
      <c r="F65" s="276">
        <v>0.32900000000000001</v>
      </c>
      <c r="G65" s="276">
        <v>0.39900000000000002</v>
      </c>
      <c r="H65" s="276">
        <v>0.39600000000000002</v>
      </c>
      <c r="I65" s="276">
        <v>0.38400000000000001</v>
      </c>
      <c r="J65" s="276">
        <v>0.38400000000000001</v>
      </c>
      <c r="K65" s="276">
        <v>0.35</v>
      </c>
      <c r="L65" s="276">
        <v>0.30499999999999999</v>
      </c>
      <c r="M65" s="276">
        <v>0.19</v>
      </c>
      <c r="N65" s="276"/>
      <c r="O65" s="276">
        <v>0.29399999999999998</v>
      </c>
      <c r="P65" s="276">
        <v>0.35199999999999998</v>
      </c>
      <c r="Q65" s="276">
        <v>0.377</v>
      </c>
      <c r="R65" s="461">
        <f t="shared" ref="R65:R73" si="19">AVERAGE(B65:Q65)</f>
        <v>0.39757142857142858</v>
      </c>
      <c r="S65" s="462">
        <f t="shared" si="18"/>
        <v>0.65400000000000003</v>
      </c>
      <c r="T65" s="462">
        <f t="shared" si="0"/>
        <v>0.33483333333333337</v>
      </c>
    </row>
    <row r="66" spans="1:20" ht="14">
      <c r="A66" s="354" t="s">
        <v>351</v>
      </c>
      <c r="B66" s="30">
        <v>0.56200000000000006</v>
      </c>
      <c r="C66" s="30">
        <v>0.55800000000000005</v>
      </c>
      <c r="D66" s="30">
        <v>0.65300000000000002</v>
      </c>
      <c r="E66" s="276"/>
      <c r="F66" s="276">
        <v>0.32700000000000001</v>
      </c>
      <c r="G66" s="276">
        <v>0.39200000000000002</v>
      </c>
      <c r="H66" s="276">
        <v>0.39600000000000002</v>
      </c>
      <c r="I66" s="276">
        <v>0.38400000000000001</v>
      </c>
      <c r="J66" s="276">
        <v>0.38500000000000001</v>
      </c>
      <c r="K66" s="276">
        <v>0.34899999999999998</v>
      </c>
      <c r="L66" s="276">
        <v>0.30499999999999999</v>
      </c>
      <c r="M66" s="276">
        <v>0.19</v>
      </c>
      <c r="N66" s="276"/>
      <c r="O66" s="276">
        <v>0.28899999999999998</v>
      </c>
      <c r="P66" s="276">
        <v>0.35199999999999998</v>
      </c>
      <c r="Q66" s="276">
        <v>0.38</v>
      </c>
      <c r="R66" s="461">
        <f t="shared" si="19"/>
        <v>0.39442857142857146</v>
      </c>
      <c r="S66" s="462">
        <f t="shared" si="18"/>
        <v>0.65300000000000002</v>
      </c>
      <c r="T66" s="462">
        <f t="shared" si="0"/>
        <v>0.33483333333333332</v>
      </c>
    </row>
    <row r="67" spans="1:20" ht="14">
      <c r="A67" s="354" t="s">
        <v>158</v>
      </c>
      <c r="B67" s="30">
        <v>0.56399999999999995</v>
      </c>
      <c r="C67" s="30">
        <v>0.56399999999999995</v>
      </c>
      <c r="D67" s="30">
        <v>0.65300000000000002</v>
      </c>
      <c r="E67" s="276"/>
      <c r="F67" s="276">
        <v>0.32400000000000001</v>
      </c>
      <c r="G67" s="276">
        <v>0.39100000000000001</v>
      </c>
      <c r="H67" s="276">
        <v>0.39600000000000002</v>
      </c>
      <c r="I67" s="276">
        <v>0.38400000000000001</v>
      </c>
      <c r="J67" s="276">
        <v>0.38500000000000001</v>
      </c>
      <c r="K67" s="276">
        <v>0.34899999999999998</v>
      </c>
      <c r="L67" s="276">
        <v>0.30399999999999999</v>
      </c>
      <c r="M67" s="276">
        <v>0.19</v>
      </c>
      <c r="N67" s="276"/>
      <c r="O67" s="276">
        <v>0.28799999999999998</v>
      </c>
      <c r="P67" s="276">
        <v>0.35199999999999998</v>
      </c>
      <c r="Q67" s="276">
        <v>0.38300000000000001</v>
      </c>
      <c r="R67" s="461">
        <f t="shared" si="19"/>
        <v>0.39478571428571435</v>
      </c>
      <c r="S67" s="462">
        <f t="shared" si="18"/>
        <v>0.65300000000000002</v>
      </c>
      <c r="T67" s="462">
        <f t="shared" si="0"/>
        <v>0.33466666666666667</v>
      </c>
    </row>
    <row r="68" spans="1:20" ht="14">
      <c r="A68" s="354" t="s">
        <v>352</v>
      </c>
      <c r="B68" s="30">
        <v>0.55600000000000005</v>
      </c>
      <c r="C68" s="30">
        <v>0.56599999999999995</v>
      </c>
      <c r="D68" s="30">
        <v>0.65300000000000002</v>
      </c>
      <c r="E68" s="276"/>
      <c r="F68" s="276">
        <v>0.32100000000000001</v>
      </c>
      <c r="G68" s="276">
        <v>0.39600000000000002</v>
      </c>
      <c r="H68" s="276">
        <v>0.39500000000000002</v>
      </c>
      <c r="I68" s="276">
        <v>0.38500000000000001</v>
      </c>
      <c r="J68" s="276">
        <v>0.38400000000000001</v>
      </c>
      <c r="K68" s="276">
        <v>0.34899999999999998</v>
      </c>
      <c r="L68" s="276">
        <v>0.30399999999999999</v>
      </c>
      <c r="M68" s="276">
        <v>0.19</v>
      </c>
      <c r="N68" s="276"/>
      <c r="O68" s="276">
        <v>0.28899999999999998</v>
      </c>
      <c r="P68" s="276">
        <v>0.35199999999999998</v>
      </c>
      <c r="Q68" s="276">
        <v>0.39</v>
      </c>
      <c r="R68" s="461">
        <f t="shared" si="19"/>
        <v>0.39500000000000002</v>
      </c>
      <c r="S68" s="462">
        <f t="shared" si="18"/>
        <v>0.65300000000000002</v>
      </c>
      <c r="T68" s="462">
        <f t="shared" ref="T68:T73" si="20">AVERAGE(H68:M68)</f>
        <v>0.33450000000000002</v>
      </c>
    </row>
    <row r="69" spans="1:20" ht="14">
      <c r="A69" s="354" t="s">
        <v>159</v>
      </c>
      <c r="B69" s="30">
        <v>0.56599999999999995</v>
      </c>
      <c r="C69" s="30">
        <v>0.56899999999999995</v>
      </c>
      <c r="D69" s="30">
        <v>0.65300000000000002</v>
      </c>
      <c r="E69" s="276"/>
      <c r="F69" s="276">
        <v>0.316</v>
      </c>
      <c r="G69" s="276">
        <v>0.39700000000000002</v>
      </c>
      <c r="H69" s="276">
        <v>0.39400000000000002</v>
      </c>
      <c r="I69" s="276">
        <v>0.38300000000000001</v>
      </c>
      <c r="J69" s="276">
        <v>0.38400000000000001</v>
      </c>
      <c r="K69" s="276">
        <v>0.34899999999999998</v>
      </c>
      <c r="L69" s="276">
        <v>0.30399999999999999</v>
      </c>
      <c r="M69" s="276">
        <v>0.19</v>
      </c>
      <c r="N69" s="276"/>
      <c r="O69" s="276">
        <v>0.28799999999999998</v>
      </c>
      <c r="P69" s="276">
        <v>0.35199999999999998</v>
      </c>
      <c r="Q69" s="276">
        <v>0.40100000000000002</v>
      </c>
      <c r="R69" s="461">
        <f t="shared" si="19"/>
        <v>0.39614285714285719</v>
      </c>
      <c r="S69" s="462">
        <f t="shared" si="18"/>
        <v>0.65300000000000002</v>
      </c>
      <c r="T69" s="462">
        <f t="shared" si="20"/>
        <v>0.33400000000000002</v>
      </c>
    </row>
    <row r="70" spans="1:20" ht="14">
      <c r="A70" s="354" t="s">
        <v>353</v>
      </c>
      <c r="B70" s="30">
        <v>0.56999999999999995</v>
      </c>
      <c r="C70" s="30">
        <v>0.57199999999999995</v>
      </c>
      <c r="D70" s="30">
        <v>0.65300000000000002</v>
      </c>
      <c r="E70" s="276"/>
      <c r="F70" s="276">
        <v>0.33900000000000002</v>
      </c>
      <c r="G70" s="276">
        <v>0.39700000000000002</v>
      </c>
      <c r="H70" s="276">
        <v>0.39300000000000002</v>
      </c>
      <c r="I70" s="276">
        <v>0.38600000000000001</v>
      </c>
      <c r="J70" s="276">
        <v>0.38600000000000001</v>
      </c>
      <c r="K70" s="276">
        <v>0.34899999999999998</v>
      </c>
      <c r="L70" s="276">
        <v>0.30499999999999999</v>
      </c>
      <c r="M70" s="276">
        <v>0.19</v>
      </c>
      <c r="N70" s="276"/>
      <c r="O70" s="276">
        <v>0.28699999999999998</v>
      </c>
      <c r="P70" s="276">
        <v>0.35199999999999998</v>
      </c>
      <c r="Q70" s="276">
        <v>0.42399999999999999</v>
      </c>
      <c r="R70" s="461">
        <f t="shared" si="19"/>
        <v>0.40021428571428574</v>
      </c>
      <c r="S70" s="462">
        <f t="shared" si="18"/>
        <v>0.65300000000000002</v>
      </c>
      <c r="T70" s="462">
        <f t="shared" si="20"/>
        <v>0.33483333333333332</v>
      </c>
    </row>
    <row r="71" spans="1:20" ht="14">
      <c r="A71" s="354" t="s">
        <v>160</v>
      </c>
      <c r="B71" s="30">
        <v>0.57099999999999995</v>
      </c>
      <c r="C71" s="30">
        <v>0.58199999999999996</v>
      </c>
      <c r="D71" s="30">
        <v>0.65400000000000003</v>
      </c>
      <c r="E71" s="276"/>
      <c r="F71" s="276">
        <v>0.36899999999999999</v>
      </c>
      <c r="G71" s="276">
        <v>0.39600000000000002</v>
      </c>
      <c r="H71" s="276">
        <v>0.39200000000000002</v>
      </c>
      <c r="I71" s="276">
        <v>0.38400000000000001</v>
      </c>
      <c r="J71" s="276">
        <v>0.38500000000000001</v>
      </c>
      <c r="K71" s="276">
        <v>0.34799999999999998</v>
      </c>
      <c r="L71" s="276">
        <v>0.30499999999999999</v>
      </c>
      <c r="M71" s="276">
        <v>0.191</v>
      </c>
      <c r="N71" s="276"/>
      <c r="O71" s="276">
        <v>0.28699999999999998</v>
      </c>
      <c r="P71" s="276">
        <v>0.35199999999999998</v>
      </c>
      <c r="Q71" s="276">
        <v>0.43</v>
      </c>
      <c r="R71" s="461">
        <f t="shared" si="19"/>
        <v>0.40328571428571419</v>
      </c>
      <c r="S71" s="462">
        <f t="shared" si="18"/>
        <v>0.65400000000000003</v>
      </c>
      <c r="T71" s="462">
        <f t="shared" si="20"/>
        <v>0.33416666666666667</v>
      </c>
    </row>
    <row r="72" spans="1:20" ht="14">
      <c r="A72" s="354" t="s">
        <v>161</v>
      </c>
      <c r="B72" s="30">
        <v>0.58399999999999996</v>
      </c>
      <c r="C72" s="30">
        <v>0.61499999999999999</v>
      </c>
      <c r="D72" s="30">
        <v>0.66400000000000003</v>
      </c>
      <c r="E72" s="276"/>
      <c r="F72" s="276">
        <v>0.45500000000000002</v>
      </c>
      <c r="G72" s="276">
        <v>0.39600000000000002</v>
      </c>
      <c r="H72" s="276">
        <v>0.39200000000000002</v>
      </c>
      <c r="I72" s="276">
        <v>0.38400000000000001</v>
      </c>
      <c r="J72" s="276">
        <v>0.38600000000000001</v>
      </c>
      <c r="K72" s="276">
        <v>0.34799999999999998</v>
      </c>
      <c r="L72" s="276">
        <v>0.3</v>
      </c>
      <c r="M72" s="276">
        <v>0.189</v>
      </c>
      <c r="N72" s="276"/>
      <c r="O72" s="276">
        <v>0.28599999999999998</v>
      </c>
      <c r="P72" s="276">
        <v>0.35199999999999998</v>
      </c>
      <c r="Q72" s="276">
        <v>0.45900000000000002</v>
      </c>
      <c r="R72" s="461">
        <f t="shared" si="19"/>
        <v>0.41499999999999998</v>
      </c>
      <c r="S72" s="462">
        <f t="shared" si="18"/>
        <v>0.66400000000000003</v>
      </c>
      <c r="T72" s="462">
        <f t="shared" si="20"/>
        <v>0.33316666666666667</v>
      </c>
    </row>
    <row r="73" spans="1:20" ht="14">
      <c r="A73" s="354" t="s">
        <v>162</v>
      </c>
      <c r="B73" s="30">
        <v>0.59699999999999998</v>
      </c>
      <c r="C73" s="30">
        <v>0.64300000000000002</v>
      </c>
      <c r="D73" s="30">
        <v>0.72399999999999998</v>
      </c>
      <c r="E73" s="276"/>
      <c r="F73" s="276">
        <v>0.59499999999999997</v>
      </c>
      <c r="G73" s="276">
        <v>0.39700000000000002</v>
      </c>
      <c r="H73" s="276">
        <v>0.38900000000000001</v>
      </c>
      <c r="I73" s="276">
        <v>0.38400000000000001</v>
      </c>
      <c r="J73" s="276">
        <v>0.38600000000000001</v>
      </c>
      <c r="K73" s="276">
        <v>0.34799999999999998</v>
      </c>
      <c r="L73" s="276">
        <v>0.29599999999999999</v>
      </c>
      <c r="M73" s="276">
        <v>0.186</v>
      </c>
      <c r="N73" s="276"/>
      <c r="O73" s="276">
        <v>0.28199999999999997</v>
      </c>
      <c r="P73" s="276">
        <v>0.35</v>
      </c>
      <c r="Q73" s="276">
        <v>0.47299999999999998</v>
      </c>
      <c r="R73" s="461">
        <f t="shared" si="19"/>
        <v>0.43214285714285711</v>
      </c>
      <c r="S73" s="462">
        <f t="shared" si="18"/>
        <v>0.72399999999999998</v>
      </c>
      <c r="T73" s="462">
        <f t="shared" si="20"/>
        <v>0.33150000000000002</v>
      </c>
    </row>
    <row r="74" spans="1:20">
      <c r="A74" s="354" t="s">
        <v>561</v>
      </c>
      <c r="B74" s="30">
        <f t="shared" ref="B74:T74" si="21">AVERAGE(B64:B67)</f>
        <v>0.57550000000000001</v>
      </c>
      <c r="C74" s="30">
        <f>AVERAGE(C64:C68)</f>
        <v>0.55800000000000005</v>
      </c>
      <c r="D74" s="30">
        <f t="shared" si="21"/>
        <v>0.65425</v>
      </c>
      <c r="E74" s="30"/>
      <c r="F74" s="30">
        <f>AVERAGE(F64:F67)</f>
        <v>0.32725000000000004</v>
      </c>
      <c r="G74" s="30">
        <f t="shared" ref="G74:J74" si="22">AVERAGE(G64:G67)</f>
        <v>0.39500000000000002</v>
      </c>
      <c r="H74" s="30">
        <f t="shared" si="22"/>
        <v>0.39600000000000002</v>
      </c>
      <c r="I74" s="30">
        <f t="shared" si="22"/>
        <v>0.38400000000000001</v>
      </c>
      <c r="J74" s="30">
        <f t="shared" si="22"/>
        <v>0.38450000000000001</v>
      </c>
      <c r="K74" s="30">
        <f t="shared" si="21"/>
        <v>0.34949999999999998</v>
      </c>
      <c r="L74" s="30">
        <f t="shared" si="21"/>
        <v>0.30449999999999999</v>
      </c>
      <c r="M74" s="30">
        <f t="shared" si="21"/>
        <v>0.19</v>
      </c>
      <c r="N74" s="30"/>
      <c r="O74" s="30">
        <f>AVERAGE(O64:O67)</f>
        <v>0.29049999999999998</v>
      </c>
      <c r="P74" s="30">
        <f t="shared" si="21"/>
        <v>0.35175000000000001</v>
      </c>
      <c r="Q74" s="30">
        <f>AVERAGE(Q64:Q67)</f>
        <v>0.37724999999999997</v>
      </c>
      <c r="R74" s="30">
        <f t="shared" si="21"/>
        <v>0.39542857142857146</v>
      </c>
      <c r="S74" s="30">
        <f t="shared" si="21"/>
        <v>0.65425</v>
      </c>
      <c r="T74" s="30">
        <f t="shared" si="21"/>
        <v>0.33474999999999999</v>
      </c>
    </row>
    <row r="75" spans="1:20">
      <c r="A75" s="354" t="s">
        <v>562</v>
      </c>
      <c r="B75" s="30">
        <f t="shared" ref="B75:Q75" si="23">AVERAGE(B64:B73)</f>
        <v>0.57459999999999989</v>
      </c>
      <c r="C75" s="30">
        <f>AVERAGE(C64:C73)</f>
        <v>0.57709999999999995</v>
      </c>
      <c r="D75" s="30">
        <f t="shared" si="23"/>
        <v>0.66180000000000005</v>
      </c>
      <c r="E75" s="30"/>
      <c r="F75" s="30">
        <f t="shared" si="23"/>
        <v>0.37039999999999995</v>
      </c>
      <c r="G75" s="30">
        <f t="shared" si="23"/>
        <v>0.39590000000000003</v>
      </c>
      <c r="H75" s="30">
        <f t="shared" si="23"/>
        <v>0.39390000000000003</v>
      </c>
      <c r="I75" s="30">
        <f t="shared" si="23"/>
        <v>0.38419999999999999</v>
      </c>
      <c r="J75" s="30">
        <f t="shared" si="23"/>
        <v>0.38490000000000002</v>
      </c>
      <c r="K75" s="30">
        <f t="shared" si="23"/>
        <v>0.34889999999999999</v>
      </c>
      <c r="L75" s="30">
        <f t="shared" si="23"/>
        <v>0.30320000000000003</v>
      </c>
      <c r="M75" s="30">
        <f t="shared" si="23"/>
        <v>0.18959999999999999</v>
      </c>
      <c r="N75" s="30"/>
      <c r="O75" s="30">
        <f t="shared" si="23"/>
        <v>0.28809999999999997</v>
      </c>
      <c r="P75" s="30">
        <f t="shared" si="23"/>
        <v>0.35169999999999996</v>
      </c>
      <c r="Q75" s="30">
        <f t="shared" si="23"/>
        <v>0.40860000000000002</v>
      </c>
      <c r="R75" s="30">
        <f>AVERAGE(R64:R73)</f>
        <v>0.40235000000000004</v>
      </c>
      <c r="S75" s="30">
        <f>AVERAGE(S64:S73)</f>
        <v>0.66180000000000005</v>
      </c>
      <c r="T75" s="30">
        <f>AVERAGE(T64:T73)</f>
        <v>0.33411666666666667</v>
      </c>
    </row>
  </sheetData>
  <mergeCells count="6">
    <mergeCell ref="A63:T63"/>
    <mergeCell ref="A24:T24"/>
    <mergeCell ref="A39:T39"/>
    <mergeCell ref="A52:T52"/>
    <mergeCell ref="A1:Q1"/>
    <mergeCell ref="A6:T6"/>
  </mergeCells>
  <phoneticPr fontId="0" type="noConversion"/>
  <pageMargins left="0.75" right="0.75" top="1" bottom="1" header="0.5" footer="0.5"/>
  <pageSetup scale="63"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tabColor rgb="FF92D050"/>
    <pageSetUpPr fitToPage="1"/>
  </sheetPr>
  <dimension ref="A1:Z74"/>
  <sheetViews>
    <sheetView topLeftCell="I13" zoomScale="75" zoomScaleNormal="75" workbookViewId="0">
      <selection activeCell="B5" sqref="B5:Q5"/>
    </sheetView>
  </sheetViews>
  <sheetFormatPr defaultRowHeight="13"/>
  <cols>
    <col min="1" max="1" width="31.6328125" style="1" bestFit="1" customWidth="1"/>
    <col min="2" max="2" width="9.36328125" bestFit="1" customWidth="1"/>
    <col min="3" max="3" width="9.08984375" bestFit="1" customWidth="1"/>
    <col min="4" max="4" width="9.36328125" bestFit="1" customWidth="1"/>
    <col min="5" max="5" width="9.08984375" bestFit="1" customWidth="1"/>
    <col min="6" max="6" width="9.6328125" bestFit="1" customWidth="1"/>
    <col min="7" max="7" width="9.36328125" bestFit="1" customWidth="1"/>
    <col min="8" max="10" width="9.453125" bestFit="1" customWidth="1"/>
    <col min="11" max="11" width="9.6328125" bestFit="1" customWidth="1"/>
    <col min="12" max="12" width="9.36328125" bestFit="1" customWidth="1"/>
    <col min="13" max="13" width="9.6328125" bestFit="1" customWidth="1"/>
    <col min="14" max="14" width="9.6328125" customWidth="1"/>
    <col min="15" max="15" width="9.36328125" bestFit="1" customWidth="1"/>
    <col min="16" max="16" width="9.453125" bestFit="1" customWidth="1"/>
    <col min="17" max="17" width="9.36328125" bestFit="1" customWidth="1"/>
    <col min="18" max="18" width="11" customWidth="1"/>
    <col min="19" max="19" width="7" bestFit="1" customWidth="1"/>
    <col min="20" max="20" width="11.54296875" bestFit="1" customWidth="1"/>
    <col min="21" max="21" width="10.90625" customWidth="1"/>
    <col min="22" max="22" width="11.36328125" customWidth="1"/>
    <col min="23" max="23" width="10.90625" customWidth="1"/>
    <col min="24" max="24" width="11.36328125" customWidth="1"/>
    <col min="25" max="25" width="10.36328125" customWidth="1"/>
    <col min="26" max="26" width="10.90625" bestFit="1" customWidth="1"/>
  </cols>
  <sheetData>
    <row r="1" spans="1:26" ht="15.5">
      <c r="A1" s="1176" t="s">
        <v>156</v>
      </c>
      <c r="B1" s="1176"/>
      <c r="C1" s="1176"/>
      <c r="D1" s="1176"/>
      <c r="E1" s="1176"/>
      <c r="F1" s="1176"/>
      <c r="G1" s="1176"/>
      <c r="H1" s="1176"/>
      <c r="I1" s="1176"/>
      <c r="J1" s="1176"/>
      <c r="K1" s="1176"/>
      <c r="L1" s="1176"/>
      <c r="M1" s="1176"/>
      <c r="N1" s="1176"/>
      <c r="O1" s="1176"/>
      <c r="P1" s="1176"/>
      <c r="Q1" s="1176"/>
    </row>
    <row r="2" spans="1:26" ht="26">
      <c r="A2" s="74"/>
      <c r="B2" s="617">
        <v>41296</v>
      </c>
      <c r="C2" s="617">
        <v>41324</v>
      </c>
      <c r="D2" s="617">
        <v>41358</v>
      </c>
      <c r="E2" s="617">
        <v>41386</v>
      </c>
      <c r="F2" s="617">
        <v>41414</v>
      </c>
      <c r="G2" s="617">
        <v>41442</v>
      </c>
      <c r="H2" s="617">
        <v>41463</v>
      </c>
      <c r="I2" s="617">
        <v>41477</v>
      </c>
      <c r="J2" s="617">
        <v>41491</v>
      </c>
      <c r="K2" s="617">
        <v>41512</v>
      </c>
      <c r="L2" s="617">
        <v>41526</v>
      </c>
      <c r="M2" s="617">
        <v>41540</v>
      </c>
      <c r="N2" s="617">
        <v>41558</v>
      </c>
      <c r="O2" s="617">
        <v>41568</v>
      </c>
      <c r="P2" s="617">
        <v>41596</v>
      </c>
      <c r="Q2" s="617">
        <v>41624</v>
      </c>
      <c r="R2" s="75" t="s">
        <v>91</v>
      </c>
      <c r="S2" s="76" t="s">
        <v>83</v>
      </c>
      <c r="T2" s="76" t="s">
        <v>109</v>
      </c>
    </row>
    <row r="3" spans="1:26" ht="14">
      <c r="A3" s="77" t="s">
        <v>557</v>
      </c>
      <c r="B3" s="368">
        <v>7.87</v>
      </c>
      <c r="C3" s="368">
        <v>8.36</v>
      </c>
      <c r="D3" s="368">
        <v>7.46</v>
      </c>
      <c r="E3" s="368">
        <v>8.4700000000000006</v>
      </c>
      <c r="F3" s="368">
        <v>7.96</v>
      </c>
      <c r="G3" s="368">
        <v>8.4600000000000009</v>
      </c>
      <c r="H3" s="368">
        <v>8.39</v>
      </c>
      <c r="I3" s="368">
        <v>8.77</v>
      </c>
      <c r="J3" s="1000">
        <v>8.07</v>
      </c>
      <c r="K3" s="368">
        <v>8.3000000000000007</v>
      </c>
      <c r="L3" s="368">
        <v>8.4</v>
      </c>
      <c r="M3" s="368">
        <v>8.41</v>
      </c>
      <c r="N3" s="368"/>
      <c r="O3" s="368">
        <v>8.2799999999999994</v>
      </c>
      <c r="P3" s="368">
        <v>7.72</v>
      </c>
      <c r="Q3" s="368">
        <v>8.18</v>
      </c>
      <c r="R3" s="109">
        <f>AVERAGE(B3:Q3)</f>
        <v>8.206666666666667</v>
      </c>
      <c r="S3" s="110">
        <f>MAX(B3:Q3)</f>
        <v>8.77</v>
      </c>
      <c r="T3" s="110">
        <f>AVERAGE(H3:M3)</f>
        <v>8.39</v>
      </c>
    </row>
    <row r="4" spans="1:26" s="7" customFormat="1" ht="14">
      <c r="A4" s="78" t="s">
        <v>558</v>
      </c>
      <c r="B4" s="368">
        <v>8.44</v>
      </c>
      <c r="C4" s="368">
        <v>8.33</v>
      </c>
      <c r="D4" s="368">
        <v>7.88</v>
      </c>
      <c r="E4" s="368">
        <v>8.3000000000000007</v>
      </c>
      <c r="F4" s="368">
        <v>8.02</v>
      </c>
      <c r="G4" s="368">
        <v>8.27</v>
      </c>
      <c r="H4" s="368">
        <v>8.4700000000000006</v>
      </c>
      <c r="I4" s="368">
        <v>8.3699999999999992</v>
      </c>
      <c r="J4" s="1000">
        <v>8.56</v>
      </c>
      <c r="K4" s="368">
        <v>8.84</v>
      </c>
      <c r="L4" s="368">
        <v>8.24</v>
      </c>
      <c r="M4" s="368">
        <v>8.17</v>
      </c>
      <c r="N4" s="368"/>
      <c r="O4" s="368">
        <v>7.86</v>
      </c>
      <c r="P4" s="368">
        <v>7.97</v>
      </c>
      <c r="Q4" s="368">
        <v>8.15</v>
      </c>
      <c r="R4" s="109">
        <f>AVERAGE(B4:Q4)</f>
        <v>8.2580000000000009</v>
      </c>
      <c r="S4" s="110">
        <f>MAX(B4:Q4)</f>
        <v>8.84</v>
      </c>
      <c r="T4" s="110">
        <f t="shared" ref="T4:T66" si="0">AVERAGE(H4:M4)</f>
        <v>8.4416666666666664</v>
      </c>
    </row>
    <row r="5" spans="1:26" ht="14">
      <c r="A5" s="78" t="s">
        <v>559</v>
      </c>
      <c r="B5" s="368">
        <v>8.1999999999999993</v>
      </c>
      <c r="C5" s="368">
        <v>8.4</v>
      </c>
      <c r="D5" s="368">
        <v>7.8</v>
      </c>
      <c r="E5" s="368">
        <v>8.5500000000000007</v>
      </c>
      <c r="F5" s="368">
        <v>7.99</v>
      </c>
      <c r="G5" s="368">
        <v>8.35</v>
      </c>
      <c r="H5" s="368">
        <v>8.2100000000000009</v>
      </c>
      <c r="I5" s="368">
        <v>8.7799999999999994</v>
      </c>
      <c r="J5" s="1000">
        <v>8.76</v>
      </c>
      <c r="K5" s="368">
        <v>8.3800000000000008</v>
      </c>
      <c r="L5" s="368">
        <v>8.86</v>
      </c>
      <c r="M5" s="368">
        <v>7.85</v>
      </c>
      <c r="N5" s="368"/>
      <c r="O5" s="368">
        <v>8.01</v>
      </c>
      <c r="P5" s="368">
        <v>8.73</v>
      </c>
      <c r="Q5" s="368">
        <v>8.15</v>
      </c>
      <c r="R5" s="109">
        <f>AVERAGE(B5:Q5)</f>
        <v>8.3346666666666671</v>
      </c>
      <c r="S5" s="110">
        <f>MAX(B5:Q5)</f>
        <v>8.86</v>
      </c>
      <c r="T5" s="110">
        <f t="shared" si="0"/>
        <v>8.4733333333333345</v>
      </c>
      <c r="U5" s="6"/>
      <c r="V5" s="6"/>
      <c r="W5" s="6"/>
      <c r="X5" s="6"/>
      <c r="Y5" s="6"/>
      <c r="Z5" s="6"/>
    </row>
    <row r="6" spans="1:26" ht="15.5">
      <c r="A6" s="1200" t="s">
        <v>547</v>
      </c>
      <c r="B6" s="1201"/>
      <c r="C6" s="1201"/>
      <c r="D6" s="1201"/>
      <c r="E6" s="1201"/>
      <c r="F6" s="1201"/>
      <c r="G6" s="1201"/>
      <c r="H6" s="1201"/>
      <c r="I6" s="1201"/>
      <c r="J6" s="1201"/>
      <c r="K6" s="1201"/>
      <c r="L6" s="1201"/>
      <c r="M6" s="1201"/>
      <c r="N6" s="1201"/>
      <c r="O6" s="1201"/>
      <c r="P6" s="1201"/>
      <c r="Q6" s="1201"/>
      <c r="R6" s="1201"/>
      <c r="S6" s="1201"/>
      <c r="T6" s="1202"/>
      <c r="U6" s="6"/>
      <c r="V6" s="6"/>
      <c r="W6" s="6"/>
      <c r="X6" s="6"/>
      <c r="Y6" s="6"/>
      <c r="Z6" s="6"/>
    </row>
    <row r="7" spans="1:26" ht="14">
      <c r="A7" s="354" t="s">
        <v>350</v>
      </c>
      <c r="B7" s="368">
        <v>9.06</v>
      </c>
      <c r="C7" s="368">
        <v>8.86</v>
      </c>
      <c r="D7" s="368">
        <v>8.08</v>
      </c>
      <c r="E7" s="368">
        <v>8.8800000000000008</v>
      </c>
      <c r="F7" s="368">
        <v>7.77</v>
      </c>
      <c r="G7" s="368">
        <v>8.43</v>
      </c>
      <c r="H7" s="368">
        <v>8.64</v>
      </c>
      <c r="I7" s="368">
        <v>8.6999999999999993</v>
      </c>
      <c r="J7" s="997">
        <v>8.91</v>
      </c>
      <c r="K7" s="368">
        <v>8.52</v>
      </c>
      <c r="L7" s="368">
        <v>9.0399999999999991</v>
      </c>
      <c r="M7" s="368">
        <v>7.61</v>
      </c>
      <c r="N7" s="368">
        <v>7.9</v>
      </c>
      <c r="O7" s="368">
        <v>7.46</v>
      </c>
      <c r="P7" s="368">
        <v>7.83</v>
      </c>
      <c r="Q7" s="368">
        <v>7.86</v>
      </c>
      <c r="R7" s="1006">
        <f>AVERAGE(B7:Q7)</f>
        <v>8.3468749999999989</v>
      </c>
      <c r="S7" s="1007">
        <f>MAX(B7:Q7)</f>
        <v>9.06</v>
      </c>
      <c r="T7" s="1007">
        <f t="shared" si="0"/>
        <v>8.5699999999999985</v>
      </c>
      <c r="U7" s="6"/>
      <c r="V7" s="6"/>
      <c r="W7" s="6"/>
      <c r="X7" s="6"/>
      <c r="Y7" s="6"/>
      <c r="Z7" s="6"/>
    </row>
    <row r="8" spans="1:26" ht="14">
      <c r="A8" s="354" t="s">
        <v>157</v>
      </c>
      <c r="B8" s="368">
        <v>8.91</v>
      </c>
      <c r="C8" s="368">
        <v>8.89</v>
      </c>
      <c r="D8" s="368">
        <v>7.98</v>
      </c>
      <c r="E8" s="368">
        <v>8.7899999999999991</v>
      </c>
      <c r="F8" s="368">
        <v>7.77</v>
      </c>
      <c r="G8" s="368">
        <v>8.2899999999999991</v>
      </c>
      <c r="H8" s="368">
        <v>8.2100000000000009</v>
      </c>
      <c r="I8" s="368">
        <v>8.77</v>
      </c>
      <c r="J8" s="997">
        <v>8.92</v>
      </c>
      <c r="K8" s="368">
        <v>8.51</v>
      </c>
      <c r="L8" s="368">
        <v>8.81</v>
      </c>
      <c r="M8" s="368">
        <v>7.56</v>
      </c>
      <c r="N8" s="368">
        <v>7.97</v>
      </c>
      <c r="O8" s="368">
        <v>7.46</v>
      </c>
      <c r="P8" s="368">
        <v>7.67</v>
      </c>
      <c r="Q8" s="368">
        <v>7.84</v>
      </c>
      <c r="R8" s="1006">
        <f t="shared" ref="R8:R21" si="1">AVERAGE(B8:Q8)</f>
        <v>8.2718749999999996</v>
      </c>
      <c r="S8" s="1007">
        <f t="shared" ref="S8:S21" si="2">MAX(B8:Q8)</f>
        <v>8.92</v>
      </c>
      <c r="T8" s="1007">
        <f t="shared" si="0"/>
        <v>8.4633333333333329</v>
      </c>
      <c r="U8" s="6"/>
      <c r="V8" s="6"/>
      <c r="W8" s="6"/>
      <c r="X8" s="6"/>
      <c r="Y8" s="6"/>
      <c r="Z8" s="6"/>
    </row>
    <row r="9" spans="1:26" ht="14">
      <c r="A9" s="354" t="s">
        <v>351</v>
      </c>
      <c r="B9" s="368">
        <v>8.7799999999999994</v>
      </c>
      <c r="C9" s="368">
        <v>8.98</v>
      </c>
      <c r="D9" s="368">
        <v>8.02</v>
      </c>
      <c r="E9" s="368">
        <v>8.81</v>
      </c>
      <c r="F9" s="368">
        <v>7.81</v>
      </c>
      <c r="G9" s="368">
        <v>8.2100000000000009</v>
      </c>
      <c r="H9" s="368">
        <v>8.16</v>
      </c>
      <c r="I9" s="368">
        <v>8.8000000000000007</v>
      </c>
      <c r="J9" s="997">
        <v>8.9600000000000009</v>
      </c>
      <c r="K9" s="368">
        <v>8.51</v>
      </c>
      <c r="L9" s="368">
        <v>8.76</v>
      </c>
      <c r="M9" s="368">
        <v>7.66</v>
      </c>
      <c r="N9" s="368">
        <v>7.73</v>
      </c>
      <c r="O9" s="368">
        <v>7.44</v>
      </c>
      <c r="P9" s="368">
        <v>7.59</v>
      </c>
      <c r="Q9" s="368">
        <v>7.81</v>
      </c>
      <c r="R9" s="1006">
        <f t="shared" si="1"/>
        <v>8.2518750000000001</v>
      </c>
      <c r="S9" s="1007">
        <f t="shared" si="2"/>
        <v>8.98</v>
      </c>
      <c r="T9" s="1007">
        <f t="shared" si="0"/>
        <v>8.4749999999999996</v>
      </c>
      <c r="U9" s="6"/>
      <c r="V9" s="6"/>
      <c r="W9" s="6"/>
      <c r="X9" s="6"/>
      <c r="Y9" s="6"/>
      <c r="Z9" s="6"/>
    </row>
    <row r="10" spans="1:26" ht="14">
      <c r="A10" s="354" t="s">
        <v>158</v>
      </c>
      <c r="B10" s="368">
        <v>8.7899999999999991</v>
      </c>
      <c r="C10" s="368">
        <v>8.94</v>
      </c>
      <c r="D10" s="368">
        <v>7.98</v>
      </c>
      <c r="E10" s="368">
        <v>8.77</v>
      </c>
      <c r="F10" s="368">
        <v>7.78</v>
      </c>
      <c r="G10" s="368">
        <v>8.17</v>
      </c>
      <c r="H10" s="368">
        <v>8.2200000000000006</v>
      </c>
      <c r="I10" s="368">
        <v>8.8000000000000007</v>
      </c>
      <c r="J10" s="997">
        <v>8.98</v>
      </c>
      <c r="K10" s="368">
        <v>8.52</v>
      </c>
      <c r="L10" s="368">
        <v>8.74</v>
      </c>
      <c r="M10" s="368">
        <v>7.55</v>
      </c>
      <c r="N10" s="368">
        <v>7.7</v>
      </c>
      <c r="O10" s="368">
        <v>7.44</v>
      </c>
      <c r="P10" s="368">
        <v>7.57</v>
      </c>
      <c r="Q10" s="368">
        <v>7.78</v>
      </c>
      <c r="R10" s="1006">
        <f t="shared" si="1"/>
        <v>8.2331249999999994</v>
      </c>
      <c r="S10" s="1007">
        <f t="shared" si="2"/>
        <v>8.98</v>
      </c>
      <c r="T10" s="1007">
        <f t="shared" si="0"/>
        <v>8.4683333333333337</v>
      </c>
    </row>
    <row r="11" spans="1:26" ht="14">
      <c r="A11" s="354" t="s">
        <v>352</v>
      </c>
      <c r="B11" s="368">
        <v>8.7200000000000006</v>
      </c>
      <c r="C11" s="368">
        <v>8.91</v>
      </c>
      <c r="D11" s="368">
        <v>7.98</v>
      </c>
      <c r="E11" s="368">
        <v>8.74</v>
      </c>
      <c r="F11" s="368">
        <v>7.74</v>
      </c>
      <c r="G11" s="368">
        <v>8.15</v>
      </c>
      <c r="H11" s="368">
        <v>8.2200000000000006</v>
      </c>
      <c r="I11" s="368">
        <v>8.81</v>
      </c>
      <c r="J11" s="997">
        <v>8.9600000000000009</v>
      </c>
      <c r="K11" s="368">
        <v>8.49</v>
      </c>
      <c r="L11" s="368">
        <v>8.74</v>
      </c>
      <c r="M11" s="368">
        <v>7.54</v>
      </c>
      <c r="N11" s="368">
        <v>7.67</v>
      </c>
      <c r="O11" s="368">
        <v>7.44</v>
      </c>
      <c r="P11" s="368">
        <v>7.72</v>
      </c>
      <c r="Q11" s="368">
        <v>7.75</v>
      </c>
      <c r="R11" s="1006">
        <f t="shared" si="1"/>
        <v>8.223749999999999</v>
      </c>
      <c r="S11" s="1007">
        <f t="shared" si="2"/>
        <v>8.9600000000000009</v>
      </c>
      <c r="T11" s="1007">
        <f t="shared" si="0"/>
        <v>8.4600000000000009</v>
      </c>
    </row>
    <row r="12" spans="1:26" ht="14">
      <c r="A12" s="354" t="s">
        <v>159</v>
      </c>
      <c r="B12" s="368">
        <v>8.76</v>
      </c>
      <c r="C12" s="368">
        <v>8.8699999999999992</v>
      </c>
      <c r="D12" s="368">
        <v>7.95</v>
      </c>
      <c r="E12" s="368">
        <v>8.7200000000000006</v>
      </c>
      <c r="F12" s="368">
        <v>7.72</v>
      </c>
      <c r="G12" s="368">
        <v>8.09</v>
      </c>
      <c r="H12" s="368">
        <v>8.11</v>
      </c>
      <c r="I12" s="368">
        <v>8.81</v>
      </c>
      <c r="J12" s="997">
        <v>8.9499999999999993</v>
      </c>
      <c r="K12" s="368">
        <v>8.4600000000000009</v>
      </c>
      <c r="L12" s="368">
        <v>8.73</v>
      </c>
      <c r="M12" s="368">
        <v>7.54</v>
      </c>
      <c r="N12" s="368">
        <v>7.63</v>
      </c>
      <c r="O12" s="368">
        <v>7.44</v>
      </c>
      <c r="P12" s="368">
        <v>7.56</v>
      </c>
      <c r="Q12" s="368">
        <v>7.77</v>
      </c>
      <c r="R12" s="1006">
        <f t="shared" si="1"/>
        <v>8.1943750000000009</v>
      </c>
      <c r="S12" s="1007">
        <f t="shared" si="2"/>
        <v>8.9499999999999993</v>
      </c>
      <c r="T12" s="1007">
        <f t="shared" si="0"/>
        <v>8.4333333333333336</v>
      </c>
    </row>
    <row r="13" spans="1:26" ht="14">
      <c r="A13" s="354" t="s">
        <v>353</v>
      </c>
      <c r="B13" s="368">
        <v>8.7200000000000006</v>
      </c>
      <c r="C13" s="368">
        <v>8.84</v>
      </c>
      <c r="D13" s="368">
        <v>7.99</v>
      </c>
      <c r="E13" s="368">
        <v>8.7100000000000009</v>
      </c>
      <c r="F13" s="368">
        <v>7.71</v>
      </c>
      <c r="G13" s="368">
        <v>8.07</v>
      </c>
      <c r="H13" s="368">
        <v>8.11</v>
      </c>
      <c r="I13" s="368">
        <v>8.8000000000000007</v>
      </c>
      <c r="J13" s="997">
        <v>8.9700000000000006</v>
      </c>
      <c r="K13" s="368">
        <v>8.44</v>
      </c>
      <c r="L13" s="368">
        <v>8.74</v>
      </c>
      <c r="M13" s="368">
        <v>7.51</v>
      </c>
      <c r="N13" s="368">
        <v>7.62</v>
      </c>
      <c r="O13" s="368">
        <v>7.41</v>
      </c>
      <c r="P13" s="368">
        <v>7.53</v>
      </c>
      <c r="Q13" s="368">
        <v>7.76</v>
      </c>
      <c r="R13" s="1006">
        <f t="shared" si="1"/>
        <v>8.1831250000000004</v>
      </c>
      <c r="S13" s="1007">
        <f t="shared" si="2"/>
        <v>8.9700000000000006</v>
      </c>
      <c r="T13" s="1007">
        <f t="shared" si="0"/>
        <v>8.4283333333333328</v>
      </c>
    </row>
    <row r="14" spans="1:26" ht="14">
      <c r="A14" s="354" t="s">
        <v>160</v>
      </c>
      <c r="B14" s="368">
        <v>8.7200000000000006</v>
      </c>
      <c r="C14" s="368">
        <v>8.84</v>
      </c>
      <c r="D14" s="368">
        <v>8.01</v>
      </c>
      <c r="E14" s="368">
        <v>8.69</v>
      </c>
      <c r="F14" s="368">
        <v>7.68</v>
      </c>
      <c r="G14" s="368">
        <v>8.06</v>
      </c>
      <c r="H14" s="368">
        <v>8.1199999999999992</v>
      </c>
      <c r="I14" s="368">
        <v>8.8000000000000007</v>
      </c>
      <c r="J14" s="997">
        <v>8.9600000000000009</v>
      </c>
      <c r="K14" s="368">
        <v>8.42</v>
      </c>
      <c r="L14" s="368">
        <v>8.74</v>
      </c>
      <c r="M14" s="368">
        <v>7.53</v>
      </c>
      <c r="N14" s="368">
        <v>7.6</v>
      </c>
      <c r="O14" s="368">
        <v>7.4</v>
      </c>
      <c r="P14" s="368">
        <v>7.5</v>
      </c>
      <c r="Q14" s="368">
        <v>7.86</v>
      </c>
      <c r="R14" s="1006">
        <f t="shared" si="1"/>
        <v>8.1831250000000004</v>
      </c>
      <c r="S14" s="1007">
        <f t="shared" si="2"/>
        <v>8.9600000000000009</v>
      </c>
      <c r="T14" s="1007">
        <f t="shared" si="0"/>
        <v>8.4283333333333346</v>
      </c>
    </row>
    <row r="15" spans="1:26" ht="14">
      <c r="A15" s="354" t="s">
        <v>161</v>
      </c>
      <c r="B15" s="368">
        <v>8.56</v>
      </c>
      <c r="C15" s="368">
        <v>8.74</v>
      </c>
      <c r="D15" s="368">
        <v>7.98</v>
      </c>
      <c r="E15" s="368">
        <v>8.69</v>
      </c>
      <c r="F15" s="368">
        <v>7.62</v>
      </c>
      <c r="G15" s="368">
        <v>8.0500000000000007</v>
      </c>
      <c r="H15" s="368">
        <v>8.2100000000000009</v>
      </c>
      <c r="I15" s="368">
        <v>8.81</v>
      </c>
      <c r="J15" s="997">
        <v>8.9700000000000006</v>
      </c>
      <c r="K15" s="368">
        <v>8.39</v>
      </c>
      <c r="L15" s="368">
        <v>8.74</v>
      </c>
      <c r="M15" s="368">
        <v>7.52</v>
      </c>
      <c r="N15" s="368">
        <v>7.58</v>
      </c>
      <c r="O15" s="368">
        <v>7.4</v>
      </c>
      <c r="P15" s="368">
        <v>7.51</v>
      </c>
      <c r="Q15" s="368">
        <v>7.77</v>
      </c>
      <c r="R15" s="1006">
        <f t="shared" si="1"/>
        <v>8.1587499999999995</v>
      </c>
      <c r="S15" s="1007">
        <f t="shared" si="2"/>
        <v>8.9700000000000006</v>
      </c>
      <c r="T15" s="1007">
        <f t="shared" si="0"/>
        <v>8.44</v>
      </c>
    </row>
    <row r="16" spans="1:26" ht="14">
      <c r="A16" s="354" t="s">
        <v>162</v>
      </c>
      <c r="B16" s="368">
        <v>8.4700000000000006</v>
      </c>
      <c r="C16" s="368">
        <v>8.6</v>
      </c>
      <c r="D16" s="368">
        <v>8.0399999999999991</v>
      </c>
      <c r="E16" s="368">
        <v>8.67</v>
      </c>
      <c r="F16" s="368">
        <v>7.57</v>
      </c>
      <c r="G16" s="368">
        <v>8.0299999999999994</v>
      </c>
      <c r="H16" s="368">
        <v>8.2100000000000009</v>
      </c>
      <c r="I16" s="368">
        <v>8.7899999999999991</v>
      </c>
      <c r="J16" s="997">
        <v>8.94</v>
      </c>
      <c r="K16" s="368">
        <v>8.39</v>
      </c>
      <c r="L16" s="368">
        <v>8.77</v>
      </c>
      <c r="M16" s="368">
        <v>7.44</v>
      </c>
      <c r="N16" s="368">
        <v>7.56</v>
      </c>
      <c r="O16" s="368">
        <v>7.4</v>
      </c>
      <c r="P16" s="368">
        <v>7.43</v>
      </c>
      <c r="Q16" s="368">
        <v>7.68</v>
      </c>
      <c r="R16" s="1006">
        <f t="shared" si="1"/>
        <v>8.1243750000000006</v>
      </c>
      <c r="S16" s="1007">
        <f t="shared" si="2"/>
        <v>8.94</v>
      </c>
      <c r="T16" s="1007">
        <f t="shared" si="0"/>
        <v>8.423333333333332</v>
      </c>
    </row>
    <row r="17" spans="1:20" ht="14">
      <c r="A17" s="354" t="s">
        <v>163</v>
      </c>
      <c r="B17" s="368">
        <v>8.36</v>
      </c>
      <c r="C17" s="999">
        <v>8.5</v>
      </c>
      <c r="D17" s="368">
        <v>8.0399999999999991</v>
      </c>
      <c r="E17" s="368">
        <v>8.6300000000000008</v>
      </c>
      <c r="F17" s="368">
        <v>7.59</v>
      </c>
      <c r="G17" s="368">
        <v>8.02</v>
      </c>
      <c r="H17" s="368">
        <v>8.18</v>
      </c>
      <c r="I17" s="368">
        <v>8.76</v>
      </c>
      <c r="J17" s="997">
        <v>8.94</v>
      </c>
      <c r="K17" s="368">
        <v>8.3800000000000008</v>
      </c>
      <c r="L17" s="368">
        <v>8.7799999999999994</v>
      </c>
      <c r="M17" s="368">
        <v>7.44</v>
      </c>
      <c r="N17" s="368">
        <v>7.54</v>
      </c>
      <c r="O17" s="368">
        <v>7.4</v>
      </c>
      <c r="P17" s="368">
        <v>7.46</v>
      </c>
      <c r="Q17" s="368">
        <v>7.63</v>
      </c>
      <c r="R17" s="1006">
        <f t="shared" si="1"/>
        <v>8.1031250000000004</v>
      </c>
      <c r="S17" s="1007">
        <f t="shared" si="2"/>
        <v>8.94</v>
      </c>
      <c r="T17" s="1007">
        <f t="shared" si="0"/>
        <v>8.4133333333333322</v>
      </c>
    </row>
    <row r="18" spans="1:20" ht="14">
      <c r="A18" s="354" t="s">
        <v>164</v>
      </c>
      <c r="B18" s="368">
        <v>8.23</v>
      </c>
      <c r="C18" s="368">
        <v>8.44</v>
      </c>
      <c r="D18" s="368">
        <v>8.02</v>
      </c>
      <c r="E18" s="368">
        <v>8.58</v>
      </c>
      <c r="F18" s="368">
        <v>7.6</v>
      </c>
      <c r="G18" s="368">
        <v>8.02</v>
      </c>
      <c r="H18" s="368">
        <v>8.17</v>
      </c>
      <c r="I18" s="368">
        <v>8.68</v>
      </c>
      <c r="J18" s="997">
        <v>8.91</v>
      </c>
      <c r="K18" s="368">
        <v>8.35</v>
      </c>
      <c r="L18" s="368">
        <v>8.77</v>
      </c>
      <c r="M18" s="368">
        <v>7.55</v>
      </c>
      <c r="N18" s="368">
        <v>7.52</v>
      </c>
      <c r="O18" s="368">
        <v>7.39</v>
      </c>
      <c r="P18" s="368">
        <v>7.45</v>
      </c>
      <c r="Q18" s="368"/>
      <c r="R18" s="1006">
        <f t="shared" si="1"/>
        <v>8.1120000000000001</v>
      </c>
      <c r="S18" s="1007">
        <f t="shared" si="2"/>
        <v>8.91</v>
      </c>
      <c r="T18" s="1007">
        <f t="shared" si="0"/>
        <v>8.4049999999999994</v>
      </c>
    </row>
    <row r="19" spans="1:20" ht="14">
      <c r="A19" s="354" t="s">
        <v>165</v>
      </c>
      <c r="B19" s="368">
        <v>8.07</v>
      </c>
      <c r="C19" s="368">
        <v>8.36</v>
      </c>
      <c r="D19" s="368">
        <v>8</v>
      </c>
      <c r="E19" s="368">
        <v>8.5500000000000007</v>
      </c>
      <c r="F19" s="368">
        <v>7.58</v>
      </c>
      <c r="G19" s="368">
        <v>8</v>
      </c>
      <c r="H19" s="368">
        <v>8.16</v>
      </c>
      <c r="I19" s="368">
        <v>8.67</v>
      </c>
      <c r="J19" s="997">
        <v>8.91</v>
      </c>
      <c r="K19" s="368">
        <v>7.67</v>
      </c>
      <c r="L19" s="368">
        <v>8.7100000000000009</v>
      </c>
      <c r="M19" s="368">
        <v>7.58</v>
      </c>
      <c r="N19" s="368">
        <v>7.51</v>
      </c>
      <c r="O19" s="368">
        <v>7.4</v>
      </c>
      <c r="P19" s="368">
        <v>7.43</v>
      </c>
      <c r="Q19" s="368"/>
      <c r="R19" s="1006">
        <f t="shared" si="1"/>
        <v>8.0400000000000009</v>
      </c>
      <c r="S19" s="1007">
        <f t="shared" si="2"/>
        <v>8.91</v>
      </c>
      <c r="T19" s="1007">
        <f t="shared" si="0"/>
        <v>8.2833333333333332</v>
      </c>
    </row>
    <row r="20" spans="1:20" ht="14">
      <c r="A20" s="354" t="s">
        <v>187</v>
      </c>
      <c r="B20" s="368">
        <v>7.8</v>
      </c>
      <c r="C20" s="368">
        <v>8.27</v>
      </c>
      <c r="D20" s="368">
        <v>7.84</v>
      </c>
      <c r="E20" s="368">
        <v>8.44</v>
      </c>
      <c r="F20" s="368">
        <v>7.58</v>
      </c>
      <c r="G20" s="368">
        <v>8</v>
      </c>
      <c r="H20" s="368">
        <v>8.1</v>
      </c>
      <c r="I20" s="368">
        <v>8.61</v>
      </c>
      <c r="J20" s="997">
        <v>8.9</v>
      </c>
      <c r="K20" s="368">
        <v>7.62</v>
      </c>
      <c r="L20" s="368">
        <v>8.64</v>
      </c>
      <c r="M20" s="368">
        <v>7.58</v>
      </c>
      <c r="N20" s="368">
        <v>7.49</v>
      </c>
      <c r="O20" s="368">
        <v>7.41</v>
      </c>
      <c r="P20" s="368">
        <v>7.42</v>
      </c>
      <c r="Q20" s="368"/>
      <c r="R20" s="1006">
        <f t="shared" si="1"/>
        <v>7.98</v>
      </c>
      <c r="S20" s="1007">
        <f t="shared" si="2"/>
        <v>8.9</v>
      </c>
      <c r="T20" s="1007">
        <f t="shared" si="0"/>
        <v>8.2416666666666654</v>
      </c>
    </row>
    <row r="21" spans="1:20" ht="14">
      <c r="A21" s="354" t="s">
        <v>188</v>
      </c>
      <c r="B21" s="368"/>
      <c r="C21" s="368"/>
      <c r="D21" s="368"/>
      <c r="E21" s="368">
        <v>8.44</v>
      </c>
      <c r="F21" s="368">
        <v>7.56</v>
      </c>
      <c r="G21" s="368">
        <v>7.97</v>
      </c>
      <c r="H21" s="368">
        <v>8.0399999999999991</v>
      </c>
      <c r="I21" s="368">
        <v>8.4499999999999993</v>
      </c>
      <c r="J21" s="997">
        <v>8.89</v>
      </c>
      <c r="K21" s="368">
        <v>7.57</v>
      </c>
      <c r="L21" s="368"/>
      <c r="M21" s="368">
        <v>7.59</v>
      </c>
      <c r="N21" s="368">
        <v>7.48</v>
      </c>
      <c r="O21" s="368">
        <v>7.41</v>
      </c>
      <c r="P21" s="368">
        <v>7.28</v>
      </c>
      <c r="Q21" s="368"/>
      <c r="R21" s="1006">
        <f t="shared" si="1"/>
        <v>7.879999999999999</v>
      </c>
      <c r="S21" s="1007">
        <f t="shared" si="2"/>
        <v>8.89</v>
      </c>
      <c r="T21" s="1007">
        <f t="shared" si="0"/>
        <v>8.1080000000000005</v>
      </c>
    </row>
    <row r="22" spans="1:20">
      <c r="A22" s="362" t="s">
        <v>568</v>
      </c>
      <c r="B22" s="368">
        <f>AVERAGE(B7:B10)</f>
        <v>8.8849999999999998</v>
      </c>
      <c r="C22" s="368">
        <f t="shared" ref="C22:P22" si="3">AVERAGE(C7:C10)</f>
        <v>8.9175000000000004</v>
      </c>
      <c r="D22" s="368">
        <f>AVERAGE(D7:D20)</f>
        <v>7.9935714285714292</v>
      </c>
      <c r="E22" s="368">
        <f>AVERAGE(E7:E20)</f>
        <v>8.6907142857142841</v>
      </c>
      <c r="F22" s="368">
        <f>AVERAGE(F7:F20)</f>
        <v>7.6799999999999988</v>
      </c>
      <c r="G22" s="368">
        <f t="shared" ref="G22:N22" si="4">AVERAGE(G7:G10)</f>
        <v>8.2750000000000004</v>
      </c>
      <c r="H22" s="368">
        <f t="shared" si="4"/>
        <v>8.307500000000001</v>
      </c>
      <c r="I22" s="368">
        <f t="shared" si="4"/>
        <v>8.7675000000000001</v>
      </c>
      <c r="J22" s="368">
        <f t="shared" si="4"/>
        <v>8.942499999999999</v>
      </c>
      <c r="K22" s="368">
        <f t="shared" si="4"/>
        <v>8.5150000000000006</v>
      </c>
      <c r="L22" s="368">
        <f t="shared" si="4"/>
        <v>8.8375000000000004</v>
      </c>
      <c r="M22" s="368">
        <f t="shared" si="4"/>
        <v>7.5949999999999998</v>
      </c>
      <c r="N22" s="368">
        <f t="shared" si="4"/>
        <v>7.8250000000000002</v>
      </c>
      <c r="O22" s="368">
        <f t="shared" si="3"/>
        <v>7.45</v>
      </c>
      <c r="P22" s="368">
        <f t="shared" si="3"/>
        <v>7.665</v>
      </c>
      <c r="Q22" s="368">
        <f>AVERAGE(Q7:Q17)</f>
        <v>7.7736363636363626</v>
      </c>
      <c r="R22" s="368">
        <f t="shared" ref="R22:T22" si="5">AVERAGE(R7:R10)</f>
        <v>8.2759374999999995</v>
      </c>
      <c r="S22" s="368">
        <f t="shared" si="5"/>
        <v>8.9849999999999994</v>
      </c>
      <c r="T22" s="368">
        <f t="shared" si="5"/>
        <v>8.4941666666666666</v>
      </c>
    </row>
    <row r="23" spans="1:20">
      <c r="A23" s="362" t="s">
        <v>569</v>
      </c>
      <c r="B23" s="368">
        <f t="shared" ref="B23:T23" si="6">AVERAGE(B7:B21)</f>
        <v>8.5678571428571431</v>
      </c>
      <c r="C23" s="368">
        <f t="shared" si="6"/>
        <v>8.7171428571428553</v>
      </c>
      <c r="D23" s="368">
        <f t="shared" si="6"/>
        <v>7.9935714285714292</v>
      </c>
      <c r="E23" s="368">
        <f t="shared" si="6"/>
        <v>8.6739999999999995</v>
      </c>
      <c r="F23" s="368">
        <f t="shared" si="6"/>
        <v>7.6719999999999988</v>
      </c>
      <c r="G23" s="368">
        <f t="shared" si="6"/>
        <v>8.1039999999999992</v>
      </c>
      <c r="H23" s="368">
        <f t="shared" si="6"/>
        <v>8.190666666666667</v>
      </c>
      <c r="I23" s="368">
        <f t="shared" si="6"/>
        <v>8.7373333333333338</v>
      </c>
      <c r="J23" s="368">
        <f t="shared" si="6"/>
        <v>8.9379999999999988</v>
      </c>
      <c r="K23" s="368">
        <f t="shared" si="6"/>
        <v>8.2826666666666675</v>
      </c>
      <c r="L23" s="368">
        <f t="shared" si="6"/>
        <v>8.7649999999999988</v>
      </c>
      <c r="M23" s="368">
        <f t="shared" si="6"/>
        <v>7.546666666666666</v>
      </c>
      <c r="N23" s="368">
        <f t="shared" si="6"/>
        <v>7.6333333333333346</v>
      </c>
      <c r="O23" s="368">
        <f t="shared" si="6"/>
        <v>7.4200000000000008</v>
      </c>
      <c r="P23" s="368">
        <f t="shared" si="6"/>
        <v>7.53</v>
      </c>
      <c r="Q23" s="368">
        <f t="shared" si="6"/>
        <v>7.7736363636363626</v>
      </c>
      <c r="R23" s="368">
        <f t="shared" si="6"/>
        <v>8.1524250000000009</v>
      </c>
      <c r="S23" s="368">
        <f t="shared" si="6"/>
        <v>8.9493333333333336</v>
      </c>
      <c r="T23" s="368">
        <f t="shared" si="6"/>
        <v>8.4027555555555544</v>
      </c>
    </row>
    <row r="24" spans="1:20" ht="15.5">
      <c r="A24" s="1194" t="s">
        <v>548</v>
      </c>
      <c r="B24" s="1195"/>
      <c r="C24" s="1195"/>
      <c r="D24" s="1195"/>
      <c r="E24" s="1195"/>
      <c r="F24" s="1195"/>
      <c r="G24" s="1195"/>
      <c r="H24" s="1195"/>
      <c r="I24" s="1195"/>
      <c r="J24" s="1195"/>
      <c r="K24" s="1195"/>
      <c r="L24" s="1195"/>
      <c r="M24" s="1195"/>
      <c r="N24" s="1195"/>
      <c r="O24" s="1195"/>
      <c r="P24" s="1195"/>
      <c r="Q24" s="1195"/>
      <c r="R24" s="1195"/>
      <c r="S24" s="1195"/>
      <c r="T24" s="1196"/>
    </row>
    <row r="25" spans="1:20" ht="14">
      <c r="A25" s="354" t="s">
        <v>350</v>
      </c>
      <c r="B25" s="368">
        <v>8.7100000000000009</v>
      </c>
      <c r="C25" s="368">
        <v>8.9</v>
      </c>
      <c r="D25" s="368">
        <v>8.07</v>
      </c>
      <c r="E25" s="157"/>
      <c r="F25" s="157">
        <v>7.59</v>
      </c>
      <c r="G25" s="157">
        <v>7.97</v>
      </c>
      <c r="H25" s="157">
        <v>8.07</v>
      </c>
      <c r="I25" s="157">
        <v>8.7799999999999994</v>
      </c>
      <c r="J25" s="157">
        <v>9.1199999999999992</v>
      </c>
      <c r="K25" s="157">
        <v>8.51</v>
      </c>
      <c r="L25" s="157">
        <v>8.94</v>
      </c>
      <c r="M25" s="157">
        <v>7.63</v>
      </c>
      <c r="N25" s="157"/>
      <c r="O25" s="157">
        <v>7.48</v>
      </c>
      <c r="P25" s="157">
        <v>7.59</v>
      </c>
      <c r="Q25" s="157"/>
      <c r="R25" s="109">
        <f>AVERAGE(B25:Q25)</f>
        <v>8.258461538461539</v>
      </c>
      <c r="S25" s="110">
        <f>MAX(B25:Q25)</f>
        <v>9.1199999999999992</v>
      </c>
      <c r="T25" s="110">
        <f t="shared" si="0"/>
        <v>8.5083333333333329</v>
      </c>
    </row>
    <row r="26" spans="1:20" ht="14">
      <c r="A26" s="354" t="s">
        <v>157</v>
      </c>
      <c r="B26" s="368">
        <v>8.65</v>
      </c>
      <c r="C26" s="368">
        <v>8.89</v>
      </c>
      <c r="D26" s="368">
        <v>8.06</v>
      </c>
      <c r="E26" s="157"/>
      <c r="F26" s="157">
        <v>7.66</v>
      </c>
      <c r="G26" s="157">
        <v>7.97</v>
      </c>
      <c r="H26" s="157">
        <v>8.07</v>
      </c>
      <c r="I26" s="157">
        <v>8.84</v>
      </c>
      <c r="J26" s="157">
        <v>9.1</v>
      </c>
      <c r="K26" s="157">
        <v>8.52</v>
      </c>
      <c r="L26" s="157">
        <v>8.9499999999999993</v>
      </c>
      <c r="M26" s="157">
        <v>7.6</v>
      </c>
      <c r="N26" s="157"/>
      <c r="O26" s="157">
        <v>7.46</v>
      </c>
      <c r="P26" s="157">
        <v>7.58</v>
      </c>
      <c r="Q26" s="157"/>
      <c r="R26" s="109">
        <f t="shared" ref="R26:R36" si="7">AVERAGE(B26:Q26)</f>
        <v>8.2576923076923059</v>
      </c>
      <c r="S26" s="110">
        <f t="shared" ref="S26:S36" si="8">MAX(B26:Q26)</f>
        <v>9.1</v>
      </c>
      <c r="T26" s="110">
        <f t="shared" si="0"/>
        <v>8.5133333333333336</v>
      </c>
    </row>
    <row r="27" spans="1:20" ht="14">
      <c r="A27" s="354" t="s">
        <v>351</v>
      </c>
      <c r="B27" s="368">
        <v>8.5399999999999991</v>
      </c>
      <c r="C27" s="368">
        <v>8.83</v>
      </c>
      <c r="D27" s="368">
        <v>7.94</v>
      </c>
      <c r="E27" s="157"/>
      <c r="F27" s="157">
        <v>7.62</v>
      </c>
      <c r="G27" s="157">
        <v>7.97</v>
      </c>
      <c r="H27" s="157">
        <v>8.08</v>
      </c>
      <c r="I27" s="157">
        <v>8.8000000000000007</v>
      </c>
      <c r="J27" s="157">
        <v>9.1</v>
      </c>
      <c r="K27" s="157">
        <v>8.51</v>
      </c>
      <c r="L27" s="157">
        <v>8.8800000000000008</v>
      </c>
      <c r="M27" s="157">
        <v>7.58</v>
      </c>
      <c r="N27" s="157"/>
      <c r="O27" s="157">
        <v>7.46</v>
      </c>
      <c r="P27" s="157">
        <v>7.56</v>
      </c>
      <c r="Q27" s="157"/>
      <c r="R27" s="109">
        <f t="shared" si="7"/>
        <v>8.2207692307692302</v>
      </c>
      <c r="S27" s="110">
        <f t="shared" si="8"/>
        <v>9.1</v>
      </c>
      <c r="T27" s="110">
        <f t="shared" si="0"/>
        <v>8.4916666666666671</v>
      </c>
    </row>
    <row r="28" spans="1:20" ht="14">
      <c r="A28" s="354" t="s">
        <v>158</v>
      </c>
      <c r="B28" s="368">
        <v>8.52</v>
      </c>
      <c r="C28" s="368">
        <v>8.81</v>
      </c>
      <c r="D28" s="368">
        <v>8</v>
      </c>
      <c r="E28" s="157"/>
      <c r="F28" s="157">
        <v>7.6</v>
      </c>
      <c r="G28" s="157">
        <v>7.97</v>
      </c>
      <c r="H28" s="157">
        <v>8.07</v>
      </c>
      <c r="I28" s="157">
        <v>8.7799999999999994</v>
      </c>
      <c r="J28" s="157">
        <v>9.0500000000000007</v>
      </c>
      <c r="K28" s="157">
        <v>8.48</v>
      </c>
      <c r="L28" s="157">
        <v>8.84</v>
      </c>
      <c r="M28" s="157">
        <v>7.58</v>
      </c>
      <c r="N28" s="157"/>
      <c r="O28" s="157">
        <v>7.44</v>
      </c>
      <c r="P28" s="157">
        <v>7.56</v>
      </c>
      <c r="Q28" s="157"/>
      <c r="R28" s="109">
        <f t="shared" si="7"/>
        <v>8.2076923076923087</v>
      </c>
      <c r="S28" s="110">
        <f t="shared" si="8"/>
        <v>9.0500000000000007</v>
      </c>
      <c r="T28" s="110">
        <f t="shared" si="0"/>
        <v>8.4666666666666668</v>
      </c>
    </row>
    <row r="29" spans="1:20" ht="14">
      <c r="A29" s="354" t="s">
        <v>352</v>
      </c>
      <c r="B29" s="368">
        <v>8.51</v>
      </c>
      <c r="C29" s="368">
        <v>8.77</v>
      </c>
      <c r="D29" s="368">
        <v>8</v>
      </c>
      <c r="E29" s="157"/>
      <c r="F29" s="157">
        <v>7.59</v>
      </c>
      <c r="G29" s="157">
        <v>7.98</v>
      </c>
      <c r="H29" s="157">
        <v>8.06</v>
      </c>
      <c r="I29" s="157">
        <v>8.75</v>
      </c>
      <c r="J29" s="157">
        <v>9</v>
      </c>
      <c r="K29" s="157">
        <v>8.4600000000000009</v>
      </c>
      <c r="L29" s="157">
        <v>8.7799999999999994</v>
      </c>
      <c r="M29" s="157">
        <v>7.58</v>
      </c>
      <c r="N29" s="157"/>
      <c r="O29" s="157">
        <v>7.41</v>
      </c>
      <c r="P29" s="157">
        <v>7.54</v>
      </c>
      <c r="Q29" s="157"/>
      <c r="R29" s="109">
        <f t="shared" si="7"/>
        <v>8.1869230769230779</v>
      </c>
      <c r="S29" s="110">
        <f t="shared" si="8"/>
        <v>9</v>
      </c>
      <c r="T29" s="110">
        <f t="shared" si="0"/>
        <v>8.4383333333333344</v>
      </c>
    </row>
    <row r="30" spans="1:20" ht="14">
      <c r="A30" s="354" t="s">
        <v>159</v>
      </c>
      <c r="B30" s="368">
        <v>8.48</v>
      </c>
      <c r="C30" s="368">
        <v>8.77</v>
      </c>
      <c r="D30" s="368">
        <v>8.01</v>
      </c>
      <c r="E30" s="157"/>
      <c r="F30" s="157">
        <v>7.57</v>
      </c>
      <c r="G30" s="157">
        <v>7.96</v>
      </c>
      <c r="H30" s="157">
        <v>8.06</v>
      </c>
      <c r="I30" s="157">
        <v>8.7100000000000009</v>
      </c>
      <c r="J30" s="157">
        <v>8.9700000000000006</v>
      </c>
      <c r="K30" s="157">
        <v>8.44</v>
      </c>
      <c r="L30" s="157">
        <v>8.74</v>
      </c>
      <c r="M30" s="157">
        <v>7.58</v>
      </c>
      <c r="N30" s="157"/>
      <c r="O30" s="157">
        <v>7.38</v>
      </c>
      <c r="P30" s="157">
        <v>7.53</v>
      </c>
      <c r="Q30" s="157"/>
      <c r="R30" s="109">
        <f t="shared" si="7"/>
        <v>8.1692307692307686</v>
      </c>
      <c r="S30" s="110">
        <f t="shared" si="8"/>
        <v>8.9700000000000006</v>
      </c>
      <c r="T30" s="110">
        <f t="shared" si="0"/>
        <v>8.4166666666666661</v>
      </c>
    </row>
    <row r="31" spans="1:20" ht="14">
      <c r="A31" s="354" t="s">
        <v>353</v>
      </c>
      <c r="B31" s="368">
        <v>8.49</v>
      </c>
      <c r="C31" s="368">
        <v>8.8000000000000007</v>
      </c>
      <c r="D31" s="368">
        <v>7.95</v>
      </c>
      <c r="E31" s="157"/>
      <c r="F31" s="157">
        <v>7.56</v>
      </c>
      <c r="G31" s="157">
        <v>7.95</v>
      </c>
      <c r="H31" s="157">
        <v>8.0399999999999991</v>
      </c>
      <c r="I31" s="157">
        <v>8.6999999999999993</v>
      </c>
      <c r="J31" s="157">
        <v>8.9700000000000006</v>
      </c>
      <c r="K31" s="157">
        <v>8.41</v>
      </c>
      <c r="L31" s="157">
        <v>9.73</v>
      </c>
      <c r="M31" s="157">
        <v>7.57</v>
      </c>
      <c r="N31" s="157"/>
      <c r="O31" s="157">
        <v>7.36</v>
      </c>
      <c r="P31" s="157">
        <v>7.53</v>
      </c>
      <c r="Q31" s="157"/>
      <c r="R31" s="109">
        <f t="shared" si="7"/>
        <v>8.2353846153846142</v>
      </c>
      <c r="S31" s="110">
        <f t="shared" si="8"/>
        <v>9.73</v>
      </c>
      <c r="T31" s="110">
        <f t="shared" si="0"/>
        <v>8.5700000000000021</v>
      </c>
    </row>
    <row r="32" spans="1:20" ht="14">
      <c r="A32" s="354" t="s">
        <v>160</v>
      </c>
      <c r="B32" s="368">
        <v>8.4700000000000006</v>
      </c>
      <c r="C32" s="368">
        <v>8.6999999999999993</v>
      </c>
      <c r="D32" s="368">
        <v>7.95</v>
      </c>
      <c r="E32" s="157"/>
      <c r="F32" s="157">
        <v>7.57</v>
      </c>
      <c r="G32" s="157">
        <v>7.95</v>
      </c>
      <c r="H32" s="157">
        <v>8.0399999999999991</v>
      </c>
      <c r="I32" s="157">
        <v>8.68</v>
      </c>
      <c r="J32" s="157">
        <v>8.9600000000000009</v>
      </c>
      <c r="K32" s="157">
        <v>8.3800000000000008</v>
      </c>
      <c r="L32" s="157">
        <v>8.7100000000000009</v>
      </c>
      <c r="M32" s="157">
        <v>7.56</v>
      </c>
      <c r="N32" s="157"/>
      <c r="O32" s="157">
        <v>7.36</v>
      </c>
      <c r="P32" s="157">
        <v>7.53</v>
      </c>
      <c r="Q32" s="157"/>
      <c r="R32" s="109">
        <f t="shared" si="7"/>
        <v>8.1430769230769222</v>
      </c>
      <c r="S32" s="110">
        <f t="shared" si="8"/>
        <v>8.9600000000000009</v>
      </c>
      <c r="T32" s="110">
        <f t="shared" si="0"/>
        <v>8.3883333333333336</v>
      </c>
    </row>
    <row r="33" spans="1:20" ht="14">
      <c r="A33" s="354" t="s">
        <v>161</v>
      </c>
      <c r="B33" s="368">
        <v>8.3699999999999992</v>
      </c>
      <c r="C33" s="368">
        <v>8.6999999999999993</v>
      </c>
      <c r="D33" s="368">
        <v>8.0399999999999991</v>
      </c>
      <c r="E33" s="157"/>
      <c r="F33" s="157">
        <v>7.53</v>
      </c>
      <c r="G33" s="157">
        <v>7.94</v>
      </c>
      <c r="H33" s="157">
        <v>8.02</v>
      </c>
      <c r="I33" s="157">
        <v>8.68</v>
      </c>
      <c r="J33" s="157">
        <v>8.94</v>
      </c>
      <c r="K33" s="157">
        <v>8.36</v>
      </c>
      <c r="L33" s="157">
        <v>8.6999999999999993</v>
      </c>
      <c r="M33" s="157">
        <v>7.54</v>
      </c>
      <c r="N33" s="157"/>
      <c r="O33" s="157">
        <v>7.35</v>
      </c>
      <c r="P33" s="157">
        <v>7.51</v>
      </c>
      <c r="Q33" s="157"/>
      <c r="R33" s="109">
        <f t="shared" si="7"/>
        <v>8.1292307692307695</v>
      </c>
      <c r="S33" s="110">
        <f t="shared" si="8"/>
        <v>8.94</v>
      </c>
      <c r="T33" s="110">
        <f t="shared" si="0"/>
        <v>8.3733333333333331</v>
      </c>
    </row>
    <row r="34" spans="1:20" ht="14">
      <c r="A34" s="354" t="s">
        <v>162</v>
      </c>
      <c r="B34" s="368">
        <v>8.31</v>
      </c>
      <c r="C34" s="368">
        <v>8.4700000000000006</v>
      </c>
      <c r="D34" s="368">
        <v>8.0299999999999994</v>
      </c>
      <c r="E34" s="157"/>
      <c r="F34" s="157">
        <v>7.46</v>
      </c>
      <c r="G34" s="157">
        <v>7.93</v>
      </c>
      <c r="H34" s="157">
        <v>8.0399999999999991</v>
      </c>
      <c r="I34" s="157">
        <v>8.66</v>
      </c>
      <c r="J34" s="157">
        <v>8.93</v>
      </c>
      <c r="K34" s="157">
        <v>8.3000000000000007</v>
      </c>
      <c r="L34" s="157">
        <v>8.6999999999999993</v>
      </c>
      <c r="M34" s="157">
        <v>7.5</v>
      </c>
      <c r="N34" s="157"/>
      <c r="O34" s="157">
        <v>7.35</v>
      </c>
      <c r="P34" s="157">
        <v>7.5</v>
      </c>
      <c r="Q34" s="157"/>
      <c r="R34" s="109">
        <f t="shared" si="7"/>
        <v>8.0907692307692312</v>
      </c>
      <c r="S34" s="110">
        <f t="shared" si="8"/>
        <v>8.93</v>
      </c>
      <c r="T34" s="110">
        <f t="shared" si="0"/>
        <v>8.3549999999999986</v>
      </c>
    </row>
    <row r="35" spans="1:20" ht="14">
      <c r="A35" s="354" t="s">
        <v>163</v>
      </c>
      <c r="B35" s="368">
        <v>8.27</v>
      </c>
      <c r="C35" s="368"/>
      <c r="D35" s="368">
        <v>8.0399999999999991</v>
      </c>
      <c r="E35" s="157"/>
      <c r="F35" s="157">
        <v>7.48</v>
      </c>
      <c r="G35" s="157">
        <v>7.91</v>
      </c>
      <c r="H35" s="157">
        <v>8.0299999999999994</v>
      </c>
      <c r="I35" s="157"/>
      <c r="J35" s="157">
        <v>8.9</v>
      </c>
      <c r="K35" s="157">
        <v>7.61</v>
      </c>
      <c r="L35" s="157">
        <v>8.6999999999999993</v>
      </c>
      <c r="M35" s="157">
        <v>7.5</v>
      </c>
      <c r="N35" s="157"/>
      <c r="O35" s="157">
        <v>7.37</v>
      </c>
      <c r="P35" s="157">
        <v>7.48</v>
      </c>
      <c r="Q35" s="157"/>
      <c r="R35" s="109">
        <f t="shared" si="7"/>
        <v>7.9354545454545464</v>
      </c>
      <c r="S35" s="110">
        <f t="shared" si="8"/>
        <v>8.9</v>
      </c>
      <c r="T35" s="110">
        <f t="shared" si="0"/>
        <v>8.1479999999999997</v>
      </c>
    </row>
    <row r="36" spans="1:20" ht="14">
      <c r="A36" s="354" t="s">
        <v>164</v>
      </c>
      <c r="B36" s="368"/>
      <c r="C36" s="368"/>
      <c r="D36" s="368">
        <v>8.07</v>
      </c>
      <c r="E36" s="157"/>
      <c r="F36" s="157">
        <v>7.47</v>
      </c>
      <c r="G36" s="157">
        <v>7.89</v>
      </c>
      <c r="H36" s="157">
        <v>8.01</v>
      </c>
      <c r="I36" s="157"/>
      <c r="J36" s="157">
        <v>8.83</v>
      </c>
      <c r="K36" s="157">
        <v>7.54</v>
      </c>
      <c r="L36" s="157">
        <v>8.65</v>
      </c>
      <c r="M36" s="157">
        <v>7.5</v>
      </c>
      <c r="N36" s="157"/>
      <c r="O36" s="157">
        <v>7.33</v>
      </c>
      <c r="P36" s="157">
        <v>7.46</v>
      </c>
      <c r="Q36" s="157"/>
      <c r="R36" s="109">
        <f t="shared" si="7"/>
        <v>7.8749999999999982</v>
      </c>
      <c r="S36" s="110">
        <f t="shared" si="8"/>
        <v>8.83</v>
      </c>
      <c r="T36" s="110">
        <f t="shared" si="0"/>
        <v>8.1059999999999999</v>
      </c>
    </row>
    <row r="37" spans="1:20">
      <c r="A37" s="362" t="s">
        <v>568</v>
      </c>
      <c r="B37" s="368">
        <f>AVERAGE(B25:B28)</f>
        <v>8.6050000000000004</v>
      </c>
      <c r="C37" s="368">
        <f t="shared" ref="C37:M37" si="9">AVERAGE(C25:C28)</f>
        <v>8.8574999999999999</v>
      </c>
      <c r="D37" s="368">
        <f t="shared" si="9"/>
        <v>8.0175000000000018</v>
      </c>
      <c r="E37" s="368"/>
      <c r="F37" s="368">
        <f t="shared" si="9"/>
        <v>7.6174999999999997</v>
      </c>
      <c r="G37" s="368">
        <f t="shared" ref="G37:L37" si="10">AVERAGE(G25:G28)</f>
        <v>7.97</v>
      </c>
      <c r="H37" s="368">
        <f t="shared" si="10"/>
        <v>8.0724999999999998</v>
      </c>
      <c r="I37" s="368">
        <f t="shared" si="10"/>
        <v>8.7999999999999989</v>
      </c>
      <c r="J37" s="368">
        <f t="shared" si="10"/>
        <v>9.0925000000000011</v>
      </c>
      <c r="K37" s="368">
        <f t="shared" si="10"/>
        <v>8.504999999999999</v>
      </c>
      <c r="L37" s="368">
        <f t="shared" si="10"/>
        <v>8.9024999999999999</v>
      </c>
      <c r="M37" s="368">
        <f t="shared" si="9"/>
        <v>7.5975000000000001</v>
      </c>
      <c r="N37" s="368"/>
      <c r="O37" s="368">
        <f>AVERAGE(O25:O28)</f>
        <v>7.4600000000000009</v>
      </c>
      <c r="P37" s="368">
        <f>AVERAGE(P25:P28)</f>
        <v>7.5724999999999998</v>
      </c>
      <c r="Q37" s="368"/>
      <c r="R37" s="368">
        <f>AVERAGE(R25:R28)</f>
        <v>8.2361538461538473</v>
      </c>
      <c r="S37" s="368">
        <f>AVERAGE(S25:S28)</f>
        <v>9.0925000000000011</v>
      </c>
      <c r="T37" s="368">
        <f>AVERAGE(T25:T28)</f>
        <v>8.495000000000001</v>
      </c>
    </row>
    <row r="38" spans="1:20">
      <c r="A38" s="362" t="s">
        <v>569</v>
      </c>
      <c r="B38" s="368">
        <f t="shared" ref="B38:P38" si="11">AVERAGE(B25:B36)</f>
        <v>8.4836363636363643</v>
      </c>
      <c r="C38" s="368">
        <f t="shared" si="11"/>
        <v>8.7639999999999993</v>
      </c>
      <c r="D38" s="368">
        <f t="shared" si="11"/>
        <v>8.0133333333333336</v>
      </c>
      <c r="E38" s="368"/>
      <c r="F38" s="368">
        <f t="shared" si="11"/>
        <v>7.5583333333333336</v>
      </c>
      <c r="G38" s="368">
        <f t="shared" si="11"/>
        <v>7.9491666666666667</v>
      </c>
      <c r="H38" s="368">
        <f t="shared" si="11"/>
        <v>8.0491666666666681</v>
      </c>
      <c r="I38" s="368">
        <f t="shared" si="11"/>
        <v>8.7379999999999995</v>
      </c>
      <c r="J38" s="368">
        <f t="shared" si="11"/>
        <v>8.9891666666666676</v>
      </c>
      <c r="K38" s="368">
        <f t="shared" si="11"/>
        <v>8.293333333333333</v>
      </c>
      <c r="L38" s="368">
        <f t="shared" si="11"/>
        <v>8.8600000000000012</v>
      </c>
      <c r="M38" s="368">
        <f t="shared" si="11"/>
        <v>7.56</v>
      </c>
      <c r="N38" s="368"/>
      <c r="O38" s="368">
        <f t="shared" si="11"/>
        <v>7.395833333333333</v>
      </c>
      <c r="P38" s="368">
        <f t="shared" si="11"/>
        <v>7.5308333333333337</v>
      </c>
      <c r="Q38" s="368"/>
      <c r="R38" s="368">
        <f>AVERAGE(R25:R36)</f>
        <v>8.1424737762237758</v>
      </c>
      <c r="S38" s="368">
        <f>AVERAGE(S25:S36)</f>
        <v>9.0525000000000002</v>
      </c>
      <c r="T38" s="368">
        <f>AVERAGE(T25:T36)</f>
        <v>8.3979722222222222</v>
      </c>
    </row>
    <row r="39" spans="1:20" ht="15.5">
      <c r="A39" s="1194" t="s">
        <v>549</v>
      </c>
      <c r="B39" s="1195"/>
      <c r="C39" s="1195"/>
      <c r="D39" s="1195"/>
      <c r="E39" s="1195"/>
      <c r="F39" s="1195"/>
      <c r="G39" s="1195"/>
      <c r="H39" s="1195"/>
      <c r="I39" s="1195"/>
      <c r="J39" s="1195"/>
      <c r="K39" s="1195"/>
      <c r="L39" s="1195"/>
      <c r="M39" s="1195"/>
      <c r="N39" s="1195"/>
      <c r="O39" s="1195"/>
      <c r="P39" s="1195"/>
      <c r="Q39" s="1195"/>
      <c r="R39" s="1195"/>
      <c r="S39" s="1195"/>
      <c r="T39" s="1196"/>
    </row>
    <row r="40" spans="1:20" ht="14">
      <c r="A40" s="354" t="s">
        <v>350</v>
      </c>
      <c r="B40" s="368">
        <v>8.73</v>
      </c>
      <c r="C40" s="368">
        <v>8.57</v>
      </c>
      <c r="D40" s="368">
        <v>8.06</v>
      </c>
      <c r="E40" s="157"/>
      <c r="F40" s="157">
        <v>7.65</v>
      </c>
      <c r="G40" s="157">
        <v>8.0399999999999991</v>
      </c>
      <c r="H40" s="157">
        <v>8.09</v>
      </c>
      <c r="I40" s="157">
        <v>8.76</v>
      </c>
      <c r="J40" s="157">
        <v>8.9499999999999993</v>
      </c>
      <c r="K40" s="157">
        <v>8.43</v>
      </c>
      <c r="L40" s="157">
        <v>8.82</v>
      </c>
      <c r="M40" s="157">
        <v>7.6</v>
      </c>
      <c r="N40" s="157"/>
      <c r="O40" s="157">
        <v>7.5</v>
      </c>
      <c r="P40" s="157">
        <v>7.6</v>
      </c>
      <c r="Q40" s="157"/>
      <c r="R40" s="109">
        <f>AVERAGE(B40:Q40)</f>
        <v>8.2153846153846146</v>
      </c>
      <c r="S40" s="110">
        <f>MAX(B40:Q40)</f>
        <v>8.9499999999999993</v>
      </c>
      <c r="T40" s="110">
        <f t="shared" si="0"/>
        <v>8.4416666666666682</v>
      </c>
    </row>
    <row r="41" spans="1:20" ht="14">
      <c r="A41" s="354" t="s">
        <v>157</v>
      </c>
      <c r="B41" s="368">
        <v>8.6</v>
      </c>
      <c r="C41" s="368">
        <v>8.66</v>
      </c>
      <c r="D41" s="368">
        <v>8.0399999999999991</v>
      </c>
      <c r="E41" s="157"/>
      <c r="F41" s="157">
        <v>7.61</v>
      </c>
      <c r="G41" s="157">
        <v>8.01</v>
      </c>
      <c r="H41" s="157">
        <v>8.09</v>
      </c>
      <c r="I41" s="157">
        <v>8.81</v>
      </c>
      <c r="J41" s="157">
        <v>8.9600000000000009</v>
      </c>
      <c r="K41" s="157">
        <v>8.49</v>
      </c>
      <c r="L41" s="157">
        <v>8.82</v>
      </c>
      <c r="M41" s="157">
        <v>7.59</v>
      </c>
      <c r="N41" s="157"/>
      <c r="O41" s="157">
        <v>7.47</v>
      </c>
      <c r="P41" s="157">
        <v>7.59</v>
      </c>
      <c r="Q41" s="157"/>
      <c r="R41" s="109">
        <f t="shared" ref="R41:R48" si="12">AVERAGE(B41:Q41)</f>
        <v>8.2107692307692322</v>
      </c>
      <c r="S41" s="110">
        <f t="shared" ref="S41:S48" si="13">MAX(B41:Q41)</f>
        <v>8.9600000000000009</v>
      </c>
      <c r="T41" s="110">
        <f t="shared" si="0"/>
        <v>8.4600000000000009</v>
      </c>
    </row>
    <row r="42" spans="1:20" ht="14">
      <c r="A42" s="354" t="s">
        <v>351</v>
      </c>
      <c r="B42" s="368">
        <v>8.5500000000000007</v>
      </c>
      <c r="C42" s="368">
        <v>8.61</v>
      </c>
      <c r="D42" s="368">
        <v>8.06</v>
      </c>
      <c r="E42" s="157"/>
      <c r="F42" s="157">
        <v>7.63</v>
      </c>
      <c r="G42" s="157">
        <v>7.98</v>
      </c>
      <c r="H42" s="157">
        <v>8.09</v>
      </c>
      <c r="I42" s="157">
        <v>8.8000000000000007</v>
      </c>
      <c r="J42" s="157">
        <v>8.9499999999999993</v>
      </c>
      <c r="K42" s="157">
        <v>8.4499999999999993</v>
      </c>
      <c r="L42" s="157">
        <v>8.8800000000000008</v>
      </c>
      <c r="M42" s="157">
        <v>7.59</v>
      </c>
      <c r="N42" s="157"/>
      <c r="O42" s="157">
        <v>7.47</v>
      </c>
      <c r="P42" s="157">
        <v>7.58</v>
      </c>
      <c r="Q42" s="157"/>
      <c r="R42" s="109">
        <f t="shared" si="12"/>
        <v>8.2030769230769227</v>
      </c>
      <c r="S42" s="110">
        <f t="shared" si="13"/>
        <v>8.9499999999999993</v>
      </c>
      <c r="T42" s="110">
        <f t="shared" si="0"/>
        <v>8.4600000000000009</v>
      </c>
    </row>
    <row r="43" spans="1:20" ht="14">
      <c r="A43" s="354" t="s">
        <v>158</v>
      </c>
      <c r="B43" s="368">
        <v>8.61</v>
      </c>
      <c r="C43" s="368">
        <v>8.7100000000000009</v>
      </c>
      <c r="D43" s="368">
        <v>8.1199999999999992</v>
      </c>
      <c r="E43" s="157"/>
      <c r="F43" s="157">
        <v>7.59</v>
      </c>
      <c r="G43" s="157">
        <v>7.96</v>
      </c>
      <c r="H43" s="157">
        <v>8.08</v>
      </c>
      <c r="I43" s="157">
        <v>8.84</v>
      </c>
      <c r="J43" s="157">
        <v>8.9499999999999993</v>
      </c>
      <c r="K43" s="157">
        <v>8.4600000000000009</v>
      </c>
      <c r="L43" s="157">
        <v>8.83</v>
      </c>
      <c r="M43" s="157">
        <v>7.58</v>
      </c>
      <c r="N43" s="157"/>
      <c r="O43" s="157">
        <v>7.43</v>
      </c>
      <c r="P43" s="157">
        <v>7.56</v>
      </c>
      <c r="Q43" s="157"/>
      <c r="R43" s="109">
        <f t="shared" si="12"/>
        <v>8.2092307692307696</v>
      </c>
      <c r="S43" s="110">
        <f t="shared" si="13"/>
        <v>8.9499999999999993</v>
      </c>
      <c r="T43" s="110">
        <f t="shared" si="0"/>
        <v>8.4566666666666652</v>
      </c>
    </row>
    <row r="44" spans="1:20" ht="14">
      <c r="A44" s="354" t="s">
        <v>352</v>
      </c>
      <c r="B44" s="368">
        <v>8.73</v>
      </c>
      <c r="C44" s="368">
        <v>8.64</v>
      </c>
      <c r="D44" s="368">
        <v>8.08</v>
      </c>
      <c r="E44" s="157"/>
      <c r="F44" s="157">
        <v>7.6</v>
      </c>
      <c r="G44" s="157">
        <v>7.95</v>
      </c>
      <c r="H44" s="157">
        <v>8.06</v>
      </c>
      <c r="I44" s="157">
        <v>8.81</v>
      </c>
      <c r="J44" s="157">
        <v>8.94</v>
      </c>
      <c r="K44" s="157">
        <v>8.4600000000000009</v>
      </c>
      <c r="L44" s="157">
        <v>8.82</v>
      </c>
      <c r="M44" s="157">
        <v>7.57</v>
      </c>
      <c r="N44" s="157"/>
      <c r="O44" s="157">
        <v>7.41</v>
      </c>
      <c r="P44" s="157">
        <v>7.54</v>
      </c>
      <c r="Q44" s="157"/>
      <c r="R44" s="109">
        <f t="shared" si="12"/>
        <v>8.2007692307692306</v>
      </c>
      <c r="S44" s="110">
        <f t="shared" si="13"/>
        <v>8.94</v>
      </c>
      <c r="T44" s="110">
        <f t="shared" si="0"/>
        <v>8.4433333333333334</v>
      </c>
    </row>
    <row r="45" spans="1:20" ht="14">
      <c r="A45" s="354" t="s">
        <v>159</v>
      </c>
      <c r="B45" s="368">
        <v>8.76</v>
      </c>
      <c r="C45" s="368">
        <v>8.57</v>
      </c>
      <c r="D45" s="368">
        <v>8.07</v>
      </c>
      <c r="E45" s="157"/>
      <c r="F45" s="157">
        <v>7.6</v>
      </c>
      <c r="G45" s="157">
        <v>7.94</v>
      </c>
      <c r="H45" s="157">
        <v>8.06</v>
      </c>
      <c r="I45" s="157">
        <v>8.7899999999999991</v>
      </c>
      <c r="J45" s="157">
        <v>8.9600000000000009</v>
      </c>
      <c r="K45" s="157">
        <v>8.4499999999999993</v>
      </c>
      <c r="L45" s="157">
        <v>8.81</v>
      </c>
      <c r="M45" s="157">
        <v>7.57</v>
      </c>
      <c r="N45" s="157"/>
      <c r="O45" s="157">
        <v>7.4</v>
      </c>
      <c r="P45" s="157">
        <v>7.54</v>
      </c>
      <c r="Q45" s="157"/>
      <c r="R45" s="109">
        <f t="shared" si="12"/>
        <v>8.193846153846156</v>
      </c>
      <c r="S45" s="110">
        <f t="shared" si="13"/>
        <v>8.9600000000000009</v>
      </c>
      <c r="T45" s="110">
        <f t="shared" si="0"/>
        <v>8.4400000000000013</v>
      </c>
    </row>
    <row r="46" spans="1:20" ht="14">
      <c r="A46" s="354" t="s">
        <v>353</v>
      </c>
      <c r="B46" s="368">
        <v>8.58</v>
      </c>
      <c r="C46" s="368">
        <v>8.42</v>
      </c>
      <c r="D46" s="368">
        <v>8.1</v>
      </c>
      <c r="E46" s="157"/>
      <c r="F46" s="157">
        <v>7.59</v>
      </c>
      <c r="G46" s="157">
        <v>7.93</v>
      </c>
      <c r="H46" s="157">
        <v>8.0500000000000007</v>
      </c>
      <c r="I46" s="157">
        <v>8.77</v>
      </c>
      <c r="J46" s="157">
        <v>8.9600000000000009</v>
      </c>
      <c r="K46" s="157">
        <v>8.41</v>
      </c>
      <c r="L46" s="157">
        <v>8.81</v>
      </c>
      <c r="M46" s="157">
        <v>7.56</v>
      </c>
      <c r="N46" s="157"/>
      <c r="O46" s="157">
        <v>7.42</v>
      </c>
      <c r="P46" s="157">
        <v>7.53</v>
      </c>
      <c r="Q46" s="157"/>
      <c r="R46" s="109">
        <f t="shared" si="12"/>
        <v>8.1638461538461549</v>
      </c>
      <c r="S46" s="110">
        <f t="shared" si="13"/>
        <v>8.9600000000000009</v>
      </c>
      <c r="T46" s="110">
        <f t="shared" si="0"/>
        <v>8.4266666666666676</v>
      </c>
    </row>
    <row r="47" spans="1:20" ht="14">
      <c r="A47" s="354" t="s">
        <v>160</v>
      </c>
      <c r="B47" s="368">
        <v>8.5299999999999994</v>
      </c>
      <c r="C47" s="368">
        <v>8.34</v>
      </c>
      <c r="D47" s="368">
        <v>8.08</v>
      </c>
      <c r="E47" s="157"/>
      <c r="F47" s="157">
        <v>7.57</v>
      </c>
      <c r="G47" s="157">
        <v>7.92</v>
      </c>
      <c r="H47" s="157">
        <v>8.0399999999999991</v>
      </c>
      <c r="I47" s="157">
        <v>8.77</v>
      </c>
      <c r="J47" s="157">
        <v>8.9700000000000006</v>
      </c>
      <c r="K47" s="157">
        <v>8.4</v>
      </c>
      <c r="L47" s="157">
        <v>8.82</v>
      </c>
      <c r="M47" s="157">
        <v>7.57</v>
      </c>
      <c r="N47" s="157"/>
      <c r="O47" s="157">
        <v>7.4</v>
      </c>
      <c r="P47" s="157">
        <v>7.52</v>
      </c>
      <c r="Q47" s="157"/>
      <c r="R47" s="109">
        <f t="shared" si="12"/>
        <v>8.1484615384615378</v>
      </c>
      <c r="S47" s="110">
        <f t="shared" si="13"/>
        <v>8.9700000000000006</v>
      </c>
      <c r="T47" s="110">
        <f t="shared" si="0"/>
        <v>8.4283333333333328</v>
      </c>
    </row>
    <row r="48" spans="1:20" ht="14">
      <c r="A48" s="354" t="s">
        <v>161</v>
      </c>
      <c r="B48" s="368"/>
      <c r="C48" s="368">
        <v>8.2200000000000006</v>
      </c>
      <c r="D48" s="368">
        <v>8.11</v>
      </c>
      <c r="E48" s="157"/>
      <c r="F48" s="157">
        <v>7.52</v>
      </c>
      <c r="G48" s="157">
        <v>7.91</v>
      </c>
      <c r="H48" s="157">
        <v>8.0299999999999994</v>
      </c>
      <c r="I48" s="157">
        <v>8.7200000000000006</v>
      </c>
      <c r="J48" s="157">
        <v>8.94</v>
      </c>
      <c r="K48" s="157">
        <v>8.35</v>
      </c>
      <c r="L48" s="157">
        <v>8.8000000000000007</v>
      </c>
      <c r="M48" s="157">
        <v>7.56</v>
      </c>
      <c r="N48" s="157"/>
      <c r="O48" s="157">
        <v>7.4</v>
      </c>
      <c r="P48" s="157">
        <v>7.52</v>
      </c>
      <c r="Q48" s="157"/>
      <c r="R48" s="109">
        <f t="shared" si="12"/>
        <v>8.09</v>
      </c>
      <c r="S48" s="110">
        <f t="shared" si="13"/>
        <v>8.94</v>
      </c>
      <c r="T48" s="110">
        <f t="shared" si="0"/>
        <v>8.4</v>
      </c>
    </row>
    <row r="49" spans="1:20">
      <c r="A49" s="362" t="s">
        <v>568</v>
      </c>
      <c r="B49" s="368">
        <f>AVERAGE(B40:B43)</f>
        <v>8.6224999999999987</v>
      </c>
      <c r="C49" s="368">
        <f t="shared" ref="C49:F49" si="14">AVERAGE(C40:C43)</f>
        <v>8.6374999999999993</v>
      </c>
      <c r="D49" s="368">
        <f t="shared" si="14"/>
        <v>8.07</v>
      </c>
      <c r="E49" s="368"/>
      <c r="F49" s="368">
        <f t="shared" si="14"/>
        <v>7.62</v>
      </c>
      <c r="G49" s="368">
        <f>AVERAGE(G40:G43)</f>
        <v>7.9974999999999996</v>
      </c>
      <c r="H49" s="368">
        <f>AVERAGE(H40:H43)</f>
        <v>8.0875000000000004</v>
      </c>
      <c r="I49" s="368">
        <f>AVERAGE(I40:I43)</f>
        <v>8.8025000000000002</v>
      </c>
      <c r="J49" s="368">
        <f t="shared" ref="J49:L49" si="15">AVERAGE(J40:J43)</f>
        <v>8.9525000000000006</v>
      </c>
      <c r="K49" s="368">
        <f t="shared" si="15"/>
        <v>8.4574999999999996</v>
      </c>
      <c r="L49" s="368">
        <f t="shared" si="15"/>
        <v>8.8375000000000004</v>
      </c>
      <c r="M49" s="368">
        <f>AVERAGE(M40:M43)</f>
        <v>7.59</v>
      </c>
      <c r="N49" s="368"/>
      <c r="O49" s="368">
        <f>AVERAGE(O40:O43)</f>
        <v>7.4674999999999994</v>
      </c>
      <c r="P49" s="368">
        <f>AVERAGE(P40:P43)</f>
        <v>7.5824999999999996</v>
      </c>
      <c r="Q49" s="368"/>
      <c r="R49" s="368">
        <f>AVERAGE(R40:R43)</f>
        <v>8.2096153846153843</v>
      </c>
      <c r="S49" s="368">
        <f>AVERAGE(S40:S43)</f>
        <v>8.9525000000000006</v>
      </c>
      <c r="T49" s="368">
        <f>AVERAGE(T40:T43)</f>
        <v>8.4545833333333338</v>
      </c>
    </row>
    <row r="50" spans="1:20">
      <c r="A50" s="354" t="s">
        <v>562</v>
      </c>
      <c r="B50" s="368">
        <f t="shared" ref="B50:P50" si="16">AVERAGE(B40:B48)</f>
        <v>8.6362499999999986</v>
      </c>
      <c r="C50" s="368">
        <f t="shared" si="16"/>
        <v>8.5266666666666655</v>
      </c>
      <c r="D50" s="368">
        <f t="shared" si="16"/>
        <v>8.08</v>
      </c>
      <c r="E50" s="368"/>
      <c r="F50" s="368">
        <f t="shared" si="16"/>
        <v>7.5955555555555554</v>
      </c>
      <c r="G50" s="368">
        <f t="shared" si="16"/>
        <v>7.96</v>
      </c>
      <c r="H50" s="368">
        <f t="shared" si="16"/>
        <v>8.0655555555555551</v>
      </c>
      <c r="I50" s="368">
        <f t="shared" si="16"/>
        <v>8.785555555555554</v>
      </c>
      <c r="J50" s="368">
        <f t="shared" si="16"/>
        <v>8.9533333333333331</v>
      </c>
      <c r="K50" s="368">
        <f t="shared" si="16"/>
        <v>8.4333333333333318</v>
      </c>
      <c r="L50" s="368">
        <f t="shared" si="16"/>
        <v>8.8233333333333341</v>
      </c>
      <c r="M50" s="368">
        <f t="shared" si="16"/>
        <v>7.5766666666666662</v>
      </c>
      <c r="N50" s="368"/>
      <c r="O50" s="368">
        <f t="shared" si="16"/>
        <v>7.4333333333333336</v>
      </c>
      <c r="P50" s="368">
        <f t="shared" si="16"/>
        <v>7.5533333333333319</v>
      </c>
      <c r="Q50" s="368"/>
      <c r="R50" s="368">
        <f>AVERAGE(R40:R48)</f>
        <v>8.1817094017094014</v>
      </c>
      <c r="S50" s="368">
        <f>AVERAGE(S40:S48)</f>
        <v>8.9533333333333331</v>
      </c>
      <c r="T50" s="368">
        <f>AVERAGE(T40:T48)</f>
        <v>8.4396296296296303</v>
      </c>
    </row>
    <row r="51" spans="1:20" ht="15.5">
      <c r="A51" s="1194" t="s">
        <v>550</v>
      </c>
      <c r="B51" s="1195"/>
      <c r="C51" s="1195"/>
      <c r="D51" s="1195"/>
      <c r="E51" s="1195"/>
      <c r="F51" s="1195"/>
      <c r="G51" s="1195"/>
      <c r="H51" s="1195"/>
      <c r="I51" s="1195"/>
      <c r="J51" s="1195"/>
      <c r="K51" s="1195"/>
      <c r="L51" s="1195"/>
      <c r="M51" s="1195"/>
      <c r="N51" s="1195"/>
      <c r="O51" s="1195"/>
      <c r="P51" s="1195"/>
      <c r="Q51" s="1195"/>
      <c r="R51" s="1195"/>
      <c r="S51" s="1195"/>
      <c r="T51" s="1196"/>
    </row>
    <row r="52" spans="1:20" ht="14">
      <c r="A52" s="354" t="s">
        <v>350</v>
      </c>
      <c r="B52" s="368">
        <v>8.76</v>
      </c>
      <c r="C52" s="368">
        <v>9</v>
      </c>
      <c r="D52" s="368">
        <v>8.17</v>
      </c>
      <c r="E52" s="157"/>
      <c r="F52" s="157">
        <v>7.56</v>
      </c>
      <c r="G52" s="157">
        <v>7.97</v>
      </c>
      <c r="H52" s="157">
        <v>8.2200000000000006</v>
      </c>
      <c r="I52" s="157">
        <v>8.8000000000000007</v>
      </c>
      <c r="J52" s="157">
        <v>9.01</v>
      </c>
      <c r="K52" s="157">
        <v>8.58</v>
      </c>
      <c r="L52" s="157">
        <v>9</v>
      </c>
      <c r="M52" s="157">
        <v>7.59</v>
      </c>
      <c r="N52" s="157"/>
      <c r="O52" s="157">
        <v>7.49</v>
      </c>
      <c r="P52" s="157">
        <v>7.6</v>
      </c>
      <c r="Q52" s="157">
        <v>7.89</v>
      </c>
      <c r="R52" s="109">
        <f>AVERAGE(B52:Q52)</f>
        <v>8.26</v>
      </c>
      <c r="S52" s="110">
        <f>MAX(B52:Q52)</f>
        <v>9.01</v>
      </c>
      <c r="T52" s="110">
        <f t="shared" si="0"/>
        <v>8.5333333333333332</v>
      </c>
    </row>
    <row r="53" spans="1:20" ht="14">
      <c r="A53" s="354" t="s">
        <v>157</v>
      </c>
      <c r="B53" s="368">
        <v>8.64</v>
      </c>
      <c r="C53" s="368">
        <v>8.91</v>
      </c>
      <c r="D53" s="368">
        <v>8.07</v>
      </c>
      <c r="E53" s="157"/>
      <c r="F53" s="157">
        <v>7.55</v>
      </c>
      <c r="G53" s="157">
        <v>7.96</v>
      </c>
      <c r="H53" s="157">
        <v>8.24</v>
      </c>
      <c r="I53" s="157">
        <v>8.83</v>
      </c>
      <c r="J53" s="157">
        <v>9.02</v>
      </c>
      <c r="K53" s="157">
        <v>8.57</v>
      </c>
      <c r="L53" s="157">
        <v>9.01</v>
      </c>
      <c r="M53" s="157">
        <v>7.58</v>
      </c>
      <c r="N53" s="157"/>
      <c r="O53" s="157">
        <v>7.47</v>
      </c>
      <c r="P53" s="157">
        <v>7.59</v>
      </c>
      <c r="Q53" s="157">
        <v>7.86</v>
      </c>
      <c r="R53" s="109">
        <f t="shared" ref="R53:R59" si="17">AVERAGE(B53:Q53)</f>
        <v>8.2357142857142858</v>
      </c>
      <c r="S53" s="110">
        <f t="shared" ref="S53:S59" si="18">MAX(B53:Q53)</f>
        <v>9.02</v>
      </c>
      <c r="T53" s="110">
        <f t="shared" si="0"/>
        <v>8.5416666666666661</v>
      </c>
    </row>
    <row r="54" spans="1:20" ht="14">
      <c r="A54" s="354" t="s">
        <v>351</v>
      </c>
      <c r="B54" s="368">
        <v>8.6300000000000008</v>
      </c>
      <c r="C54" s="368">
        <v>8.8000000000000007</v>
      </c>
      <c r="D54" s="368">
        <v>8.07</v>
      </c>
      <c r="E54" s="157"/>
      <c r="F54" s="157">
        <v>7.57</v>
      </c>
      <c r="G54" s="157">
        <v>7.95</v>
      </c>
      <c r="H54" s="157">
        <v>8.26</v>
      </c>
      <c r="I54" s="157">
        <v>8.82</v>
      </c>
      <c r="J54" s="157">
        <v>9.0500000000000007</v>
      </c>
      <c r="K54" s="157">
        <v>8.56</v>
      </c>
      <c r="L54" s="157">
        <v>9.01</v>
      </c>
      <c r="M54" s="157">
        <v>7.56</v>
      </c>
      <c r="N54" s="157"/>
      <c r="O54" s="157">
        <v>7.46</v>
      </c>
      <c r="P54" s="157">
        <v>7.56</v>
      </c>
      <c r="Q54" s="157">
        <v>7.82</v>
      </c>
      <c r="R54" s="109">
        <f t="shared" si="17"/>
        <v>8.2228571428571424</v>
      </c>
      <c r="S54" s="110">
        <f t="shared" si="18"/>
        <v>9.0500000000000007</v>
      </c>
      <c r="T54" s="110">
        <f t="shared" si="0"/>
        <v>8.543333333333333</v>
      </c>
    </row>
    <row r="55" spans="1:20" ht="14">
      <c r="A55" s="354" t="s">
        <v>158</v>
      </c>
      <c r="B55" s="368">
        <v>8.61</v>
      </c>
      <c r="C55" s="368">
        <v>8.84</v>
      </c>
      <c r="D55" s="368">
        <v>8.0500000000000007</v>
      </c>
      <c r="E55" s="157"/>
      <c r="F55" s="157">
        <v>7.56</v>
      </c>
      <c r="G55" s="157">
        <v>7.95</v>
      </c>
      <c r="H55" s="157">
        <v>8.26</v>
      </c>
      <c r="I55" s="157">
        <v>8.82</v>
      </c>
      <c r="J55" s="157">
        <v>9.0500000000000007</v>
      </c>
      <c r="K55" s="157">
        <v>8.5500000000000007</v>
      </c>
      <c r="L55" s="157">
        <v>9.01</v>
      </c>
      <c r="M55" s="157">
        <v>7.57</v>
      </c>
      <c r="N55" s="157"/>
      <c r="O55" s="157">
        <v>7.45</v>
      </c>
      <c r="P55" s="157">
        <v>7.56</v>
      </c>
      <c r="Q55" s="157">
        <v>7.8</v>
      </c>
      <c r="R55" s="109">
        <f t="shared" si="17"/>
        <v>8.2200000000000006</v>
      </c>
      <c r="S55" s="110">
        <f t="shared" si="18"/>
        <v>9.0500000000000007</v>
      </c>
      <c r="T55" s="110">
        <f t="shared" si="0"/>
        <v>8.543333333333333</v>
      </c>
    </row>
    <row r="56" spans="1:20" ht="14">
      <c r="A56" s="354" t="s">
        <v>352</v>
      </c>
      <c r="B56" s="368">
        <v>8.92</v>
      </c>
      <c r="C56" s="368">
        <v>8.7200000000000006</v>
      </c>
      <c r="D56" s="368">
        <v>8.02</v>
      </c>
      <c r="E56" s="157"/>
      <c r="F56" s="157">
        <v>7.57</v>
      </c>
      <c r="G56" s="157">
        <v>7.97</v>
      </c>
      <c r="H56" s="157">
        <v>8.27</v>
      </c>
      <c r="I56" s="157">
        <v>8.81</v>
      </c>
      <c r="J56" s="157">
        <v>9.0500000000000007</v>
      </c>
      <c r="K56" s="157">
        <v>8.5399999999999991</v>
      </c>
      <c r="L56" s="157">
        <v>9</v>
      </c>
      <c r="M56" s="157">
        <v>7.58</v>
      </c>
      <c r="N56" s="157"/>
      <c r="O56" s="157">
        <v>7.42</v>
      </c>
      <c r="P56" s="157">
        <v>7.54</v>
      </c>
      <c r="Q56" s="157">
        <v>7.78</v>
      </c>
      <c r="R56" s="109">
        <f t="shared" si="17"/>
        <v>8.2278571428571432</v>
      </c>
      <c r="S56" s="110">
        <f t="shared" si="18"/>
        <v>9.0500000000000007</v>
      </c>
      <c r="T56" s="110">
        <f t="shared" si="0"/>
        <v>8.5416666666666661</v>
      </c>
    </row>
    <row r="57" spans="1:20" ht="14">
      <c r="A57" s="354" t="s">
        <v>159</v>
      </c>
      <c r="B57" s="368"/>
      <c r="C57" s="368"/>
      <c r="D57" s="368">
        <v>8.09</v>
      </c>
      <c r="E57" s="157"/>
      <c r="F57" s="157">
        <v>7.56</v>
      </c>
      <c r="G57" s="157"/>
      <c r="H57" s="157">
        <v>8.26</v>
      </c>
      <c r="I57" s="157">
        <v>8.83</v>
      </c>
      <c r="J57" s="157">
        <v>9.0399999999999991</v>
      </c>
      <c r="K57" s="157"/>
      <c r="L57" s="157"/>
      <c r="M57" s="157">
        <v>7.5</v>
      </c>
      <c r="N57" s="157"/>
      <c r="O57" s="157"/>
      <c r="P57" s="157">
        <v>7.53</v>
      </c>
      <c r="Q57" s="157">
        <v>7.76</v>
      </c>
      <c r="R57" s="109">
        <f t="shared" si="17"/>
        <v>8.0712499999999991</v>
      </c>
      <c r="S57" s="110">
        <f t="shared" si="18"/>
        <v>9.0399999999999991</v>
      </c>
      <c r="T57" s="110">
        <f t="shared" si="0"/>
        <v>8.4074999999999989</v>
      </c>
    </row>
    <row r="58" spans="1:20" ht="14">
      <c r="A58" s="354" t="s">
        <v>353</v>
      </c>
      <c r="B58" s="368"/>
      <c r="C58" s="368"/>
      <c r="D58" s="368">
        <v>8.08</v>
      </c>
      <c r="E58" s="157"/>
      <c r="F58" s="157"/>
      <c r="G58" s="157"/>
      <c r="H58" s="157">
        <v>8.24</v>
      </c>
      <c r="I58" s="157">
        <v>8.83</v>
      </c>
      <c r="J58" s="157">
        <v>9.0399999999999991</v>
      </c>
      <c r="K58" s="157"/>
      <c r="L58" s="157"/>
      <c r="M58" s="157">
        <v>7.57</v>
      </c>
      <c r="N58" s="157"/>
      <c r="O58" s="157"/>
      <c r="P58" s="157">
        <v>7.52</v>
      </c>
      <c r="Q58" s="157"/>
      <c r="R58" s="109">
        <f t="shared" si="17"/>
        <v>8.2133333333333329</v>
      </c>
      <c r="S58" s="110">
        <f t="shared" si="18"/>
        <v>9.0399999999999991</v>
      </c>
      <c r="T58" s="110">
        <f t="shared" si="0"/>
        <v>8.42</v>
      </c>
    </row>
    <row r="59" spans="1:20" ht="14">
      <c r="A59" s="354" t="s">
        <v>160</v>
      </c>
      <c r="B59" s="368"/>
      <c r="C59" s="368"/>
      <c r="D59" s="368">
        <v>8.06</v>
      </c>
      <c r="E59" s="157"/>
      <c r="F59" s="157"/>
      <c r="G59" s="157"/>
      <c r="H59" s="157">
        <v>8.17</v>
      </c>
      <c r="I59" s="157">
        <v>8.83</v>
      </c>
      <c r="J59" s="157">
        <v>9.01</v>
      </c>
      <c r="K59" s="157"/>
      <c r="L59" s="157"/>
      <c r="M59" s="157">
        <v>7.57</v>
      </c>
      <c r="N59" s="157"/>
      <c r="O59" s="157"/>
      <c r="P59" s="157">
        <v>7.51</v>
      </c>
      <c r="Q59" s="157"/>
      <c r="R59" s="109">
        <f t="shared" si="17"/>
        <v>8.1916666666666664</v>
      </c>
      <c r="S59" s="110">
        <f t="shared" si="18"/>
        <v>9.01</v>
      </c>
      <c r="T59" s="110">
        <f t="shared" si="0"/>
        <v>8.3949999999999996</v>
      </c>
    </row>
    <row r="60" spans="1:20">
      <c r="A60" s="362" t="s">
        <v>568</v>
      </c>
      <c r="B60" s="368">
        <f>AVERAGE(B52:B55)</f>
        <v>8.66</v>
      </c>
      <c r="C60" s="368">
        <f t="shared" ref="C60:I60" si="19">AVERAGE(C52:C55)</f>
        <v>8.8874999999999993</v>
      </c>
      <c r="D60" s="368">
        <f t="shared" si="19"/>
        <v>8.09</v>
      </c>
      <c r="E60" s="368"/>
      <c r="F60" s="368">
        <f>AVERAGE(F52:F55)</f>
        <v>7.56</v>
      </c>
      <c r="G60" s="368">
        <f t="shared" si="19"/>
        <v>7.9574999999999996</v>
      </c>
      <c r="H60" s="368">
        <f t="shared" si="19"/>
        <v>8.2449999999999992</v>
      </c>
      <c r="I60" s="368">
        <f t="shared" si="19"/>
        <v>8.8175000000000008</v>
      </c>
      <c r="J60" s="368">
        <f>AVERAGE(J52:J55)</f>
        <v>9.0325000000000006</v>
      </c>
      <c r="K60" s="368">
        <f>AVERAGE(K52:K55)</f>
        <v>8.5650000000000013</v>
      </c>
      <c r="L60" s="368">
        <f>AVERAGE(L52:L55)</f>
        <v>9.0074999999999985</v>
      </c>
      <c r="M60" s="368">
        <f>AVERAGE(M52:M55)</f>
        <v>7.5750000000000002</v>
      </c>
      <c r="N60" s="368"/>
      <c r="O60" s="368">
        <f t="shared" ref="O60:T60" si="20">AVERAGE(O52:O55)</f>
        <v>7.4675000000000002</v>
      </c>
      <c r="P60" s="368">
        <f t="shared" si="20"/>
        <v>7.5774999999999997</v>
      </c>
      <c r="Q60" s="368">
        <f t="shared" si="20"/>
        <v>7.8425000000000002</v>
      </c>
      <c r="R60" s="368">
        <f t="shared" si="20"/>
        <v>8.2346428571428572</v>
      </c>
      <c r="S60" s="368">
        <f t="shared" si="20"/>
        <v>9.0325000000000006</v>
      </c>
      <c r="T60" s="368">
        <f t="shared" si="20"/>
        <v>8.5404166666666654</v>
      </c>
    </row>
    <row r="61" spans="1:20">
      <c r="A61" s="354" t="s">
        <v>562</v>
      </c>
      <c r="B61" s="157">
        <f t="shared" ref="B61:T61" si="21">AVERAGE(B52:B59)</f>
        <v>8.7119999999999997</v>
      </c>
      <c r="C61" s="157">
        <f t="shared" si="21"/>
        <v>8.8539999999999992</v>
      </c>
      <c r="D61" s="157">
        <f t="shared" si="21"/>
        <v>8.0762499999999999</v>
      </c>
      <c r="E61" s="157"/>
      <c r="F61" s="157">
        <f t="shared" si="21"/>
        <v>7.5616666666666674</v>
      </c>
      <c r="G61" s="157">
        <f t="shared" si="21"/>
        <v>7.9599999999999991</v>
      </c>
      <c r="H61" s="157">
        <f t="shared" si="21"/>
        <v>8.24</v>
      </c>
      <c r="I61" s="157">
        <f t="shared" si="21"/>
        <v>8.8212500000000009</v>
      </c>
      <c r="J61" s="157">
        <f t="shared" si="21"/>
        <v>9.0337500000000013</v>
      </c>
      <c r="K61" s="157">
        <f t="shared" si="21"/>
        <v>8.56</v>
      </c>
      <c r="L61" s="157">
        <f t="shared" si="21"/>
        <v>9.0059999999999985</v>
      </c>
      <c r="M61" s="157">
        <f t="shared" si="21"/>
        <v>7.5650000000000004</v>
      </c>
      <c r="N61" s="157"/>
      <c r="O61" s="157">
        <f t="shared" si="21"/>
        <v>7.4580000000000002</v>
      </c>
      <c r="P61" s="157">
        <f t="shared" si="21"/>
        <v>7.5512500000000005</v>
      </c>
      <c r="Q61" s="157">
        <f t="shared" si="21"/>
        <v>7.8183333333333325</v>
      </c>
      <c r="R61" s="157">
        <f t="shared" si="21"/>
        <v>8.2053348214285702</v>
      </c>
      <c r="S61" s="157">
        <f t="shared" si="21"/>
        <v>9.0337500000000013</v>
      </c>
      <c r="T61" s="157">
        <f t="shared" si="21"/>
        <v>8.4907291666666662</v>
      </c>
    </row>
    <row r="62" spans="1:20" ht="15.5">
      <c r="A62" s="1194" t="s">
        <v>551</v>
      </c>
      <c r="B62" s="1195"/>
      <c r="C62" s="1195"/>
      <c r="D62" s="1195"/>
      <c r="E62" s="1195"/>
      <c r="F62" s="1195"/>
      <c r="G62" s="1195"/>
      <c r="H62" s="1195"/>
      <c r="I62" s="1195"/>
      <c r="J62" s="1195"/>
      <c r="K62" s="1195"/>
      <c r="L62" s="1195"/>
      <c r="M62" s="1195"/>
      <c r="N62" s="1195"/>
      <c r="O62" s="1195"/>
      <c r="P62" s="1195"/>
      <c r="Q62" s="1195"/>
      <c r="R62" s="1195"/>
      <c r="S62" s="1195"/>
      <c r="T62" s="1196"/>
    </row>
    <row r="63" spans="1:20" ht="14">
      <c r="A63" s="354" t="s">
        <v>350</v>
      </c>
      <c r="B63" s="368">
        <v>8.68</v>
      </c>
      <c r="C63" s="368">
        <v>8.8699999999999992</v>
      </c>
      <c r="D63" s="368">
        <v>8.3699999999999992</v>
      </c>
      <c r="E63" s="157"/>
      <c r="F63" s="157">
        <v>7.57</v>
      </c>
      <c r="G63" s="157">
        <v>7.99</v>
      </c>
      <c r="H63" s="157">
        <v>8.1300000000000008</v>
      </c>
      <c r="I63" s="157">
        <v>9.14</v>
      </c>
      <c r="J63" s="157">
        <v>9.09</v>
      </c>
      <c r="K63" s="157">
        <v>8.57</v>
      </c>
      <c r="L63" s="157">
        <v>9.09</v>
      </c>
      <c r="M63" s="157">
        <v>7.57</v>
      </c>
      <c r="N63" s="157"/>
      <c r="O63" s="157">
        <v>7.45</v>
      </c>
      <c r="P63" s="157">
        <v>7.57</v>
      </c>
      <c r="Q63" s="157">
        <v>8.39</v>
      </c>
      <c r="R63" s="109">
        <f>AVERAGE(B63:Q63)</f>
        <v>8.32</v>
      </c>
      <c r="S63" s="110">
        <f>MAX(B63:Q63)</f>
        <v>9.14</v>
      </c>
      <c r="T63" s="110">
        <f t="shared" si="0"/>
        <v>8.5983333333333345</v>
      </c>
    </row>
    <row r="64" spans="1:20" ht="14">
      <c r="A64" s="354" t="s">
        <v>157</v>
      </c>
      <c r="B64" s="368">
        <v>8.68</v>
      </c>
      <c r="C64" s="368">
        <v>8.77</v>
      </c>
      <c r="D64" s="368">
        <v>8.1999999999999993</v>
      </c>
      <c r="E64" s="157"/>
      <c r="F64" s="157">
        <v>7.54</v>
      </c>
      <c r="G64" s="157">
        <v>7.96</v>
      </c>
      <c r="H64" s="157">
        <v>8.25</v>
      </c>
      <c r="I64" s="157">
        <v>9.15</v>
      </c>
      <c r="J64" s="157">
        <v>9.1</v>
      </c>
      <c r="K64" s="157">
        <v>8.58</v>
      </c>
      <c r="L64" s="157">
        <v>9.0399999999999991</v>
      </c>
      <c r="M64" s="157">
        <v>7.57</v>
      </c>
      <c r="N64" s="157"/>
      <c r="O64" s="157">
        <v>7.5</v>
      </c>
      <c r="P64" s="157">
        <v>7.57</v>
      </c>
      <c r="Q64" s="157">
        <v>8.1999999999999993</v>
      </c>
      <c r="R64" s="109">
        <f t="shared" ref="R64:R72" si="22">AVERAGE(B64:Q64)</f>
        <v>8.2935714285714273</v>
      </c>
      <c r="S64" s="110">
        <f t="shared" ref="S64:S72" si="23">MAX(B64:Q64)</f>
        <v>9.15</v>
      </c>
      <c r="T64" s="110">
        <f t="shared" si="0"/>
        <v>8.6150000000000002</v>
      </c>
    </row>
    <row r="65" spans="1:20" ht="14">
      <c r="A65" s="354" t="s">
        <v>351</v>
      </c>
      <c r="B65" s="368">
        <v>8.68</v>
      </c>
      <c r="C65" s="368">
        <v>8.77</v>
      </c>
      <c r="D65" s="368">
        <v>8.1300000000000008</v>
      </c>
      <c r="E65" s="157"/>
      <c r="F65" s="157">
        <v>7.58</v>
      </c>
      <c r="G65" s="157">
        <v>7.98</v>
      </c>
      <c r="H65" s="157">
        <v>8.18</v>
      </c>
      <c r="I65" s="157">
        <v>9.16</v>
      </c>
      <c r="J65" s="157">
        <v>9.14</v>
      </c>
      <c r="K65" s="157">
        <v>8.59</v>
      </c>
      <c r="L65" s="157">
        <v>9</v>
      </c>
      <c r="M65" s="157">
        <v>7.55</v>
      </c>
      <c r="N65" s="157"/>
      <c r="O65" s="157">
        <v>7.43</v>
      </c>
      <c r="P65" s="157">
        <v>7.55</v>
      </c>
      <c r="Q65" s="157">
        <v>8.02</v>
      </c>
      <c r="R65" s="109">
        <f t="shared" si="22"/>
        <v>8.2685714285714287</v>
      </c>
      <c r="S65" s="110">
        <f t="shared" si="23"/>
        <v>9.16</v>
      </c>
      <c r="T65" s="110">
        <f t="shared" si="0"/>
        <v>8.6033333333333335</v>
      </c>
    </row>
    <row r="66" spans="1:20" ht="14">
      <c r="A66" s="354" t="s">
        <v>158</v>
      </c>
      <c r="B66" s="368">
        <v>8.68</v>
      </c>
      <c r="C66" s="368">
        <v>8.7200000000000006</v>
      </c>
      <c r="D66" s="368">
        <v>8.15</v>
      </c>
      <c r="E66" s="157"/>
      <c r="F66" s="157">
        <v>7.51</v>
      </c>
      <c r="G66" s="157">
        <v>7.98</v>
      </c>
      <c r="H66" s="157">
        <v>8.15</v>
      </c>
      <c r="I66" s="157">
        <v>9.1</v>
      </c>
      <c r="J66" s="157">
        <v>9.14</v>
      </c>
      <c r="K66" s="157">
        <v>8.57</v>
      </c>
      <c r="L66" s="157">
        <v>8.98</v>
      </c>
      <c r="M66" s="157">
        <v>7.55</v>
      </c>
      <c r="N66" s="157"/>
      <c r="O66" s="157">
        <v>7.44</v>
      </c>
      <c r="P66" s="157">
        <v>7.54</v>
      </c>
      <c r="Q66" s="157">
        <v>8</v>
      </c>
      <c r="R66" s="109">
        <f t="shared" si="22"/>
        <v>8.2507142857142863</v>
      </c>
      <c r="S66" s="110">
        <f t="shared" si="23"/>
        <v>9.14</v>
      </c>
      <c r="T66" s="110">
        <f t="shared" si="0"/>
        <v>8.5816666666666652</v>
      </c>
    </row>
    <row r="67" spans="1:20" ht="14">
      <c r="A67" s="354" t="s">
        <v>352</v>
      </c>
      <c r="B67" s="368">
        <v>8.65</v>
      </c>
      <c r="C67" s="368">
        <v>8.7899999999999991</v>
      </c>
      <c r="D67" s="368">
        <v>8.2100000000000009</v>
      </c>
      <c r="E67" s="157"/>
      <c r="F67" s="157">
        <v>7.57</v>
      </c>
      <c r="G67" s="157">
        <v>7.96</v>
      </c>
      <c r="H67" s="157">
        <v>8.19</v>
      </c>
      <c r="I67" s="157">
        <v>9.1</v>
      </c>
      <c r="J67" s="157">
        <v>9.14</v>
      </c>
      <c r="K67" s="157">
        <v>8.59</v>
      </c>
      <c r="L67" s="157">
        <v>8.94</v>
      </c>
      <c r="M67" s="157">
        <v>7.56</v>
      </c>
      <c r="N67" s="157"/>
      <c r="O67" s="157">
        <v>7.44</v>
      </c>
      <c r="P67" s="157">
        <v>7.52</v>
      </c>
      <c r="Q67" s="157">
        <v>7.96</v>
      </c>
      <c r="R67" s="109">
        <f t="shared" si="22"/>
        <v>8.2585714285714271</v>
      </c>
      <c r="S67" s="110">
        <f t="shared" si="23"/>
        <v>9.14</v>
      </c>
      <c r="T67" s="110">
        <f t="shared" ref="T67:T72" si="24">AVERAGE(H67:M67)</f>
        <v>8.586666666666666</v>
      </c>
    </row>
    <row r="68" spans="1:20" ht="14">
      <c r="A68" s="354" t="s">
        <v>159</v>
      </c>
      <c r="B68" s="368">
        <v>8.4600000000000009</v>
      </c>
      <c r="C68" s="368">
        <v>8.7799999999999994</v>
      </c>
      <c r="D68" s="368">
        <v>8.19</v>
      </c>
      <c r="E68" s="157"/>
      <c r="F68" s="157">
        <v>7.58</v>
      </c>
      <c r="G68" s="157">
        <v>7.98</v>
      </c>
      <c r="H68" s="157">
        <v>8.2200000000000006</v>
      </c>
      <c r="I68" s="157">
        <v>9.09</v>
      </c>
      <c r="J68" s="157">
        <v>9.1199999999999992</v>
      </c>
      <c r="K68" s="157">
        <v>8.56</v>
      </c>
      <c r="L68" s="157">
        <v>8.8000000000000007</v>
      </c>
      <c r="M68" s="157">
        <v>7.53</v>
      </c>
      <c r="N68" s="157"/>
      <c r="O68" s="157">
        <v>7.43</v>
      </c>
      <c r="P68" s="157">
        <v>7.51</v>
      </c>
      <c r="Q68" s="157">
        <v>7.89</v>
      </c>
      <c r="R68" s="109">
        <f t="shared" si="22"/>
        <v>8.2242857142857151</v>
      </c>
      <c r="S68" s="110">
        <f t="shared" si="23"/>
        <v>9.1199999999999992</v>
      </c>
      <c r="T68" s="110">
        <f t="shared" si="24"/>
        <v>8.5533333333333346</v>
      </c>
    </row>
    <row r="69" spans="1:20" ht="14">
      <c r="A69" s="354" t="s">
        <v>353</v>
      </c>
      <c r="B69" s="368">
        <v>8.5</v>
      </c>
      <c r="C69" s="368">
        <v>8.69</v>
      </c>
      <c r="D69" s="368">
        <v>8.1300000000000008</v>
      </c>
      <c r="E69" s="157"/>
      <c r="F69" s="157">
        <v>7.56</v>
      </c>
      <c r="G69" s="157">
        <v>7.97</v>
      </c>
      <c r="H69" s="157">
        <v>8.1300000000000008</v>
      </c>
      <c r="I69" s="157">
        <v>9.0399999999999991</v>
      </c>
      <c r="J69" s="157">
        <v>9.08</v>
      </c>
      <c r="K69" s="157">
        <v>8.56</v>
      </c>
      <c r="L69" s="157">
        <v>8.74</v>
      </c>
      <c r="M69" s="157">
        <v>7.52</v>
      </c>
      <c r="N69" s="157"/>
      <c r="O69" s="157">
        <v>7.42</v>
      </c>
      <c r="P69" s="157">
        <v>7.49</v>
      </c>
      <c r="Q69" s="157">
        <v>7.81</v>
      </c>
      <c r="R69" s="109">
        <f t="shared" si="22"/>
        <v>8.1885714285714286</v>
      </c>
      <c r="S69" s="110">
        <f t="shared" si="23"/>
        <v>9.08</v>
      </c>
      <c r="T69" s="110">
        <f t="shared" si="24"/>
        <v>8.5116666666666685</v>
      </c>
    </row>
    <row r="70" spans="1:20" ht="14">
      <c r="A70" s="354" t="s">
        <v>160</v>
      </c>
      <c r="B70" s="368">
        <v>8.4600000000000009</v>
      </c>
      <c r="C70" s="368">
        <v>8.6</v>
      </c>
      <c r="D70" s="368">
        <v>8.1</v>
      </c>
      <c r="E70" s="157"/>
      <c r="F70" s="157">
        <v>7.52</v>
      </c>
      <c r="G70" s="157">
        <v>7.93</v>
      </c>
      <c r="H70" s="157">
        <v>8.1300000000000008</v>
      </c>
      <c r="I70" s="157">
        <v>9.02</v>
      </c>
      <c r="J70" s="157">
        <v>9.07</v>
      </c>
      <c r="K70" s="157">
        <v>8.5299999999999994</v>
      </c>
      <c r="L70" s="157">
        <v>8.74</v>
      </c>
      <c r="M70" s="157">
        <v>7.5</v>
      </c>
      <c r="N70" s="157"/>
      <c r="O70" s="157">
        <v>7.42</v>
      </c>
      <c r="P70" s="157">
        <v>7.49</v>
      </c>
      <c r="Q70" s="157">
        <v>7.82</v>
      </c>
      <c r="R70" s="109">
        <f t="shared" si="22"/>
        <v>8.1664285714285718</v>
      </c>
      <c r="S70" s="110">
        <f t="shared" si="23"/>
        <v>9.07</v>
      </c>
      <c r="T70" s="110">
        <f t="shared" si="24"/>
        <v>8.4983333333333331</v>
      </c>
    </row>
    <row r="71" spans="1:20" ht="14">
      <c r="A71" s="354" t="s">
        <v>161</v>
      </c>
      <c r="B71" s="368">
        <v>8.39</v>
      </c>
      <c r="C71" s="368">
        <v>8.43</v>
      </c>
      <c r="D71" s="368">
        <v>7.91</v>
      </c>
      <c r="E71" s="157"/>
      <c r="F71" s="157">
        <v>7.49</v>
      </c>
      <c r="G71" s="157">
        <v>7.93</v>
      </c>
      <c r="H71" s="157">
        <v>8.11</v>
      </c>
      <c r="I71" s="157">
        <v>9</v>
      </c>
      <c r="J71" s="157">
        <v>9.0399999999999991</v>
      </c>
      <c r="K71" s="157">
        <v>8.49</v>
      </c>
      <c r="L71" s="157">
        <v>8.8699999999999992</v>
      </c>
      <c r="M71" s="157">
        <v>7.46</v>
      </c>
      <c r="N71" s="157"/>
      <c r="O71" s="157">
        <v>7.4</v>
      </c>
      <c r="P71" s="157">
        <v>7.42</v>
      </c>
      <c r="Q71" s="157">
        <v>7.75</v>
      </c>
      <c r="R71" s="109">
        <f t="shared" si="22"/>
        <v>8.1207142857142856</v>
      </c>
      <c r="S71" s="110">
        <f t="shared" si="23"/>
        <v>9.0399999999999991</v>
      </c>
      <c r="T71" s="110">
        <f t="shared" si="24"/>
        <v>8.4949999999999992</v>
      </c>
    </row>
    <row r="72" spans="1:20" ht="14">
      <c r="A72" s="354" t="s">
        <v>162</v>
      </c>
      <c r="B72" s="368">
        <v>8.33</v>
      </c>
      <c r="C72" s="368">
        <v>8.34</v>
      </c>
      <c r="D72" s="368">
        <v>8.0299999999999994</v>
      </c>
      <c r="E72" s="157"/>
      <c r="F72" s="157">
        <v>7.51</v>
      </c>
      <c r="G72" s="157">
        <v>7.91</v>
      </c>
      <c r="H72" s="157">
        <v>8.11</v>
      </c>
      <c r="I72" s="157">
        <v>8.9600000000000009</v>
      </c>
      <c r="J72" s="157">
        <v>9</v>
      </c>
      <c r="K72" s="157">
        <v>8.43</v>
      </c>
      <c r="L72" s="157">
        <v>8.83</v>
      </c>
      <c r="M72" s="157">
        <v>7.46</v>
      </c>
      <c r="N72" s="157"/>
      <c r="O72" s="157">
        <v>7.42</v>
      </c>
      <c r="P72" s="157">
        <v>7.45</v>
      </c>
      <c r="Q72" s="157">
        <v>7.72</v>
      </c>
      <c r="R72" s="109">
        <f t="shared" si="22"/>
        <v>8.1071428571428577</v>
      </c>
      <c r="S72" s="110">
        <f t="shared" si="23"/>
        <v>9</v>
      </c>
      <c r="T72" s="110">
        <f t="shared" si="24"/>
        <v>8.4649999999999999</v>
      </c>
    </row>
    <row r="73" spans="1:20">
      <c r="A73" s="362" t="s">
        <v>568</v>
      </c>
      <c r="B73" s="368">
        <f>AVERAGE(B63:B66)</f>
        <v>8.68</v>
      </c>
      <c r="C73" s="368">
        <f t="shared" ref="C73:F73" si="25">AVERAGE(C63:C66)</f>
        <v>8.7825000000000006</v>
      </c>
      <c r="D73" s="368">
        <f t="shared" si="25"/>
        <v>8.2125000000000004</v>
      </c>
      <c r="E73" s="368"/>
      <c r="F73" s="368">
        <f t="shared" si="25"/>
        <v>7.5499999999999989</v>
      </c>
      <c r="G73" s="368">
        <f t="shared" ref="G73:M73" si="26">AVERAGE(G63:G66)</f>
        <v>7.9775</v>
      </c>
      <c r="H73" s="368">
        <f t="shared" si="26"/>
        <v>8.1775000000000002</v>
      </c>
      <c r="I73" s="368">
        <f t="shared" si="26"/>
        <v>9.1374999999999993</v>
      </c>
      <c r="J73" s="368">
        <f t="shared" si="26"/>
        <v>9.1174999999999997</v>
      </c>
      <c r="K73" s="368">
        <f t="shared" si="26"/>
        <v>8.5775000000000006</v>
      </c>
      <c r="L73" s="368">
        <f t="shared" si="26"/>
        <v>9.0274999999999999</v>
      </c>
      <c r="M73" s="368">
        <f t="shared" si="26"/>
        <v>7.5600000000000005</v>
      </c>
      <c r="N73" s="368"/>
      <c r="O73" s="368">
        <f>AVERAGE(O63:O66)</f>
        <v>7.4550000000000001</v>
      </c>
      <c r="P73" s="368">
        <f>AVERAGE(P63:P66)</f>
        <v>7.5575000000000001</v>
      </c>
      <c r="Q73" s="368">
        <f>AVERAGE(Q63:Q66)</f>
        <v>8.1524999999999999</v>
      </c>
      <c r="R73" s="368">
        <f t="shared" ref="R73:T73" si="27">AVERAGE(R63:R66)</f>
        <v>8.2832142857142852</v>
      </c>
      <c r="S73" s="368">
        <f t="shared" si="27"/>
        <v>9.1475000000000009</v>
      </c>
      <c r="T73" s="368">
        <f t="shared" si="27"/>
        <v>8.5995833333333334</v>
      </c>
    </row>
    <row r="74" spans="1:20">
      <c r="A74" s="354" t="s">
        <v>562</v>
      </c>
      <c r="B74" s="157">
        <f t="shared" ref="B74:O74" si="28">AVERAGE(B63:B72)</f>
        <v>8.5509999999999984</v>
      </c>
      <c r="C74" s="157">
        <f t="shared" si="28"/>
        <v>8.6759999999999984</v>
      </c>
      <c r="D74" s="157">
        <f t="shared" si="28"/>
        <v>8.1419999999999995</v>
      </c>
      <c r="E74" s="157"/>
      <c r="F74" s="157">
        <f t="shared" si="28"/>
        <v>7.5429999999999993</v>
      </c>
      <c r="G74" s="157">
        <f t="shared" si="28"/>
        <v>7.9589999999999987</v>
      </c>
      <c r="H74" s="157">
        <f t="shared" si="28"/>
        <v>8.16</v>
      </c>
      <c r="I74" s="157">
        <f t="shared" si="28"/>
        <v>9.0759999999999987</v>
      </c>
      <c r="J74" s="157">
        <f t="shared" si="28"/>
        <v>9.0919999999999987</v>
      </c>
      <c r="K74" s="157">
        <f t="shared" si="28"/>
        <v>8.5470000000000006</v>
      </c>
      <c r="L74" s="157">
        <f t="shared" si="28"/>
        <v>8.9030000000000005</v>
      </c>
      <c r="M74" s="157">
        <f t="shared" si="28"/>
        <v>7.5269999999999992</v>
      </c>
      <c r="N74" s="157"/>
      <c r="O74" s="157">
        <f t="shared" si="28"/>
        <v>7.4350000000000005</v>
      </c>
      <c r="P74" s="157">
        <f>AVERAGE(P63:P72)</f>
        <v>7.5110000000000001</v>
      </c>
      <c r="Q74" s="157">
        <f>AVERAGE(Q63:Q72)</f>
        <v>7.9560000000000004</v>
      </c>
      <c r="R74" s="157">
        <f>AVERAGE(R63:R72)</f>
        <v>8.2198571428571423</v>
      </c>
      <c r="S74" s="157">
        <f>AVERAGE(S63:S72)</f>
        <v>9.1039999999999992</v>
      </c>
      <c r="T74" s="157">
        <f>AVERAGE(T63:T72)</f>
        <v>8.5508333333333333</v>
      </c>
    </row>
  </sheetData>
  <mergeCells count="6">
    <mergeCell ref="A62:T62"/>
    <mergeCell ref="A24:T24"/>
    <mergeCell ref="A39:T39"/>
    <mergeCell ref="A51:T51"/>
    <mergeCell ref="A1:Q1"/>
    <mergeCell ref="A6:T6"/>
  </mergeCells>
  <phoneticPr fontId="0" type="noConversion"/>
  <pageMargins left="0.75" right="0.75" top="1" bottom="1" header="0.5" footer="0.5"/>
  <pageSetup scale="55"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tabColor rgb="FF92D050"/>
    <pageSetUpPr fitToPage="1"/>
  </sheetPr>
  <dimension ref="A1:Z74"/>
  <sheetViews>
    <sheetView topLeftCell="N1" zoomScale="75" zoomScaleNormal="75" workbookViewId="0">
      <selection activeCell="B5" sqref="B5:Q5"/>
    </sheetView>
  </sheetViews>
  <sheetFormatPr defaultRowHeight="13"/>
  <cols>
    <col min="1" max="1" width="31.6328125" style="1" bestFit="1" customWidth="1"/>
    <col min="2" max="2" width="12" bestFit="1" customWidth="1"/>
    <col min="3" max="3" width="12.08984375" bestFit="1" customWidth="1"/>
    <col min="4" max="5" width="12.36328125" bestFit="1" customWidth="1"/>
    <col min="6" max="6" width="12.54296875" bestFit="1" customWidth="1"/>
    <col min="7" max="7" width="12.08984375" bestFit="1" customWidth="1"/>
    <col min="8" max="8" width="12.36328125" bestFit="1" customWidth="1"/>
    <col min="9" max="9" width="12" bestFit="1" customWidth="1"/>
    <col min="10" max="10" width="11.54296875" bestFit="1" customWidth="1"/>
    <col min="11" max="11" width="12.36328125" bestFit="1" customWidth="1"/>
    <col min="12" max="12" width="11" bestFit="1" customWidth="1"/>
    <col min="13" max="13" width="12.36328125" bestFit="1" customWidth="1"/>
    <col min="14" max="14" width="8.90625" bestFit="1" customWidth="1"/>
    <col min="15" max="15" width="12" bestFit="1" customWidth="1"/>
    <col min="16" max="16" width="12.08984375" bestFit="1" customWidth="1"/>
    <col min="17" max="17" width="12" bestFit="1" customWidth="1"/>
    <col min="18" max="18" width="10.90625" customWidth="1"/>
    <col min="19" max="19" width="10.90625" bestFit="1" customWidth="1"/>
    <col min="20" max="20" width="11.54296875" bestFit="1" customWidth="1"/>
    <col min="21" max="21" width="11.08984375" bestFit="1" customWidth="1"/>
    <col min="22" max="22" width="11.36328125" customWidth="1"/>
    <col min="23" max="23" width="12.54296875" customWidth="1"/>
    <col min="24" max="24" width="11.90625" customWidth="1"/>
    <col min="25" max="25" width="11.453125" customWidth="1"/>
    <col min="26" max="26" width="10.90625" bestFit="1" customWidth="1"/>
  </cols>
  <sheetData>
    <row r="1" spans="1:26" ht="15.5">
      <c r="A1" s="1176" t="s">
        <v>553</v>
      </c>
      <c r="B1" s="1176"/>
      <c r="C1" s="1176"/>
      <c r="D1" s="1176"/>
      <c r="E1" s="1176"/>
      <c r="F1" s="1176"/>
      <c r="G1" s="1176"/>
      <c r="H1" s="1176"/>
      <c r="I1" s="1176"/>
      <c r="J1" s="1176"/>
      <c r="K1" s="1176"/>
      <c r="L1" s="1176"/>
      <c r="M1" s="1176"/>
      <c r="N1" s="1176"/>
      <c r="O1" s="1176"/>
      <c r="P1" s="1176"/>
      <c r="Q1" s="1176"/>
    </row>
    <row r="2" spans="1:26" ht="26">
      <c r="A2" s="74"/>
      <c r="B2" s="617">
        <v>41296</v>
      </c>
      <c r="C2" s="617">
        <v>41324</v>
      </c>
      <c r="D2" s="617">
        <v>41358</v>
      </c>
      <c r="E2" s="617">
        <v>41386</v>
      </c>
      <c r="F2" s="617">
        <v>41414</v>
      </c>
      <c r="G2" s="617">
        <v>41442</v>
      </c>
      <c r="H2" s="617">
        <v>41463</v>
      </c>
      <c r="I2" s="617">
        <v>41477</v>
      </c>
      <c r="J2" s="617">
        <v>41491</v>
      </c>
      <c r="K2" s="617">
        <v>41512</v>
      </c>
      <c r="L2" s="617">
        <v>41526</v>
      </c>
      <c r="M2" s="617">
        <v>41540</v>
      </c>
      <c r="N2" s="617">
        <v>41558</v>
      </c>
      <c r="O2" s="617">
        <v>41568</v>
      </c>
      <c r="P2" s="617">
        <v>41596</v>
      </c>
      <c r="Q2" s="617">
        <v>41624</v>
      </c>
      <c r="R2" s="75" t="s">
        <v>91</v>
      </c>
      <c r="S2" s="76" t="s">
        <v>83</v>
      </c>
      <c r="T2" s="76" t="s">
        <v>109</v>
      </c>
    </row>
    <row r="3" spans="1:26" ht="14">
      <c r="A3" s="77" t="s">
        <v>557</v>
      </c>
      <c r="B3" s="368">
        <v>10.58</v>
      </c>
      <c r="C3" s="368">
        <v>13.86</v>
      </c>
      <c r="D3" s="368">
        <v>14.2</v>
      </c>
      <c r="E3" s="368">
        <v>12.3</v>
      </c>
      <c r="F3" s="368">
        <v>10.72</v>
      </c>
      <c r="G3" s="368">
        <v>11.62</v>
      </c>
      <c r="H3" s="368">
        <v>7.77</v>
      </c>
      <c r="I3" s="368">
        <v>7.53</v>
      </c>
      <c r="J3" s="1000">
        <v>6.87</v>
      </c>
      <c r="K3" s="368">
        <v>8.27</v>
      </c>
      <c r="L3" s="368">
        <v>9.02</v>
      </c>
      <c r="M3" s="368">
        <v>10.06</v>
      </c>
      <c r="N3" s="368"/>
      <c r="O3" s="368">
        <v>12.8</v>
      </c>
      <c r="P3" s="368">
        <v>11.07</v>
      </c>
      <c r="Q3" s="368">
        <v>12.24</v>
      </c>
      <c r="R3" s="109">
        <f>AVERAGE(B3:Q3)</f>
        <v>10.593999999999999</v>
      </c>
      <c r="S3" s="110">
        <f>MAX(B3:Q3)</f>
        <v>14.2</v>
      </c>
      <c r="T3" s="110">
        <f>AVERAGE(H3:M3)</f>
        <v>8.2533333333333339</v>
      </c>
    </row>
    <row r="4" spans="1:26" ht="14">
      <c r="A4" s="78" t="s">
        <v>558</v>
      </c>
      <c r="B4" s="368">
        <v>11.56</v>
      </c>
      <c r="C4" s="368">
        <v>13.32</v>
      </c>
      <c r="D4" s="368">
        <v>12.87</v>
      </c>
      <c r="E4" s="368">
        <v>12.52</v>
      </c>
      <c r="F4" s="368">
        <v>10.33</v>
      </c>
      <c r="G4" s="368">
        <v>10.61</v>
      </c>
      <c r="H4" s="368">
        <v>8.44</v>
      </c>
      <c r="I4" s="368">
        <v>7.04</v>
      </c>
      <c r="J4" s="1000">
        <v>10.82</v>
      </c>
      <c r="K4" s="368">
        <v>7.19</v>
      </c>
      <c r="L4" s="368">
        <v>9</v>
      </c>
      <c r="M4" s="368">
        <v>10.58</v>
      </c>
      <c r="N4" s="368"/>
      <c r="O4" s="368">
        <v>12.82</v>
      </c>
      <c r="P4" s="368">
        <v>12.75</v>
      </c>
      <c r="Q4" s="368">
        <v>13.6</v>
      </c>
      <c r="R4" s="109">
        <f>AVERAGE(B4:Q4)</f>
        <v>10.896666666666667</v>
      </c>
      <c r="S4" s="110">
        <f>MAX(B4:Q4)</f>
        <v>13.6</v>
      </c>
      <c r="T4" s="110">
        <f t="shared" ref="T4:T66" si="0">AVERAGE(H4:M4)</f>
        <v>8.8450000000000006</v>
      </c>
    </row>
    <row r="5" spans="1:26" s="7" customFormat="1" ht="14">
      <c r="A5" s="78" t="s">
        <v>559</v>
      </c>
      <c r="B5" s="368">
        <v>9.3800000000000008</v>
      </c>
      <c r="C5" s="368">
        <v>12.12</v>
      </c>
      <c r="D5" s="368">
        <v>12.25</v>
      </c>
      <c r="E5" s="368">
        <v>12.48</v>
      </c>
      <c r="F5" s="368">
        <v>9.2100000000000009</v>
      </c>
      <c r="G5" s="368">
        <v>10.61</v>
      </c>
      <c r="H5" s="368">
        <v>6.85</v>
      </c>
      <c r="I5" s="368">
        <v>6.09</v>
      </c>
      <c r="J5" s="1000">
        <v>9.36</v>
      </c>
      <c r="K5" s="368">
        <v>6.85</v>
      </c>
      <c r="L5" s="368">
        <v>6.92</v>
      </c>
      <c r="M5" s="368">
        <v>10.41</v>
      </c>
      <c r="N5" s="368"/>
      <c r="O5" s="368">
        <v>11.59</v>
      </c>
      <c r="P5" s="368">
        <v>12.56</v>
      </c>
      <c r="Q5" s="368">
        <v>12.68</v>
      </c>
      <c r="R5" s="109">
        <f>AVERAGE(B5:Q5)</f>
        <v>9.9573333333333345</v>
      </c>
      <c r="S5" s="110">
        <f>MAX(B5:Q5)</f>
        <v>12.68</v>
      </c>
      <c r="T5" s="110">
        <f t="shared" si="0"/>
        <v>7.746666666666667</v>
      </c>
    </row>
    <row r="6" spans="1:26" ht="15.5">
      <c r="A6" s="1200" t="s">
        <v>547</v>
      </c>
      <c r="B6" s="1201"/>
      <c r="C6" s="1201"/>
      <c r="D6" s="1201"/>
      <c r="E6" s="1201"/>
      <c r="F6" s="1201"/>
      <c r="G6" s="1201"/>
      <c r="H6" s="1201"/>
      <c r="I6" s="1201"/>
      <c r="J6" s="1201"/>
      <c r="K6" s="1201"/>
      <c r="L6" s="1201"/>
      <c r="M6" s="1201"/>
      <c r="N6" s="1201"/>
      <c r="O6" s="1201"/>
      <c r="P6" s="1201"/>
      <c r="Q6" s="1201"/>
      <c r="R6" s="1201"/>
      <c r="S6" s="1201"/>
      <c r="T6" s="1202"/>
      <c r="U6" s="6"/>
      <c r="V6" s="6"/>
      <c r="W6" s="6"/>
      <c r="X6" s="6"/>
      <c r="Y6" s="6"/>
      <c r="Z6" s="6"/>
    </row>
    <row r="7" spans="1:26" ht="14">
      <c r="A7" s="354" t="s">
        <v>350</v>
      </c>
      <c r="B7" s="368">
        <v>9.51</v>
      </c>
      <c r="C7" s="368">
        <v>11.3</v>
      </c>
      <c r="D7" s="368">
        <v>12.61</v>
      </c>
      <c r="E7" s="368">
        <v>12.73</v>
      </c>
      <c r="F7" s="368">
        <v>8.41</v>
      </c>
      <c r="G7" s="368">
        <v>8.23</v>
      </c>
      <c r="H7" s="368">
        <v>7.14</v>
      </c>
      <c r="I7" s="368">
        <v>8.76</v>
      </c>
      <c r="J7" s="997">
        <v>7.97</v>
      </c>
      <c r="K7" s="368">
        <v>6.15</v>
      </c>
      <c r="L7" s="368">
        <v>8.84</v>
      </c>
      <c r="M7" s="368">
        <v>6.77</v>
      </c>
      <c r="N7" s="368">
        <v>6.87</v>
      </c>
      <c r="O7" s="368">
        <v>9.57</v>
      </c>
      <c r="P7" s="368">
        <v>10.130000000000001</v>
      </c>
      <c r="Q7" s="368">
        <v>12.16</v>
      </c>
      <c r="R7" s="109">
        <f>AVERAGE(B7:Q7)</f>
        <v>9.1968750000000004</v>
      </c>
      <c r="S7" s="110">
        <f>MAX(B7:Q7)</f>
        <v>12.73</v>
      </c>
      <c r="T7" s="110">
        <f t="shared" si="0"/>
        <v>7.6049999999999995</v>
      </c>
      <c r="U7" s="6"/>
      <c r="V7" s="6"/>
      <c r="W7" s="6"/>
      <c r="X7" s="6"/>
      <c r="Y7" s="6"/>
      <c r="Z7" s="6"/>
    </row>
    <row r="8" spans="1:26" ht="14">
      <c r="A8" s="354" t="s">
        <v>157</v>
      </c>
      <c r="B8" s="368">
        <v>9.15</v>
      </c>
      <c r="C8" s="368">
        <v>11.32</v>
      </c>
      <c r="D8" s="368">
        <v>11.41</v>
      </c>
      <c r="E8" s="368">
        <v>12.63</v>
      </c>
      <c r="F8" s="368">
        <v>8.26</v>
      </c>
      <c r="G8" s="368">
        <v>8.67</v>
      </c>
      <c r="H8" s="368">
        <v>7.12</v>
      </c>
      <c r="I8" s="368">
        <v>8.5500000000000007</v>
      </c>
      <c r="J8" s="997">
        <v>8.41</v>
      </c>
      <c r="K8" s="368">
        <v>5.8</v>
      </c>
      <c r="L8" s="368">
        <v>8.68</v>
      </c>
      <c r="M8" s="368">
        <v>6.62</v>
      </c>
      <c r="N8" s="368">
        <v>6.98</v>
      </c>
      <c r="O8" s="368">
        <v>9.56</v>
      </c>
      <c r="P8" s="368">
        <v>9.92</v>
      </c>
      <c r="Q8" s="368">
        <v>11.9</v>
      </c>
      <c r="R8" s="109">
        <f t="shared" ref="R8:R21" si="1">AVERAGE(B8:Q8)</f>
        <v>9.0612500000000011</v>
      </c>
      <c r="S8" s="110">
        <f t="shared" ref="S8:S21" si="2">MAX(B8:Q8)</f>
        <v>12.63</v>
      </c>
      <c r="T8" s="110">
        <f t="shared" si="0"/>
        <v>7.53</v>
      </c>
      <c r="U8" s="6"/>
      <c r="V8" s="6"/>
      <c r="W8" s="6"/>
      <c r="X8" s="6"/>
      <c r="Y8" s="6"/>
      <c r="Z8" s="6"/>
    </row>
    <row r="9" spans="1:26" ht="14">
      <c r="A9" s="354" t="s">
        <v>351</v>
      </c>
      <c r="B9" s="368">
        <v>8.82</v>
      </c>
      <c r="C9" s="368">
        <v>11.27</v>
      </c>
      <c r="D9" s="368">
        <v>11.27</v>
      </c>
      <c r="E9" s="368">
        <v>12.57</v>
      </c>
      <c r="F9" s="368">
        <v>8.2100000000000009</v>
      </c>
      <c r="G9" s="368">
        <v>8.67</v>
      </c>
      <c r="H9" s="368">
        <v>7.1</v>
      </c>
      <c r="I9" s="368">
        <v>8.4700000000000006</v>
      </c>
      <c r="J9" s="997">
        <v>8.11</v>
      </c>
      <c r="K9" s="368">
        <v>5.95</v>
      </c>
      <c r="L9" s="368">
        <v>7.61</v>
      </c>
      <c r="M9" s="368">
        <v>6.47</v>
      </c>
      <c r="N9" s="368">
        <v>6.85</v>
      </c>
      <c r="O9" s="368">
        <v>9.61</v>
      </c>
      <c r="P9" s="368">
        <v>9.57</v>
      </c>
      <c r="Q9" s="368">
        <v>11.85</v>
      </c>
      <c r="R9" s="109">
        <f t="shared" si="1"/>
        <v>8.8999999999999986</v>
      </c>
      <c r="S9" s="110">
        <f t="shared" si="2"/>
        <v>12.57</v>
      </c>
      <c r="T9" s="110">
        <f t="shared" si="0"/>
        <v>7.2850000000000001</v>
      </c>
      <c r="U9" s="6"/>
      <c r="V9" s="6"/>
      <c r="W9" s="6"/>
      <c r="X9" s="6"/>
    </row>
    <row r="10" spans="1:26" ht="14">
      <c r="A10" s="354" t="s">
        <v>158</v>
      </c>
      <c r="B10" s="368">
        <v>8.85</v>
      </c>
      <c r="C10" s="368">
        <v>9.49</v>
      </c>
      <c r="D10" s="368">
        <v>11.5</v>
      </c>
      <c r="E10" s="368">
        <v>12.51</v>
      </c>
      <c r="F10" s="368">
        <v>8.1999999999999993</v>
      </c>
      <c r="G10" s="368">
        <v>8.5</v>
      </c>
      <c r="H10" s="368">
        <v>6.85</v>
      </c>
      <c r="I10" s="368">
        <v>8.44</v>
      </c>
      <c r="J10" s="997">
        <v>8.2100000000000009</v>
      </c>
      <c r="K10" s="368">
        <v>5.84</v>
      </c>
      <c r="L10" s="368">
        <v>7.45</v>
      </c>
      <c r="M10" s="368">
        <v>6.4</v>
      </c>
      <c r="N10" s="368">
        <v>6.79</v>
      </c>
      <c r="O10" s="368">
        <v>9.57</v>
      </c>
      <c r="P10" s="368">
        <v>9.74</v>
      </c>
      <c r="Q10" s="368">
        <v>11.84</v>
      </c>
      <c r="R10" s="109">
        <f t="shared" si="1"/>
        <v>8.7612500000000004</v>
      </c>
      <c r="S10" s="110">
        <f t="shared" si="2"/>
        <v>12.51</v>
      </c>
      <c r="T10" s="110">
        <f t="shared" si="0"/>
        <v>7.1983333333333333</v>
      </c>
      <c r="U10" s="6"/>
      <c r="V10" s="6"/>
      <c r="W10" s="6"/>
      <c r="X10" s="6"/>
      <c r="Y10" s="6"/>
    </row>
    <row r="11" spans="1:26" ht="14">
      <c r="A11" s="354" t="s">
        <v>352</v>
      </c>
      <c r="B11" s="368">
        <v>8.83</v>
      </c>
      <c r="C11" s="368">
        <v>10.44</v>
      </c>
      <c r="D11" s="368">
        <v>11.42</v>
      </c>
      <c r="E11" s="368">
        <v>12.68</v>
      </c>
      <c r="F11" s="368">
        <v>8.2100000000000009</v>
      </c>
      <c r="G11" s="368">
        <v>8.36</v>
      </c>
      <c r="H11" s="368">
        <v>6.79</v>
      </c>
      <c r="I11" s="368">
        <v>8.4</v>
      </c>
      <c r="J11" s="997">
        <v>8.44</v>
      </c>
      <c r="K11" s="368">
        <v>5.83</v>
      </c>
      <c r="L11" s="368">
        <v>7.63</v>
      </c>
      <c r="M11" s="368">
        <v>6.06</v>
      </c>
      <c r="N11" s="368">
        <v>6.67</v>
      </c>
      <c r="O11" s="368">
        <v>9.61</v>
      </c>
      <c r="P11" s="368">
        <v>9.44</v>
      </c>
      <c r="Q11" s="368">
        <v>11.54</v>
      </c>
      <c r="R11" s="109">
        <f t="shared" si="1"/>
        <v>8.7718749999999996</v>
      </c>
      <c r="S11" s="110">
        <f t="shared" si="2"/>
        <v>12.68</v>
      </c>
      <c r="T11" s="110">
        <f t="shared" si="0"/>
        <v>7.1916666666666673</v>
      </c>
      <c r="U11" s="6"/>
      <c r="V11" s="6"/>
      <c r="W11" s="6"/>
      <c r="X11" s="6"/>
      <c r="Y11" s="6"/>
    </row>
    <row r="12" spans="1:26" ht="14">
      <c r="A12" s="354" t="s">
        <v>159</v>
      </c>
      <c r="B12" s="998">
        <v>8.75</v>
      </c>
      <c r="C12" s="368">
        <v>9.83</v>
      </c>
      <c r="D12" s="368">
        <v>11.3</v>
      </c>
      <c r="E12" s="368">
        <v>12.51</v>
      </c>
      <c r="F12" s="368">
        <v>8.06</v>
      </c>
      <c r="G12" s="368">
        <v>8.5500000000000007</v>
      </c>
      <c r="H12" s="368">
        <v>6.68</v>
      </c>
      <c r="I12" s="368">
        <v>8.42</v>
      </c>
      <c r="J12" s="997">
        <v>8.42</v>
      </c>
      <c r="K12" s="368">
        <v>5.7</v>
      </c>
      <c r="L12" s="368">
        <v>7.5</v>
      </c>
      <c r="M12" s="368">
        <v>6.63</v>
      </c>
      <c r="N12" s="368">
        <v>6.7</v>
      </c>
      <c r="O12" s="368">
        <v>9.4700000000000006</v>
      </c>
      <c r="P12" s="368">
        <v>9.4600000000000009</v>
      </c>
      <c r="Q12" s="368">
        <v>11.61</v>
      </c>
      <c r="R12" s="109">
        <f t="shared" si="1"/>
        <v>8.724375000000002</v>
      </c>
      <c r="S12" s="110">
        <f t="shared" si="2"/>
        <v>12.51</v>
      </c>
      <c r="T12" s="110">
        <f t="shared" si="0"/>
        <v>7.2250000000000005</v>
      </c>
      <c r="U12" s="6"/>
      <c r="V12" s="6"/>
      <c r="W12" s="6"/>
      <c r="X12" s="6"/>
      <c r="Y12" s="6"/>
    </row>
    <row r="13" spans="1:26" ht="14">
      <c r="A13" s="354" t="s">
        <v>353</v>
      </c>
      <c r="B13" s="998">
        <v>8.83</v>
      </c>
      <c r="C13" s="368">
        <v>9.25</v>
      </c>
      <c r="D13" s="368">
        <v>11.09</v>
      </c>
      <c r="E13" s="368">
        <v>12.5</v>
      </c>
      <c r="F13" s="368">
        <v>8.16</v>
      </c>
      <c r="G13" s="368">
        <v>8.36</v>
      </c>
      <c r="H13" s="368">
        <v>6.6</v>
      </c>
      <c r="I13" s="368">
        <v>7.9</v>
      </c>
      <c r="J13" s="997">
        <v>8.34</v>
      </c>
      <c r="K13" s="368">
        <v>5.42</v>
      </c>
      <c r="L13" s="999">
        <v>7.57</v>
      </c>
      <c r="M13" s="368">
        <v>6.65</v>
      </c>
      <c r="N13" s="368">
        <v>6.69</v>
      </c>
      <c r="O13" s="368">
        <v>9.5500000000000007</v>
      </c>
      <c r="P13" s="368">
        <v>9.5399999999999991</v>
      </c>
      <c r="Q13" s="368">
        <v>11.88</v>
      </c>
      <c r="R13" s="109">
        <f t="shared" si="1"/>
        <v>8.6456250000000008</v>
      </c>
      <c r="S13" s="110">
        <f t="shared" si="2"/>
        <v>12.5</v>
      </c>
      <c r="T13" s="110">
        <f t="shared" si="0"/>
        <v>7.0799999999999992</v>
      </c>
      <c r="U13" s="6"/>
      <c r="V13" s="6"/>
      <c r="W13" s="6"/>
      <c r="X13" s="6"/>
      <c r="Y13" s="6"/>
    </row>
    <row r="14" spans="1:26" ht="14">
      <c r="A14" s="354" t="s">
        <v>160</v>
      </c>
      <c r="B14" s="368">
        <v>8.61</v>
      </c>
      <c r="C14" s="368">
        <v>8.8000000000000007</v>
      </c>
      <c r="D14" s="368">
        <v>10.59</v>
      </c>
      <c r="E14" s="368">
        <v>12.11</v>
      </c>
      <c r="F14" s="368">
        <v>7.85</v>
      </c>
      <c r="G14" s="368">
        <v>8.02</v>
      </c>
      <c r="H14" s="368">
        <v>6.58</v>
      </c>
      <c r="I14" s="368">
        <v>7.92</v>
      </c>
      <c r="J14" s="997">
        <v>8.44</v>
      </c>
      <c r="K14" s="368">
        <v>5.55</v>
      </c>
      <c r="L14" s="368">
        <v>7.71</v>
      </c>
      <c r="M14" s="368">
        <v>6.51</v>
      </c>
      <c r="N14" s="368">
        <v>6.63</v>
      </c>
      <c r="O14" s="368">
        <v>9.48</v>
      </c>
      <c r="P14" s="368">
        <v>9.6999999999999993</v>
      </c>
      <c r="Q14" s="368">
        <v>12.07</v>
      </c>
      <c r="R14" s="109">
        <f t="shared" si="1"/>
        <v>8.5356249999999996</v>
      </c>
      <c r="S14" s="110">
        <f t="shared" si="2"/>
        <v>12.11</v>
      </c>
      <c r="T14" s="110">
        <f t="shared" si="0"/>
        <v>7.1183333333333323</v>
      </c>
      <c r="U14" s="6"/>
      <c r="V14" s="6"/>
      <c r="W14" s="6"/>
      <c r="X14" s="6"/>
      <c r="Y14" s="6"/>
    </row>
    <row r="15" spans="1:26" ht="14">
      <c r="A15" s="354" t="s">
        <v>161</v>
      </c>
      <c r="B15" s="368">
        <v>6.5</v>
      </c>
      <c r="C15" s="368">
        <v>7.24</v>
      </c>
      <c r="D15" s="368">
        <v>10.83</v>
      </c>
      <c r="E15" s="368">
        <v>11.21</v>
      </c>
      <c r="F15" s="368">
        <v>6.35</v>
      </c>
      <c r="G15" s="368">
        <v>7.82</v>
      </c>
      <c r="H15" s="368">
        <v>6.54</v>
      </c>
      <c r="I15" s="368">
        <v>7.81</v>
      </c>
      <c r="J15" s="997">
        <v>8.35</v>
      </c>
      <c r="K15" s="368">
        <v>5.58</v>
      </c>
      <c r="L15" s="368">
        <v>7.09</v>
      </c>
      <c r="M15" s="368">
        <v>6.2</v>
      </c>
      <c r="N15" s="368">
        <v>6.61</v>
      </c>
      <c r="O15" s="368">
        <v>9.5</v>
      </c>
      <c r="P15" s="368">
        <v>9.43</v>
      </c>
      <c r="Q15" s="368">
        <v>10.44</v>
      </c>
      <c r="R15" s="109">
        <f t="shared" si="1"/>
        <v>7.96875</v>
      </c>
      <c r="S15" s="110">
        <f t="shared" si="2"/>
        <v>11.21</v>
      </c>
      <c r="T15" s="110">
        <f t="shared" si="0"/>
        <v>6.9283333333333346</v>
      </c>
      <c r="U15" s="6"/>
      <c r="V15" s="6"/>
      <c r="W15" s="6"/>
      <c r="X15" s="6"/>
      <c r="Y15" s="6"/>
    </row>
    <row r="16" spans="1:26" ht="14">
      <c r="A16" s="354" t="s">
        <v>162</v>
      </c>
      <c r="B16" s="368">
        <v>5.89</v>
      </c>
      <c r="C16" s="368">
        <v>6.23</v>
      </c>
      <c r="D16" s="368">
        <v>11.02</v>
      </c>
      <c r="E16" s="368">
        <v>10.72</v>
      </c>
      <c r="F16" s="368">
        <v>5.67</v>
      </c>
      <c r="G16" s="368">
        <v>7.79</v>
      </c>
      <c r="H16" s="368">
        <v>6.51</v>
      </c>
      <c r="I16" s="368">
        <v>7.66</v>
      </c>
      <c r="J16" s="997">
        <v>8.32</v>
      </c>
      <c r="K16" s="368">
        <v>5.32</v>
      </c>
      <c r="L16" s="368">
        <v>7.45</v>
      </c>
      <c r="M16" s="368">
        <v>5.82</v>
      </c>
      <c r="N16" s="368">
        <v>6.54</v>
      </c>
      <c r="O16" s="368">
        <v>9.4</v>
      </c>
      <c r="P16" s="368">
        <v>9.39</v>
      </c>
      <c r="Q16" s="368">
        <v>9.5</v>
      </c>
      <c r="R16" s="109">
        <f t="shared" si="1"/>
        <v>7.7018750000000011</v>
      </c>
      <c r="S16" s="110">
        <f t="shared" si="2"/>
        <v>11.02</v>
      </c>
      <c r="T16" s="110">
        <f t="shared" si="0"/>
        <v>6.8466666666666676</v>
      </c>
      <c r="U16" s="6"/>
      <c r="V16" s="6"/>
      <c r="W16" s="6"/>
      <c r="X16" s="6"/>
      <c r="Y16" s="6"/>
    </row>
    <row r="17" spans="1:25" ht="14">
      <c r="A17" s="354" t="s">
        <v>163</v>
      </c>
      <c r="B17" s="368">
        <v>5.29</v>
      </c>
      <c r="C17" s="999">
        <v>5.55</v>
      </c>
      <c r="D17" s="368">
        <v>11.08</v>
      </c>
      <c r="E17" s="368">
        <v>10.44</v>
      </c>
      <c r="F17" s="368">
        <v>5.42</v>
      </c>
      <c r="G17" s="368">
        <v>7.75</v>
      </c>
      <c r="H17" s="368">
        <v>6.21</v>
      </c>
      <c r="I17" s="368">
        <v>7.36</v>
      </c>
      <c r="J17" s="997">
        <v>8.2200000000000006</v>
      </c>
      <c r="K17" s="368">
        <v>5.35</v>
      </c>
      <c r="L17" s="368">
        <v>7.59</v>
      </c>
      <c r="M17" s="368">
        <v>5.85</v>
      </c>
      <c r="N17" s="368">
        <v>6.6</v>
      </c>
      <c r="O17" s="368">
        <v>9.36</v>
      </c>
      <c r="P17" s="368">
        <v>9.31</v>
      </c>
      <c r="Q17" s="368">
        <v>8.61</v>
      </c>
      <c r="R17" s="109">
        <f t="shared" si="1"/>
        <v>7.4993749999999997</v>
      </c>
      <c r="S17" s="110">
        <f t="shared" si="2"/>
        <v>11.08</v>
      </c>
      <c r="T17" s="110">
        <f t="shared" si="0"/>
        <v>6.7633333333333345</v>
      </c>
      <c r="U17" s="6"/>
      <c r="V17" s="6"/>
      <c r="W17" s="6"/>
      <c r="X17" s="6"/>
      <c r="Y17" s="6"/>
    </row>
    <row r="18" spans="1:25" ht="14">
      <c r="A18" s="354" t="s">
        <v>164</v>
      </c>
      <c r="B18" s="368">
        <v>4.99</v>
      </c>
      <c r="C18" s="368">
        <v>4</v>
      </c>
      <c r="D18" s="368">
        <v>11</v>
      </c>
      <c r="E18" s="368">
        <v>10.220000000000001</v>
      </c>
      <c r="F18" s="368">
        <v>4.92</v>
      </c>
      <c r="G18" s="368">
        <v>7.74</v>
      </c>
      <c r="H18" s="368">
        <v>6.2</v>
      </c>
      <c r="I18" s="368">
        <v>6.92</v>
      </c>
      <c r="J18" s="997">
        <v>8.16</v>
      </c>
      <c r="K18" s="368">
        <v>4.96</v>
      </c>
      <c r="L18" s="368">
        <v>7.43</v>
      </c>
      <c r="M18" s="368">
        <v>7.31</v>
      </c>
      <c r="N18" s="368">
        <v>6.39</v>
      </c>
      <c r="O18" s="368">
        <v>9.24</v>
      </c>
      <c r="P18" s="368">
        <v>9.25</v>
      </c>
      <c r="Q18" s="368"/>
      <c r="R18" s="109">
        <f t="shared" si="1"/>
        <v>7.2486666666666659</v>
      </c>
      <c r="S18" s="110">
        <f t="shared" si="2"/>
        <v>11</v>
      </c>
      <c r="T18" s="110">
        <f t="shared" si="0"/>
        <v>6.830000000000001</v>
      </c>
      <c r="U18" s="6"/>
      <c r="V18" s="6"/>
      <c r="W18" s="6"/>
      <c r="X18" s="6"/>
      <c r="Y18" s="6"/>
    </row>
    <row r="19" spans="1:25" ht="14">
      <c r="A19" s="354" t="s">
        <v>165</v>
      </c>
      <c r="B19" s="368">
        <v>3.97</v>
      </c>
      <c r="C19" s="368">
        <v>3.08</v>
      </c>
      <c r="D19" s="368">
        <v>10.48</v>
      </c>
      <c r="E19" s="368">
        <v>9.6199999999999992</v>
      </c>
      <c r="F19" s="368">
        <v>4.79</v>
      </c>
      <c r="G19" s="368">
        <v>7.48</v>
      </c>
      <c r="H19" s="368">
        <v>5.55</v>
      </c>
      <c r="I19" s="368">
        <v>6.41</v>
      </c>
      <c r="J19" s="997">
        <v>7.88</v>
      </c>
      <c r="K19" s="368">
        <v>4.5</v>
      </c>
      <c r="L19" s="368">
        <v>7.06</v>
      </c>
      <c r="M19" s="368">
        <v>7.59</v>
      </c>
      <c r="N19" s="368">
        <v>6.65</v>
      </c>
      <c r="O19" s="368">
        <v>9.4700000000000006</v>
      </c>
      <c r="P19" s="368">
        <v>9.2799999999999994</v>
      </c>
      <c r="Q19" s="368"/>
      <c r="R19" s="109">
        <f>AVERAGE(B19:Q19)</f>
        <v>6.9206666666666665</v>
      </c>
      <c r="S19" s="110">
        <f>MAX(B19:Q19)</f>
        <v>10.48</v>
      </c>
      <c r="T19" s="110">
        <f t="shared" si="0"/>
        <v>6.4983333333333322</v>
      </c>
      <c r="U19" s="6"/>
      <c r="V19" s="6"/>
      <c r="W19" s="6"/>
      <c r="X19" s="6"/>
      <c r="Y19" s="6"/>
    </row>
    <row r="20" spans="1:25" ht="14">
      <c r="A20" s="354" t="s">
        <v>187</v>
      </c>
      <c r="B20" s="368">
        <v>1.4</v>
      </c>
      <c r="C20" s="368">
        <v>3.98</v>
      </c>
      <c r="D20" s="368">
        <v>7.58</v>
      </c>
      <c r="E20" s="368">
        <v>7.86</v>
      </c>
      <c r="F20" s="368">
        <v>3.82</v>
      </c>
      <c r="G20" s="368">
        <v>7.38</v>
      </c>
      <c r="H20" s="368">
        <v>5.7</v>
      </c>
      <c r="I20" s="368">
        <v>6.22</v>
      </c>
      <c r="J20" s="997">
        <v>7.79</v>
      </c>
      <c r="K20" s="368">
        <v>4.82</v>
      </c>
      <c r="L20" s="368">
        <v>7.11</v>
      </c>
      <c r="M20" s="368">
        <v>7.64</v>
      </c>
      <c r="N20" s="368">
        <v>6.64</v>
      </c>
      <c r="O20" s="368">
        <v>10.02</v>
      </c>
      <c r="P20" s="368">
        <v>9.01</v>
      </c>
      <c r="Q20" s="368"/>
      <c r="R20" s="109">
        <f>AVERAGE(B20:Q20)</f>
        <v>6.464666666666667</v>
      </c>
      <c r="S20" s="110">
        <f>MAX(B20:Q20)</f>
        <v>10.02</v>
      </c>
      <c r="T20" s="110">
        <f t="shared" si="0"/>
        <v>6.5466666666666669</v>
      </c>
      <c r="U20" s="6"/>
      <c r="V20" s="6"/>
      <c r="W20" s="6"/>
      <c r="X20" s="6"/>
      <c r="Y20" s="6"/>
    </row>
    <row r="21" spans="1:25" ht="14">
      <c r="A21" s="354" t="s">
        <v>188</v>
      </c>
      <c r="B21" s="368"/>
      <c r="C21" s="368"/>
      <c r="D21" s="368"/>
      <c r="E21" s="368">
        <v>7.68</v>
      </c>
      <c r="F21" s="368">
        <v>3.66</v>
      </c>
      <c r="G21" s="368">
        <v>6.32</v>
      </c>
      <c r="H21" s="368">
        <v>5.0999999999999996</v>
      </c>
      <c r="I21" s="368">
        <v>4.68</v>
      </c>
      <c r="J21" s="997">
        <v>7.09</v>
      </c>
      <c r="K21" s="368">
        <v>4.6500000000000004</v>
      </c>
      <c r="L21" s="368"/>
      <c r="M21" s="368">
        <v>7.62</v>
      </c>
      <c r="N21" s="368">
        <v>6.4</v>
      </c>
      <c r="O21" s="368">
        <v>10.050000000000001</v>
      </c>
      <c r="P21" s="368">
        <v>8.02</v>
      </c>
      <c r="Q21" s="368"/>
      <c r="R21" s="109">
        <f t="shared" si="1"/>
        <v>6.4790909090909086</v>
      </c>
      <c r="S21" s="110">
        <f t="shared" si="2"/>
        <v>10.050000000000001</v>
      </c>
      <c r="T21" s="110">
        <f t="shared" si="0"/>
        <v>5.8279999999999994</v>
      </c>
      <c r="U21" s="6"/>
      <c r="V21" s="6"/>
      <c r="W21" s="6"/>
      <c r="X21" s="6"/>
    </row>
    <row r="22" spans="1:25">
      <c r="A22" s="362" t="s">
        <v>568</v>
      </c>
      <c r="B22" s="368">
        <f>AVERAGE(B7:B10)</f>
        <v>9.0824999999999996</v>
      </c>
      <c r="C22" s="368">
        <f t="shared" ref="C22:F22" si="3">AVERAGE(C7:C10)</f>
        <v>10.845000000000001</v>
      </c>
      <c r="D22" s="368">
        <f t="shared" si="3"/>
        <v>11.6975</v>
      </c>
      <c r="E22" s="368">
        <f t="shared" si="3"/>
        <v>12.61</v>
      </c>
      <c r="F22" s="368">
        <f t="shared" si="3"/>
        <v>8.27</v>
      </c>
      <c r="G22" s="368">
        <f t="shared" ref="G22:Q22" si="4">AVERAGE(G7:G10)</f>
        <v>8.5175000000000001</v>
      </c>
      <c r="H22" s="368">
        <f t="shared" si="4"/>
        <v>7.0525000000000002</v>
      </c>
      <c r="I22" s="368">
        <f t="shared" si="4"/>
        <v>8.5549999999999997</v>
      </c>
      <c r="J22" s="368">
        <f t="shared" si="4"/>
        <v>8.1750000000000007</v>
      </c>
      <c r="K22" s="368">
        <f t="shared" si="4"/>
        <v>5.9349999999999996</v>
      </c>
      <c r="L22" s="368">
        <f t="shared" si="4"/>
        <v>8.1449999999999996</v>
      </c>
      <c r="M22" s="368">
        <f t="shared" si="4"/>
        <v>6.5649999999999995</v>
      </c>
      <c r="N22" s="368">
        <f t="shared" si="4"/>
        <v>6.8725000000000005</v>
      </c>
      <c r="O22" s="368">
        <f t="shared" si="4"/>
        <v>9.5775000000000006</v>
      </c>
      <c r="P22" s="368">
        <f t="shared" si="4"/>
        <v>9.84</v>
      </c>
      <c r="Q22" s="368">
        <f t="shared" si="4"/>
        <v>11.9375</v>
      </c>
      <c r="R22" s="368">
        <f t="shared" ref="R22:T22" si="5">AVERAGE(R7:R10)</f>
        <v>8.9798437500000006</v>
      </c>
      <c r="S22" s="368">
        <f t="shared" si="5"/>
        <v>12.61</v>
      </c>
      <c r="T22" s="368">
        <f t="shared" si="5"/>
        <v>7.404583333333334</v>
      </c>
    </row>
    <row r="23" spans="1:25">
      <c r="A23" s="362" t="s">
        <v>569</v>
      </c>
      <c r="B23" s="368">
        <f>AVERAGE(B7:B21)</f>
        <v>7.0992857142857142</v>
      </c>
      <c r="C23" s="368">
        <f t="shared" ref="C23:Q23" si="6">AVERAGE(C7:C21)</f>
        <v>7.984285714285714</v>
      </c>
      <c r="D23" s="368">
        <f t="shared" si="6"/>
        <v>10.941428571428572</v>
      </c>
      <c r="E23" s="368">
        <f t="shared" si="6"/>
        <v>11.199333333333334</v>
      </c>
      <c r="F23" s="368">
        <f t="shared" si="6"/>
        <v>6.6659999999999995</v>
      </c>
      <c r="G23" s="368">
        <f t="shared" si="6"/>
        <v>7.9760000000000009</v>
      </c>
      <c r="H23" s="368">
        <f t="shared" si="6"/>
        <v>6.4446666666666657</v>
      </c>
      <c r="I23" s="368">
        <f t="shared" si="6"/>
        <v>7.594666666666666</v>
      </c>
      <c r="J23" s="368">
        <f t="shared" si="6"/>
        <v>8.1433333333333326</v>
      </c>
      <c r="K23" s="368">
        <f t="shared" si="6"/>
        <v>5.4280000000000008</v>
      </c>
      <c r="L23" s="368">
        <f t="shared" si="6"/>
        <v>7.6228571428571437</v>
      </c>
      <c r="M23" s="368">
        <f t="shared" si="6"/>
        <v>6.6760000000000002</v>
      </c>
      <c r="N23" s="368">
        <f t="shared" si="6"/>
        <v>6.6673333333333344</v>
      </c>
      <c r="O23" s="368">
        <f t="shared" si="6"/>
        <v>9.5640000000000001</v>
      </c>
      <c r="P23" s="368">
        <f t="shared" si="6"/>
        <v>9.4126666666666683</v>
      </c>
      <c r="Q23" s="368">
        <f t="shared" si="6"/>
        <v>11.218181818181817</v>
      </c>
      <c r="R23" s="368">
        <f t="shared" ref="R23:T23" si="7">AVERAGE(R7:R21)</f>
        <v>8.0586643939393952</v>
      </c>
      <c r="S23" s="368">
        <f t="shared" si="7"/>
        <v>11.673333333333334</v>
      </c>
      <c r="T23" s="368">
        <f t="shared" si="7"/>
        <v>6.9649777777777775</v>
      </c>
    </row>
    <row r="24" spans="1:25" ht="15.5">
      <c r="A24" s="1194" t="s">
        <v>548</v>
      </c>
      <c r="B24" s="1195"/>
      <c r="C24" s="1195"/>
      <c r="D24" s="1195"/>
      <c r="E24" s="1195"/>
      <c r="F24" s="1195"/>
      <c r="G24" s="1195"/>
      <c r="H24" s="1195"/>
      <c r="I24" s="1195"/>
      <c r="J24" s="1195"/>
      <c r="K24" s="1195"/>
      <c r="L24" s="1195"/>
      <c r="M24" s="1195"/>
      <c r="N24" s="1195"/>
      <c r="O24" s="1195"/>
      <c r="P24" s="1195"/>
      <c r="Q24" s="1195"/>
      <c r="R24" s="1195"/>
      <c r="S24" s="1195"/>
      <c r="T24" s="1196"/>
    </row>
    <row r="25" spans="1:25" ht="14">
      <c r="A25" s="354" t="s">
        <v>350</v>
      </c>
      <c r="B25" s="368">
        <v>8.75</v>
      </c>
      <c r="C25" s="368">
        <v>11.22</v>
      </c>
      <c r="D25" s="368">
        <v>11.74</v>
      </c>
      <c r="E25" s="368"/>
      <c r="F25" s="368">
        <v>8.3000000000000007</v>
      </c>
      <c r="G25" s="368">
        <v>8.4700000000000006</v>
      </c>
      <c r="H25" s="368">
        <v>7.39</v>
      </c>
      <c r="I25" s="368">
        <v>8.5</v>
      </c>
      <c r="J25" s="368">
        <v>9.76</v>
      </c>
      <c r="K25" s="368">
        <v>5.79</v>
      </c>
      <c r="L25" s="368">
        <v>8.18</v>
      </c>
      <c r="M25" s="368">
        <v>6.61</v>
      </c>
      <c r="N25" s="368"/>
      <c r="O25" s="368">
        <v>9.76</v>
      </c>
      <c r="P25" s="368">
        <v>9.74</v>
      </c>
      <c r="Q25" s="368"/>
      <c r="R25" s="109">
        <f>AVERAGE(B25:Q25)</f>
        <v>8.7853846153846167</v>
      </c>
      <c r="S25" s="110">
        <f>MAX(B25:Q25)</f>
        <v>11.74</v>
      </c>
      <c r="T25" s="110">
        <f t="shared" si="0"/>
        <v>7.7049999999999992</v>
      </c>
    </row>
    <row r="26" spans="1:25" ht="14">
      <c r="A26" s="354" t="s">
        <v>157</v>
      </c>
      <c r="B26" s="368">
        <v>8.4499999999999993</v>
      </c>
      <c r="C26" s="368">
        <v>11.23</v>
      </c>
      <c r="D26" s="368">
        <v>11.5</v>
      </c>
      <c r="E26" s="368"/>
      <c r="F26" s="368">
        <v>8.27</v>
      </c>
      <c r="G26" s="368">
        <v>8.42</v>
      </c>
      <c r="H26" s="368">
        <v>7.32</v>
      </c>
      <c r="I26" s="368">
        <v>8.39</v>
      </c>
      <c r="J26" s="368">
        <v>9.6999999999999993</v>
      </c>
      <c r="K26" s="368">
        <v>5.8</v>
      </c>
      <c r="L26" s="368">
        <v>8.2899999999999991</v>
      </c>
      <c r="M26" s="368">
        <v>6.62</v>
      </c>
      <c r="N26" s="368"/>
      <c r="O26" s="368">
        <v>9.57</v>
      </c>
      <c r="P26" s="368">
        <v>9.56</v>
      </c>
      <c r="Q26" s="368"/>
      <c r="R26" s="109">
        <f t="shared" ref="R26:R36" si="8">AVERAGE(B26:Q26)</f>
        <v>8.7015384615384619</v>
      </c>
      <c r="S26" s="110">
        <f t="shared" ref="S26:S36" si="9">MAX(B26:Q26)</f>
        <v>11.5</v>
      </c>
      <c r="T26" s="110">
        <f t="shared" si="0"/>
        <v>7.6866666666666665</v>
      </c>
    </row>
    <row r="27" spans="1:25" ht="14">
      <c r="A27" s="354" t="s">
        <v>351</v>
      </c>
      <c r="B27" s="368">
        <v>7.8</v>
      </c>
      <c r="C27" s="368">
        <v>10.62</v>
      </c>
      <c r="D27" s="368">
        <v>11.26</v>
      </c>
      <c r="E27" s="368"/>
      <c r="F27" s="368">
        <v>8.31</v>
      </c>
      <c r="G27" s="368">
        <v>8.34</v>
      </c>
      <c r="H27" s="368">
        <v>7.22</v>
      </c>
      <c r="I27" s="368">
        <v>7.78</v>
      </c>
      <c r="J27" s="368">
        <v>8.8000000000000007</v>
      </c>
      <c r="K27" s="368">
        <v>5.62</v>
      </c>
      <c r="L27" s="368">
        <v>8.02</v>
      </c>
      <c r="M27" s="368">
        <v>6.51</v>
      </c>
      <c r="N27" s="368"/>
      <c r="O27" s="368">
        <v>9.65</v>
      </c>
      <c r="P27" s="368">
        <v>9.68</v>
      </c>
      <c r="Q27" s="368"/>
      <c r="R27" s="109">
        <f t="shared" si="8"/>
        <v>8.4315384615384623</v>
      </c>
      <c r="S27" s="110">
        <f t="shared" si="9"/>
        <v>11.26</v>
      </c>
      <c r="T27" s="110">
        <f t="shared" si="0"/>
        <v>7.3249999999999993</v>
      </c>
    </row>
    <row r="28" spans="1:25" ht="14">
      <c r="A28" s="354" t="s">
        <v>158</v>
      </c>
      <c r="B28" s="368">
        <v>7.55</v>
      </c>
      <c r="C28" s="368">
        <v>10.76</v>
      </c>
      <c r="D28" s="368">
        <v>11.45</v>
      </c>
      <c r="E28" s="368"/>
      <c r="F28" s="368">
        <v>8.2799999999999994</v>
      </c>
      <c r="G28" s="368">
        <v>8.1999999999999993</v>
      </c>
      <c r="H28" s="368">
        <v>6.96</v>
      </c>
      <c r="I28" s="368">
        <v>7.55</v>
      </c>
      <c r="J28" s="368">
        <v>8.68</v>
      </c>
      <c r="K28" s="368">
        <v>5.51</v>
      </c>
      <c r="L28" s="368">
        <v>7.59</v>
      </c>
      <c r="M28" s="368">
        <v>6.58</v>
      </c>
      <c r="N28" s="368"/>
      <c r="O28" s="368">
        <v>9.6300000000000008</v>
      </c>
      <c r="P28" s="368">
        <v>9.36</v>
      </c>
      <c r="Q28" s="368"/>
      <c r="R28" s="109">
        <f t="shared" si="8"/>
        <v>8.3153846153846143</v>
      </c>
      <c r="S28" s="110">
        <f t="shared" si="9"/>
        <v>11.45</v>
      </c>
      <c r="T28" s="110">
        <f t="shared" si="0"/>
        <v>7.1449999999999987</v>
      </c>
    </row>
    <row r="29" spans="1:25" ht="14">
      <c r="A29" s="354" t="s">
        <v>352</v>
      </c>
      <c r="B29" s="368">
        <v>7.34</v>
      </c>
      <c r="C29" s="368">
        <v>10.220000000000001</v>
      </c>
      <c r="D29" s="368">
        <v>11.28</v>
      </c>
      <c r="E29" s="368"/>
      <c r="F29" s="368">
        <v>8.17</v>
      </c>
      <c r="G29" s="368">
        <v>7.92</v>
      </c>
      <c r="H29" s="368">
        <v>6.88</v>
      </c>
      <c r="I29" s="368">
        <v>7.44</v>
      </c>
      <c r="J29" s="368">
        <v>8.73</v>
      </c>
      <c r="K29" s="368">
        <v>5.35</v>
      </c>
      <c r="L29" s="368">
        <v>7.45</v>
      </c>
      <c r="M29" s="368">
        <v>6.62</v>
      </c>
      <c r="N29" s="368"/>
      <c r="O29" s="368">
        <v>9.4</v>
      </c>
      <c r="P29" s="368">
        <v>9.52</v>
      </c>
      <c r="Q29" s="368"/>
      <c r="R29" s="109">
        <f t="shared" si="8"/>
        <v>8.1784615384615389</v>
      </c>
      <c r="S29" s="110">
        <f t="shared" si="9"/>
        <v>11.28</v>
      </c>
      <c r="T29" s="110">
        <f t="shared" si="0"/>
        <v>7.0783333333333331</v>
      </c>
    </row>
    <row r="30" spans="1:25" ht="14">
      <c r="A30" s="354" t="s">
        <v>159</v>
      </c>
      <c r="B30" s="368">
        <v>7.29</v>
      </c>
      <c r="C30" s="368">
        <v>9.64</v>
      </c>
      <c r="D30" s="368">
        <v>11.2</v>
      </c>
      <c r="E30" s="368"/>
      <c r="F30" s="368">
        <v>7.94</v>
      </c>
      <c r="G30" s="368">
        <v>7.87</v>
      </c>
      <c r="H30" s="368">
        <v>6.75</v>
      </c>
      <c r="I30" s="368">
        <v>7.34</v>
      </c>
      <c r="J30" s="368">
        <v>8.76</v>
      </c>
      <c r="K30" s="368">
        <v>5.12</v>
      </c>
      <c r="L30" s="368">
        <v>7.35</v>
      </c>
      <c r="M30" s="368">
        <v>6.3</v>
      </c>
      <c r="N30" s="368"/>
      <c r="O30" s="368">
        <v>9.36</v>
      </c>
      <c r="P30" s="368">
        <v>9.33</v>
      </c>
      <c r="Q30" s="368"/>
      <c r="R30" s="109">
        <f t="shared" si="8"/>
        <v>8.0192307692307701</v>
      </c>
      <c r="S30" s="110">
        <f t="shared" si="9"/>
        <v>11.2</v>
      </c>
      <c r="T30" s="110">
        <f t="shared" si="0"/>
        <v>6.9366666666666665</v>
      </c>
    </row>
    <row r="31" spans="1:25" ht="14">
      <c r="A31" s="354" t="s">
        <v>353</v>
      </c>
      <c r="B31" s="368">
        <v>7.08</v>
      </c>
      <c r="C31" s="368">
        <v>8.86</v>
      </c>
      <c r="D31" s="368">
        <v>11.4</v>
      </c>
      <c r="E31" s="368"/>
      <c r="F31" s="368">
        <v>7.77</v>
      </c>
      <c r="G31" s="368">
        <v>7.79</v>
      </c>
      <c r="H31" s="368">
        <v>6.52</v>
      </c>
      <c r="I31" s="368">
        <v>7.3</v>
      </c>
      <c r="J31" s="368">
        <v>8.89</v>
      </c>
      <c r="K31" s="368">
        <v>5.21</v>
      </c>
      <c r="L31" s="368">
        <v>7.26</v>
      </c>
      <c r="M31" s="368">
        <v>6.34</v>
      </c>
      <c r="N31" s="368"/>
      <c r="O31" s="368">
        <v>9.33</v>
      </c>
      <c r="P31" s="368">
        <v>9.18</v>
      </c>
      <c r="Q31" s="368"/>
      <c r="R31" s="109">
        <f t="shared" si="8"/>
        <v>7.9176923076923078</v>
      </c>
      <c r="S31" s="110">
        <f t="shared" si="9"/>
        <v>11.4</v>
      </c>
      <c r="T31" s="110">
        <f t="shared" si="0"/>
        <v>6.919999999999999</v>
      </c>
    </row>
    <row r="32" spans="1:25" ht="14">
      <c r="A32" s="354" t="s">
        <v>160</v>
      </c>
      <c r="B32" s="368">
        <v>7.65</v>
      </c>
      <c r="C32" s="368">
        <v>8.36</v>
      </c>
      <c r="D32" s="368">
        <v>11.34</v>
      </c>
      <c r="E32" s="368"/>
      <c r="F32" s="368">
        <v>7.58</v>
      </c>
      <c r="G32" s="368">
        <v>7.71</v>
      </c>
      <c r="H32" s="368">
        <v>6.44</v>
      </c>
      <c r="I32" s="368">
        <v>7.16</v>
      </c>
      <c r="J32" s="368">
        <v>8.7100000000000009</v>
      </c>
      <c r="K32" s="368">
        <v>5.0999999999999996</v>
      </c>
      <c r="L32" s="368">
        <v>7.2</v>
      </c>
      <c r="M32" s="368">
        <v>6.33</v>
      </c>
      <c r="N32" s="368"/>
      <c r="O32" s="368">
        <v>9.2200000000000006</v>
      </c>
      <c r="P32" s="368">
        <v>9.06</v>
      </c>
      <c r="Q32" s="368"/>
      <c r="R32" s="109">
        <f t="shared" si="8"/>
        <v>7.8353846153846138</v>
      </c>
      <c r="S32" s="110">
        <f t="shared" si="9"/>
        <v>11.34</v>
      </c>
      <c r="T32" s="110">
        <f t="shared" si="0"/>
        <v>6.8233333333333341</v>
      </c>
    </row>
    <row r="33" spans="1:20" ht="14">
      <c r="A33" s="354" t="s">
        <v>161</v>
      </c>
      <c r="B33" s="368">
        <v>6.58</v>
      </c>
      <c r="C33" s="368">
        <v>5.56</v>
      </c>
      <c r="D33" s="368">
        <v>10.81</v>
      </c>
      <c r="E33" s="368"/>
      <c r="F33" s="368">
        <v>7.01</v>
      </c>
      <c r="G33" s="368">
        <v>7.7</v>
      </c>
      <c r="H33" s="368">
        <v>6.37</v>
      </c>
      <c r="I33" s="368">
        <v>7.12</v>
      </c>
      <c r="J33" s="368">
        <v>8.67</v>
      </c>
      <c r="K33" s="368">
        <v>5</v>
      </c>
      <c r="L33" s="368">
        <v>7.4</v>
      </c>
      <c r="M33" s="368">
        <v>6.26</v>
      </c>
      <c r="N33" s="368"/>
      <c r="O33" s="368">
        <v>9.18</v>
      </c>
      <c r="P33" s="368">
        <v>9.23</v>
      </c>
      <c r="Q33" s="368"/>
      <c r="R33" s="109">
        <f t="shared" si="8"/>
        <v>7.4530769230769227</v>
      </c>
      <c r="S33" s="110">
        <f t="shared" si="9"/>
        <v>10.81</v>
      </c>
      <c r="T33" s="110">
        <f t="shared" si="0"/>
        <v>6.8033333333333337</v>
      </c>
    </row>
    <row r="34" spans="1:20" ht="14">
      <c r="A34" s="354" t="s">
        <v>162</v>
      </c>
      <c r="B34" s="368">
        <v>5.58</v>
      </c>
      <c r="C34" s="368">
        <v>4.99</v>
      </c>
      <c r="D34" s="368">
        <v>11.1</v>
      </c>
      <c r="E34" s="368"/>
      <c r="F34" s="368">
        <v>5.45</v>
      </c>
      <c r="G34" s="368">
        <v>7.44</v>
      </c>
      <c r="H34" s="368">
        <v>6.36</v>
      </c>
      <c r="I34" s="368">
        <v>7.05</v>
      </c>
      <c r="J34" s="368">
        <v>8.64</v>
      </c>
      <c r="K34" s="368">
        <v>5.14</v>
      </c>
      <c r="L34" s="368">
        <v>7.36</v>
      </c>
      <c r="M34" s="368">
        <v>6.18</v>
      </c>
      <c r="N34" s="368"/>
      <c r="O34" s="368">
        <v>9.26</v>
      </c>
      <c r="P34" s="368">
        <v>9.43</v>
      </c>
      <c r="Q34" s="368"/>
      <c r="R34" s="109">
        <f t="shared" si="8"/>
        <v>7.2292307692307682</v>
      </c>
      <c r="S34" s="110">
        <f t="shared" si="9"/>
        <v>11.1</v>
      </c>
      <c r="T34" s="110">
        <f t="shared" si="0"/>
        <v>6.788333333333334</v>
      </c>
    </row>
    <row r="35" spans="1:20" ht="14">
      <c r="A35" s="354" t="s">
        <v>163</v>
      </c>
      <c r="B35" s="368">
        <v>5.05</v>
      </c>
      <c r="C35" s="368"/>
      <c r="D35" s="368">
        <v>11.15</v>
      </c>
      <c r="E35" s="368"/>
      <c r="F35" s="368">
        <v>5.13</v>
      </c>
      <c r="G35" s="368">
        <v>7.1</v>
      </c>
      <c r="H35" s="368">
        <v>6.27</v>
      </c>
      <c r="I35" s="368"/>
      <c r="J35" s="368">
        <v>7.95</v>
      </c>
      <c r="K35" s="368">
        <v>5.14</v>
      </c>
      <c r="L35" s="368">
        <v>7.03</v>
      </c>
      <c r="M35" s="368">
        <v>6.25</v>
      </c>
      <c r="N35" s="368"/>
      <c r="O35" s="368">
        <v>9.06</v>
      </c>
      <c r="P35" s="368">
        <v>9.4499999999999993</v>
      </c>
      <c r="Q35" s="368"/>
      <c r="R35" s="109">
        <f t="shared" si="8"/>
        <v>7.2345454545454553</v>
      </c>
      <c r="S35" s="110">
        <f t="shared" si="9"/>
        <v>11.15</v>
      </c>
      <c r="T35" s="110">
        <f t="shared" si="0"/>
        <v>6.5280000000000005</v>
      </c>
    </row>
    <row r="36" spans="1:20" ht="14">
      <c r="A36" s="354" t="s">
        <v>164</v>
      </c>
      <c r="B36" s="368"/>
      <c r="C36" s="368"/>
      <c r="D36" s="368">
        <v>11.12</v>
      </c>
      <c r="E36" s="368"/>
      <c r="F36" s="368">
        <v>4.47</v>
      </c>
      <c r="G36" s="368">
        <v>6.2</v>
      </c>
      <c r="H36" s="368">
        <v>5.9</v>
      </c>
      <c r="I36" s="368"/>
      <c r="J36" s="368">
        <v>6.28</v>
      </c>
      <c r="K36" s="368">
        <v>4.93</v>
      </c>
      <c r="L36" s="368">
        <v>6.91</v>
      </c>
      <c r="M36" s="368">
        <v>6.34</v>
      </c>
      <c r="N36" s="368"/>
      <c r="O36" s="368">
        <v>8.68</v>
      </c>
      <c r="P36" s="368">
        <v>9.2200000000000006</v>
      </c>
      <c r="Q36" s="368"/>
      <c r="R36" s="109">
        <f t="shared" si="8"/>
        <v>7.0050000000000008</v>
      </c>
      <c r="S36" s="110">
        <f t="shared" si="9"/>
        <v>11.12</v>
      </c>
      <c r="T36" s="110">
        <f t="shared" si="0"/>
        <v>6.0720000000000001</v>
      </c>
    </row>
    <row r="37" spans="1:20">
      <c r="A37" s="362" t="s">
        <v>568</v>
      </c>
      <c r="B37" s="368">
        <f>AVERAGE(B25:B28)</f>
        <v>8.1374999999999993</v>
      </c>
      <c r="C37" s="368">
        <f t="shared" ref="C37:F37" si="10">AVERAGE(C25:C28)</f>
        <v>10.9575</v>
      </c>
      <c r="D37" s="368">
        <f t="shared" si="10"/>
        <v>11.487500000000001</v>
      </c>
      <c r="E37" s="368"/>
      <c r="F37" s="368">
        <f t="shared" si="10"/>
        <v>8.2900000000000009</v>
      </c>
      <c r="G37" s="368">
        <f t="shared" ref="G37:M37" si="11">AVERAGE(G25:G28)</f>
        <v>8.3574999999999999</v>
      </c>
      <c r="H37" s="368">
        <f t="shared" si="11"/>
        <v>7.2225000000000001</v>
      </c>
      <c r="I37" s="368">
        <f t="shared" si="11"/>
        <v>8.0549999999999997</v>
      </c>
      <c r="J37" s="368">
        <f t="shared" si="11"/>
        <v>9.2349999999999994</v>
      </c>
      <c r="K37" s="368">
        <f t="shared" si="11"/>
        <v>5.68</v>
      </c>
      <c r="L37" s="368">
        <f t="shared" si="11"/>
        <v>8.02</v>
      </c>
      <c r="M37" s="368">
        <f t="shared" si="11"/>
        <v>6.58</v>
      </c>
      <c r="N37" s="368"/>
      <c r="O37" s="368">
        <f>AVERAGE(O25:O28)</f>
        <v>9.6524999999999999</v>
      </c>
      <c r="P37" s="368">
        <f>AVERAGE(P25:P28)</f>
        <v>9.5850000000000009</v>
      </c>
      <c r="Q37" s="368"/>
      <c r="R37" s="368">
        <f>AVERAGE(R25:R28)</f>
        <v>8.5584615384615379</v>
      </c>
      <c r="S37" s="368">
        <f>AVERAGE(S25:S28)</f>
        <v>11.487500000000001</v>
      </c>
      <c r="T37" s="368">
        <f>AVERAGE(T25:T28)</f>
        <v>7.4654166666666661</v>
      </c>
    </row>
    <row r="38" spans="1:20">
      <c r="A38" s="354" t="s">
        <v>562</v>
      </c>
      <c r="B38" s="368">
        <f t="shared" ref="B38:P38" si="12">AVERAGE(B25:B36)</f>
        <v>7.1927272727272715</v>
      </c>
      <c r="C38" s="368">
        <f t="shared" si="12"/>
        <v>9.145999999999999</v>
      </c>
      <c r="D38" s="368">
        <f t="shared" si="12"/>
        <v>11.279166666666669</v>
      </c>
      <c r="E38" s="368"/>
      <c r="F38" s="368">
        <f t="shared" si="12"/>
        <v>7.2233333333333336</v>
      </c>
      <c r="G38" s="368">
        <f t="shared" si="12"/>
        <v>7.7633333333333328</v>
      </c>
      <c r="H38" s="368">
        <f t="shared" si="12"/>
        <v>6.6983333333333341</v>
      </c>
      <c r="I38" s="368">
        <f t="shared" si="12"/>
        <v>7.5629999999999997</v>
      </c>
      <c r="J38" s="368">
        <f t="shared" si="12"/>
        <v>8.6308333333333334</v>
      </c>
      <c r="K38" s="368">
        <f t="shared" si="12"/>
        <v>5.309166666666667</v>
      </c>
      <c r="L38" s="368">
        <f t="shared" si="12"/>
        <v>7.5033333333333339</v>
      </c>
      <c r="M38" s="368">
        <f t="shared" si="12"/>
        <v>6.4116666666666662</v>
      </c>
      <c r="N38" s="368"/>
      <c r="O38" s="368">
        <f t="shared" si="12"/>
        <v>9.3416666666666668</v>
      </c>
      <c r="P38" s="368">
        <f t="shared" si="12"/>
        <v>9.3966666666666665</v>
      </c>
      <c r="Q38" s="368"/>
      <c r="R38" s="368">
        <f>AVERAGE(R25:R36)</f>
        <v>7.9255390442890432</v>
      </c>
      <c r="S38" s="368">
        <f>AVERAGE(S25:S36)</f>
        <v>11.279166666666669</v>
      </c>
      <c r="T38" s="368">
        <f>AVERAGE(T25:T36)</f>
        <v>6.9843055555555571</v>
      </c>
    </row>
    <row r="39" spans="1:20" ht="15.5">
      <c r="A39" s="1194" t="s">
        <v>549</v>
      </c>
      <c r="B39" s="1195"/>
      <c r="C39" s="1195"/>
      <c r="D39" s="1195"/>
      <c r="E39" s="1195"/>
      <c r="F39" s="1195"/>
      <c r="G39" s="1195"/>
      <c r="H39" s="1195"/>
      <c r="I39" s="1195"/>
      <c r="J39" s="1195"/>
      <c r="K39" s="1195"/>
      <c r="L39" s="1195"/>
      <c r="M39" s="1195"/>
      <c r="N39" s="1195"/>
      <c r="O39" s="1195"/>
      <c r="P39" s="1195"/>
      <c r="Q39" s="1195"/>
      <c r="R39" s="1195"/>
      <c r="S39" s="1195"/>
      <c r="T39" s="1196"/>
    </row>
    <row r="40" spans="1:20" ht="14">
      <c r="A40" s="354" t="s">
        <v>350</v>
      </c>
      <c r="B40" s="368">
        <v>8.9499999999999993</v>
      </c>
      <c r="C40" s="368">
        <v>9.75</v>
      </c>
      <c r="D40" s="368">
        <v>11.2</v>
      </c>
      <c r="E40" s="368"/>
      <c r="F40" s="368">
        <v>8.3699999999999992</v>
      </c>
      <c r="G40" s="368">
        <v>9.2200000000000006</v>
      </c>
      <c r="H40" s="368">
        <v>7.6</v>
      </c>
      <c r="I40" s="368">
        <v>8.09</v>
      </c>
      <c r="J40" s="368">
        <v>8.91</v>
      </c>
      <c r="K40" s="368">
        <v>5.67</v>
      </c>
      <c r="L40" s="368">
        <v>7.87</v>
      </c>
      <c r="M40" s="368">
        <v>7</v>
      </c>
      <c r="N40" s="368"/>
      <c r="O40" s="368">
        <v>9.68</v>
      </c>
      <c r="P40" s="368">
        <v>9.92</v>
      </c>
      <c r="Q40" s="368"/>
      <c r="R40" s="109">
        <f>AVERAGE(B40:Q40)</f>
        <v>8.6330769230769242</v>
      </c>
      <c r="S40" s="110">
        <f>MAX(B40:Q40)</f>
        <v>11.2</v>
      </c>
      <c r="T40" s="110">
        <f t="shared" si="0"/>
        <v>7.5233333333333334</v>
      </c>
    </row>
    <row r="41" spans="1:20" ht="14">
      <c r="A41" s="354" t="s">
        <v>157</v>
      </c>
      <c r="B41" s="368">
        <v>8.73</v>
      </c>
      <c r="C41" s="368">
        <v>10.15</v>
      </c>
      <c r="D41" s="368">
        <v>11.52</v>
      </c>
      <c r="E41" s="368"/>
      <c r="F41" s="368">
        <v>8.4</v>
      </c>
      <c r="G41" s="368">
        <v>8.83</v>
      </c>
      <c r="H41" s="368">
        <v>7.41</v>
      </c>
      <c r="I41" s="368">
        <v>8.26</v>
      </c>
      <c r="J41" s="368">
        <v>8.82</v>
      </c>
      <c r="K41" s="368">
        <v>5.76</v>
      </c>
      <c r="L41" s="368">
        <v>7.79</v>
      </c>
      <c r="M41" s="368">
        <v>6.89</v>
      </c>
      <c r="N41" s="368"/>
      <c r="O41" s="368">
        <v>9.64</v>
      </c>
      <c r="P41" s="368">
        <v>9.51</v>
      </c>
      <c r="Q41" s="368"/>
      <c r="R41" s="109">
        <f t="shared" ref="R41:R48" si="13">AVERAGE(B41:Q41)</f>
        <v>8.5930769230769251</v>
      </c>
      <c r="S41" s="110">
        <f t="shared" ref="S41:S48" si="14">MAX(B41:Q41)</f>
        <v>11.52</v>
      </c>
      <c r="T41" s="110">
        <f t="shared" si="0"/>
        <v>7.4883333333333333</v>
      </c>
    </row>
    <row r="42" spans="1:20" ht="14">
      <c r="A42" s="354" t="s">
        <v>351</v>
      </c>
      <c r="B42" s="368">
        <v>8.7799999999999994</v>
      </c>
      <c r="C42" s="368">
        <v>9.44</v>
      </c>
      <c r="D42" s="368">
        <v>11.64</v>
      </c>
      <c r="E42" s="368"/>
      <c r="F42" s="368">
        <v>8.31</v>
      </c>
      <c r="G42" s="368">
        <v>8.33</v>
      </c>
      <c r="H42" s="368">
        <v>7.22</v>
      </c>
      <c r="I42" s="368">
        <v>8.07</v>
      </c>
      <c r="J42" s="368">
        <v>8.77</v>
      </c>
      <c r="K42" s="368">
        <v>5.58</v>
      </c>
      <c r="L42" s="368">
        <v>7.81</v>
      </c>
      <c r="M42" s="368">
        <v>6.83</v>
      </c>
      <c r="N42" s="368"/>
      <c r="O42" s="368">
        <v>9.4700000000000006</v>
      </c>
      <c r="P42" s="368">
        <v>9.4700000000000006</v>
      </c>
      <c r="Q42" s="368"/>
      <c r="R42" s="109">
        <f t="shared" si="13"/>
        <v>8.44</v>
      </c>
      <c r="S42" s="110">
        <f t="shared" si="14"/>
        <v>11.64</v>
      </c>
      <c r="T42" s="110">
        <f t="shared" si="0"/>
        <v>7.38</v>
      </c>
    </row>
    <row r="43" spans="1:20" ht="14">
      <c r="A43" s="354" t="s">
        <v>158</v>
      </c>
      <c r="B43" s="368">
        <v>8.6300000000000008</v>
      </c>
      <c r="C43" s="368">
        <v>9.2799999999999994</v>
      </c>
      <c r="D43" s="368">
        <v>11.44</v>
      </c>
      <c r="E43" s="368"/>
      <c r="F43" s="368">
        <v>8.36</v>
      </c>
      <c r="G43" s="368">
        <v>8.2100000000000009</v>
      </c>
      <c r="H43" s="368">
        <v>7.15</v>
      </c>
      <c r="I43" s="368">
        <v>7.9</v>
      </c>
      <c r="J43" s="368">
        <v>8.75</v>
      </c>
      <c r="K43" s="368">
        <v>5.7</v>
      </c>
      <c r="L43" s="368">
        <v>7.61</v>
      </c>
      <c r="M43" s="368">
        <v>6.72</v>
      </c>
      <c r="N43" s="368"/>
      <c r="O43" s="368">
        <v>9.5299999999999994</v>
      </c>
      <c r="P43" s="368">
        <v>9.4700000000000006</v>
      </c>
      <c r="Q43" s="368"/>
      <c r="R43" s="109">
        <f t="shared" si="13"/>
        <v>8.365384615384615</v>
      </c>
      <c r="S43" s="110">
        <f t="shared" si="14"/>
        <v>11.44</v>
      </c>
      <c r="T43" s="110">
        <f t="shared" si="0"/>
        <v>7.3049999999999997</v>
      </c>
    </row>
    <row r="44" spans="1:20" ht="14">
      <c r="A44" s="354" t="s">
        <v>352</v>
      </c>
      <c r="B44" s="368">
        <v>8.42</v>
      </c>
      <c r="C44" s="368">
        <v>7.99</v>
      </c>
      <c r="D44" s="368">
        <v>11.46</v>
      </c>
      <c r="E44" s="368"/>
      <c r="F44" s="368">
        <v>8.25</v>
      </c>
      <c r="G44" s="368">
        <v>8.14</v>
      </c>
      <c r="H44" s="368">
        <v>7.05</v>
      </c>
      <c r="I44" s="368">
        <v>7.91</v>
      </c>
      <c r="J44" s="368">
        <v>8.65</v>
      </c>
      <c r="K44" s="368">
        <v>5.56</v>
      </c>
      <c r="L44" s="368">
        <v>7.5</v>
      </c>
      <c r="M44" s="368">
        <v>6.68</v>
      </c>
      <c r="N44" s="368"/>
      <c r="O44" s="368">
        <v>9.5399999999999991</v>
      </c>
      <c r="P44" s="368">
        <v>9.6</v>
      </c>
      <c r="Q44" s="368"/>
      <c r="R44" s="109">
        <f t="shared" si="13"/>
        <v>8.2115384615384617</v>
      </c>
      <c r="S44" s="110">
        <f t="shared" si="14"/>
        <v>11.46</v>
      </c>
      <c r="T44" s="110">
        <f t="shared" si="0"/>
        <v>7.2250000000000005</v>
      </c>
    </row>
    <row r="45" spans="1:20" ht="14">
      <c r="A45" s="354" t="s">
        <v>159</v>
      </c>
      <c r="B45" s="368">
        <v>7.52</v>
      </c>
      <c r="C45" s="368">
        <v>7.03</v>
      </c>
      <c r="D45" s="368">
        <v>11.55</v>
      </c>
      <c r="E45" s="368"/>
      <c r="F45" s="368">
        <v>8.2200000000000006</v>
      </c>
      <c r="G45" s="368">
        <v>8.11</v>
      </c>
      <c r="H45" s="368">
        <v>6.89</v>
      </c>
      <c r="I45" s="368">
        <v>7.82</v>
      </c>
      <c r="J45" s="368">
        <v>8.7100000000000009</v>
      </c>
      <c r="K45" s="368">
        <v>5.32</v>
      </c>
      <c r="L45" s="368">
        <v>7.42</v>
      </c>
      <c r="M45" s="368">
        <v>6.65</v>
      </c>
      <c r="N45" s="368"/>
      <c r="O45" s="368">
        <v>9.6</v>
      </c>
      <c r="P45" s="368">
        <v>9.4700000000000006</v>
      </c>
      <c r="Q45" s="368"/>
      <c r="R45" s="109">
        <f t="shared" si="13"/>
        <v>8.0238461538461525</v>
      </c>
      <c r="S45" s="110">
        <f t="shared" si="14"/>
        <v>11.55</v>
      </c>
      <c r="T45" s="110">
        <f t="shared" si="0"/>
        <v>7.1350000000000007</v>
      </c>
    </row>
    <row r="46" spans="1:20" ht="14">
      <c r="A46" s="354" t="s">
        <v>353</v>
      </c>
      <c r="B46" s="368">
        <v>7.62</v>
      </c>
      <c r="C46" s="368">
        <v>6.82</v>
      </c>
      <c r="D46" s="368">
        <v>11.47</v>
      </c>
      <c r="E46" s="368"/>
      <c r="F46" s="368">
        <v>8.06</v>
      </c>
      <c r="G46" s="368">
        <v>8.14</v>
      </c>
      <c r="H46" s="368">
        <v>6.72</v>
      </c>
      <c r="I46" s="368">
        <v>7.43</v>
      </c>
      <c r="J46" s="368">
        <v>8.6</v>
      </c>
      <c r="K46" s="368">
        <v>5.28</v>
      </c>
      <c r="L46" s="368">
        <v>7.43</v>
      </c>
      <c r="M46" s="368">
        <v>6.71</v>
      </c>
      <c r="N46" s="368"/>
      <c r="O46" s="368">
        <v>9.43</v>
      </c>
      <c r="P46" s="368">
        <v>9.51</v>
      </c>
      <c r="Q46" s="368"/>
      <c r="R46" s="109">
        <f t="shared" si="13"/>
        <v>7.9399999999999986</v>
      </c>
      <c r="S46" s="110">
        <f t="shared" si="14"/>
        <v>11.47</v>
      </c>
      <c r="T46" s="110">
        <f t="shared" si="0"/>
        <v>7.0283333333333333</v>
      </c>
    </row>
    <row r="47" spans="1:20" ht="14">
      <c r="A47" s="354" t="s">
        <v>160</v>
      </c>
      <c r="B47" s="368">
        <v>7.72</v>
      </c>
      <c r="C47" s="368">
        <v>5.52</v>
      </c>
      <c r="D47" s="368">
        <v>11.51</v>
      </c>
      <c r="E47" s="368"/>
      <c r="F47" s="368">
        <v>8.07</v>
      </c>
      <c r="G47" s="368">
        <v>7.94</v>
      </c>
      <c r="H47" s="368">
        <v>6.45</v>
      </c>
      <c r="I47" s="368">
        <v>7.36</v>
      </c>
      <c r="J47" s="368">
        <v>8.4700000000000006</v>
      </c>
      <c r="K47" s="368">
        <v>5.14</v>
      </c>
      <c r="L47" s="368">
        <v>7.25</v>
      </c>
      <c r="M47" s="368">
        <v>6.52</v>
      </c>
      <c r="N47" s="368"/>
      <c r="O47" s="368">
        <v>9.56</v>
      </c>
      <c r="P47" s="368">
        <v>9.4600000000000009</v>
      </c>
      <c r="Q47" s="368"/>
      <c r="R47" s="109">
        <f t="shared" si="13"/>
        <v>7.766923076923077</v>
      </c>
      <c r="S47" s="110">
        <f t="shared" si="14"/>
        <v>11.51</v>
      </c>
      <c r="T47" s="110">
        <f t="shared" si="0"/>
        <v>6.8649999999999993</v>
      </c>
    </row>
    <row r="48" spans="1:20" ht="14">
      <c r="A48" s="354" t="s">
        <v>161</v>
      </c>
      <c r="B48" s="368"/>
      <c r="C48" s="368">
        <v>4.8499999999999996</v>
      </c>
      <c r="D48" s="368">
        <v>10.86</v>
      </c>
      <c r="E48" s="368"/>
      <c r="F48" s="368">
        <v>7.45</v>
      </c>
      <c r="G48" s="368">
        <v>7.66</v>
      </c>
      <c r="H48" s="368">
        <v>6.29</v>
      </c>
      <c r="I48" s="368">
        <v>6.72</v>
      </c>
      <c r="J48" s="368">
        <v>8.32</v>
      </c>
      <c r="K48" s="368">
        <v>5.15</v>
      </c>
      <c r="L48" s="368">
        <v>7.04</v>
      </c>
      <c r="M48" s="368">
        <v>6.7</v>
      </c>
      <c r="N48" s="368"/>
      <c r="O48" s="368">
        <v>9.58</v>
      </c>
      <c r="P48" s="368">
        <v>9.5299999999999994</v>
      </c>
      <c r="Q48" s="368"/>
      <c r="R48" s="109">
        <f t="shared" si="13"/>
        <v>7.5125000000000002</v>
      </c>
      <c r="S48" s="110">
        <f t="shared" si="14"/>
        <v>10.86</v>
      </c>
      <c r="T48" s="110">
        <f t="shared" si="0"/>
        <v>6.7033333333333331</v>
      </c>
    </row>
    <row r="49" spans="1:20">
      <c r="A49" s="362" t="s">
        <v>568</v>
      </c>
      <c r="B49" s="368">
        <f>AVERAGE(B40:B43)</f>
        <v>8.7725000000000009</v>
      </c>
      <c r="C49" s="368">
        <f t="shared" ref="C49:M49" si="15">AVERAGE(C40:C43)</f>
        <v>9.6549999999999994</v>
      </c>
      <c r="D49" s="368">
        <f t="shared" si="15"/>
        <v>11.45</v>
      </c>
      <c r="E49" s="368"/>
      <c r="F49" s="368">
        <f t="shared" si="15"/>
        <v>8.36</v>
      </c>
      <c r="G49" s="368">
        <f t="shared" si="15"/>
        <v>8.6475000000000009</v>
      </c>
      <c r="H49" s="368">
        <f t="shared" si="15"/>
        <v>7.3450000000000006</v>
      </c>
      <c r="I49" s="368">
        <f t="shared" si="15"/>
        <v>8.08</v>
      </c>
      <c r="J49" s="368">
        <f t="shared" si="15"/>
        <v>8.8125</v>
      </c>
      <c r="K49" s="368">
        <f t="shared" si="15"/>
        <v>5.6774999999999993</v>
      </c>
      <c r="L49" s="368">
        <f t="shared" si="15"/>
        <v>7.77</v>
      </c>
      <c r="M49" s="368">
        <f t="shared" si="15"/>
        <v>6.8599999999999994</v>
      </c>
      <c r="N49" s="368"/>
      <c r="O49" s="368">
        <f>AVERAGE(O40:O43)</f>
        <v>9.58</v>
      </c>
      <c r="P49" s="368">
        <f>AVERAGE(P40:P43)</f>
        <v>9.5924999999999994</v>
      </c>
      <c r="Q49" s="368"/>
      <c r="R49" s="368">
        <f>AVERAGE(R40:R43)</f>
        <v>8.507884615384615</v>
      </c>
      <c r="S49" s="368">
        <f>AVERAGE(S40:S43)</f>
        <v>11.45</v>
      </c>
      <c r="T49" s="368">
        <f>AVERAGE(T40:T43)</f>
        <v>7.4241666666666664</v>
      </c>
    </row>
    <row r="50" spans="1:20">
      <c r="A50" s="354" t="s">
        <v>562</v>
      </c>
      <c r="B50" s="368">
        <f t="shared" ref="B50:P50" si="16">AVERAGE(B40:B48)</f>
        <v>8.2962500000000006</v>
      </c>
      <c r="C50" s="368">
        <f t="shared" si="16"/>
        <v>7.87</v>
      </c>
      <c r="D50" s="368">
        <f t="shared" si="16"/>
        <v>11.405555555555557</v>
      </c>
      <c r="E50" s="368"/>
      <c r="F50" s="368">
        <f t="shared" si="16"/>
        <v>8.1655555555555548</v>
      </c>
      <c r="G50" s="368">
        <f t="shared" si="16"/>
        <v>8.2866666666666671</v>
      </c>
      <c r="H50" s="368">
        <f t="shared" si="16"/>
        <v>6.9755555555555553</v>
      </c>
      <c r="I50" s="368">
        <f t="shared" si="16"/>
        <v>7.7288888888888891</v>
      </c>
      <c r="J50" s="368">
        <f t="shared" si="16"/>
        <v>8.6666666666666661</v>
      </c>
      <c r="K50" s="368">
        <f t="shared" si="16"/>
        <v>5.4622222222222216</v>
      </c>
      <c r="L50" s="368">
        <f t="shared" si="16"/>
        <v>7.5244444444444447</v>
      </c>
      <c r="M50" s="368">
        <f t="shared" si="16"/>
        <v>6.7444444444444445</v>
      </c>
      <c r="N50" s="368"/>
      <c r="O50" s="368">
        <f t="shared" si="16"/>
        <v>9.5588888888888892</v>
      </c>
      <c r="P50" s="368">
        <f t="shared" si="16"/>
        <v>9.5488888888888894</v>
      </c>
      <c r="Q50" s="368"/>
      <c r="R50" s="368">
        <f>AVERAGE(R40:R48)</f>
        <v>8.1651495726495718</v>
      </c>
      <c r="S50" s="368">
        <f>AVERAGE(S40:S48)</f>
        <v>11.405555555555557</v>
      </c>
      <c r="T50" s="368">
        <f>AVERAGE(T40:T48)</f>
        <v>7.1837037037037037</v>
      </c>
    </row>
    <row r="51" spans="1:20" ht="15.5">
      <c r="A51" s="1194" t="s">
        <v>550</v>
      </c>
      <c r="B51" s="1195"/>
      <c r="C51" s="1195"/>
      <c r="D51" s="1195"/>
      <c r="E51" s="1195"/>
      <c r="F51" s="1195"/>
      <c r="G51" s="1195"/>
      <c r="H51" s="1195"/>
      <c r="I51" s="1195"/>
      <c r="J51" s="1195"/>
      <c r="K51" s="1195"/>
      <c r="L51" s="1195"/>
      <c r="M51" s="1195"/>
      <c r="N51" s="1195"/>
      <c r="O51" s="1195"/>
      <c r="P51" s="1195"/>
      <c r="Q51" s="1195"/>
      <c r="R51" s="1195"/>
      <c r="S51" s="1195"/>
      <c r="T51" s="1196"/>
    </row>
    <row r="52" spans="1:20" ht="14">
      <c r="A52" s="354" t="s">
        <v>350</v>
      </c>
      <c r="B52" s="368">
        <v>8.9600000000000009</v>
      </c>
      <c r="C52" s="368">
        <v>11.9</v>
      </c>
      <c r="D52" s="368">
        <v>11.49</v>
      </c>
      <c r="E52" s="368"/>
      <c r="F52" s="368">
        <v>8.2100000000000009</v>
      </c>
      <c r="G52" s="368">
        <v>8.75</v>
      </c>
      <c r="H52" s="368">
        <v>7.5</v>
      </c>
      <c r="I52" s="368">
        <v>8.7200000000000006</v>
      </c>
      <c r="J52" s="368">
        <v>9.33</v>
      </c>
      <c r="K52" s="368">
        <v>6.15</v>
      </c>
      <c r="L52" s="368">
        <v>8.31</v>
      </c>
      <c r="M52" s="368">
        <v>6.34</v>
      </c>
      <c r="N52" s="368"/>
      <c r="O52" s="368">
        <v>9.91</v>
      </c>
      <c r="P52" s="368">
        <v>9.8800000000000008</v>
      </c>
      <c r="Q52" s="368">
        <v>12.22</v>
      </c>
      <c r="R52" s="109">
        <f>AVERAGE(B52:Q52)</f>
        <v>9.1192857142857147</v>
      </c>
      <c r="S52" s="110">
        <f>MAX(B52:Q52)</f>
        <v>12.22</v>
      </c>
      <c r="T52" s="110">
        <f t="shared" si="0"/>
        <v>7.7249999999999988</v>
      </c>
    </row>
    <row r="53" spans="1:20" ht="14">
      <c r="A53" s="354" t="s">
        <v>157</v>
      </c>
      <c r="B53" s="368">
        <v>8.02</v>
      </c>
      <c r="C53" s="368">
        <v>11.46</v>
      </c>
      <c r="D53" s="368">
        <v>11.46</v>
      </c>
      <c r="E53" s="368"/>
      <c r="F53" s="368">
        <v>8.14</v>
      </c>
      <c r="G53" s="368">
        <v>8.65</v>
      </c>
      <c r="H53" s="368">
        <v>7.5</v>
      </c>
      <c r="I53" s="368">
        <v>8.6199999999999992</v>
      </c>
      <c r="J53" s="368">
        <v>9.4</v>
      </c>
      <c r="K53" s="368">
        <v>5.87</v>
      </c>
      <c r="L53" s="368">
        <v>8.36</v>
      </c>
      <c r="M53" s="368">
        <v>6.43</v>
      </c>
      <c r="N53" s="368"/>
      <c r="O53" s="368">
        <v>9.8699999999999992</v>
      </c>
      <c r="P53" s="368">
        <v>9.82</v>
      </c>
      <c r="Q53" s="368">
        <v>11.96</v>
      </c>
      <c r="R53" s="109">
        <f t="shared" ref="R53:R59" si="17">AVERAGE(B53:Q53)</f>
        <v>8.968571428571428</v>
      </c>
      <c r="S53" s="110">
        <f t="shared" ref="S53:S59" si="18">MAX(B53:Q53)</f>
        <v>11.96</v>
      </c>
      <c r="T53" s="110">
        <f t="shared" si="0"/>
        <v>7.6966666666666663</v>
      </c>
    </row>
    <row r="54" spans="1:20" ht="14">
      <c r="A54" s="354" t="s">
        <v>351</v>
      </c>
      <c r="B54" s="368">
        <v>8.26</v>
      </c>
      <c r="C54" s="368">
        <v>11</v>
      </c>
      <c r="D54" s="368">
        <v>11.37</v>
      </c>
      <c r="E54" s="368"/>
      <c r="F54" s="368">
        <v>8.14</v>
      </c>
      <c r="G54" s="368">
        <v>8.4600000000000009</v>
      </c>
      <c r="H54" s="368">
        <v>7.49</v>
      </c>
      <c r="I54" s="368">
        <v>8.6300000000000008</v>
      </c>
      <c r="J54" s="368">
        <v>9.36</v>
      </c>
      <c r="K54" s="368">
        <v>5.74</v>
      </c>
      <c r="L54" s="368">
        <v>8.0299999999999994</v>
      </c>
      <c r="M54" s="368">
        <v>6.44</v>
      </c>
      <c r="N54" s="368"/>
      <c r="O54" s="368">
        <v>9.5299999999999994</v>
      </c>
      <c r="P54" s="368">
        <v>9.9</v>
      </c>
      <c r="Q54" s="368">
        <v>11.89</v>
      </c>
      <c r="R54" s="109">
        <f t="shared" si="17"/>
        <v>8.8742857142857154</v>
      </c>
      <c r="S54" s="110">
        <f t="shared" si="18"/>
        <v>11.89</v>
      </c>
      <c r="T54" s="110">
        <f t="shared" si="0"/>
        <v>7.6149999999999993</v>
      </c>
    </row>
    <row r="55" spans="1:20" ht="14">
      <c r="A55" s="354" t="s">
        <v>158</v>
      </c>
      <c r="B55" s="368">
        <v>8.5</v>
      </c>
      <c r="C55" s="368">
        <v>10.63</v>
      </c>
      <c r="D55" s="368">
        <v>11.31</v>
      </c>
      <c r="E55" s="368"/>
      <c r="F55" s="368">
        <v>8.32</v>
      </c>
      <c r="G55" s="368">
        <v>8.52</v>
      </c>
      <c r="H55" s="368">
        <v>7.48</v>
      </c>
      <c r="I55" s="368">
        <v>8.36</v>
      </c>
      <c r="J55" s="368">
        <v>9.02</v>
      </c>
      <c r="K55" s="368">
        <v>5.83</v>
      </c>
      <c r="L55" s="368">
        <v>8.26</v>
      </c>
      <c r="M55" s="368">
        <v>6.37</v>
      </c>
      <c r="N55" s="368"/>
      <c r="O55" s="368">
        <v>9.57</v>
      </c>
      <c r="P55" s="368">
        <v>9.8800000000000008</v>
      </c>
      <c r="Q55" s="368">
        <v>11.77</v>
      </c>
      <c r="R55" s="109">
        <f t="shared" si="17"/>
        <v>8.8442857142857143</v>
      </c>
      <c r="S55" s="110">
        <f t="shared" si="18"/>
        <v>11.77</v>
      </c>
      <c r="T55" s="110">
        <f t="shared" si="0"/>
        <v>7.5533333333333319</v>
      </c>
    </row>
    <row r="56" spans="1:20" ht="14">
      <c r="A56" s="354" t="s">
        <v>352</v>
      </c>
      <c r="B56" s="368">
        <v>8.94</v>
      </c>
      <c r="C56" s="368">
        <v>10.87</v>
      </c>
      <c r="D56" s="368">
        <v>11.47</v>
      </c>
      <c r="E56" s="368"/>
      <c r="F56" s="368">
        <v>8.11</v>
      </c>
      <c r="G56" s="368">
        <v>8.5</v>
      </c>
      <c r="H56" s="368">
        <v>7.3</v>
      </c>
      <c r="I56" s="368">
        <v>8.2200000000000006</v>
      </c>
      <c r="J56" s="368">
        <v>9.1999999999999993</v>
      </c>
      <c r="K56" s="368">
        <v>5.66</v>
      </c>
      <c r="L56" s="368">
        <v>8.11</v>
      </c>
      <c r="M56" s="368">
        <v>6.22</v>
      </c>
      <c r="N56" s="368"/>
      <c r="O56" s="368">
        <v>9.57</v>
      </c>
      <c r="P56" s="368">
        <v>9.75</v>
      </c>
      <c r="Q56" s="368">
        <v>11.7</v>
      </c>
      <c r="R56" s="109">
        <f t="shared" si="17"/>
        <v>8.83</v>
      </c>
      <c r="S56" s="110">
        <f t="shared" si="18"/>
        <v>11.7</v>
      </c>
      <c r="T56" s="110">
        <f t="shared" si="0"/>
        <v>7.4516666666666653</v>
      </c>
    </row>
    <row r="57" spans="1:20" ht="14">
      <c r="A57" s="354" t="s">
        <v>159</v>
      </c>
      <c r="B57" s="368"/>
      <c r="C57" s="368"/>
      <c r="D57" s="368">
        <v>11.65</v>
      </c>
      <c r="E57" s="368"/>
      <c r="F57" s="368">
        <v>8.06</v>
      </c>
      <c r="G57" s="368"/>
      <c r="H57" s="368">
        <v>7.28</v>
      </c>
      <c r="I57" s="368">
        <v>8.33</v>
      </c>
      <c r="J57" s="368">
        <v>9.0500000000000007</v>
      </c>
      <c r="K57" s="368"/>
      <c r="L57" s="368"/>
      <c r="M57" s="368">
        <v>6.31</v>
      </c>
      <c r="N57" s="368"/>
      <c r="O57" s="368"/>
      <c r="P57" s="368">
        <v>9.8000000000000007</v>
      </c>
      <c r="Q57" s="368">
        <v>11.78</v>
      </c>
      <c r="R57" s="109">
        <f t="shared" si="17"/>
        <v>9.0325000000000006</v>
      </c>
      <c r="S57" s="110">
        <f t="shared" si="18"/>
        <v>11.78</v>
      </c>
      <c r="T57" s="110">
        <f t="shared" si="0"/>
        <v>7.7424999999999997</v>
      </c>
    </row>
    <row r="58" spans="1:20" ht="14">
      <c r="A58" s="354" t="s">
        <v>353</v>
      </c>
      <c r="B58" s="368"/>
      <c r="C58" s="368"/>
      <c r="D58" s="368">
        <v>11.55</v>
      </c>
      <c r="E58" s="368"/>
      <c r="F58" s="368"/>
      <c r="G58" s="368"/>
      <c r="H58" s="368">
        <v>6.3</v>
      </c>
      <c r="I58" s="368">
        <v>8.26</v>
      </c>
      <c r="J58" s="368">
        <v>9.1</v>
      </c>
      <c r="K58" s="368"/>
      <c r="L58" s="368"/>
      <c r="M58" s="368">
        <v>6.42</v>
      </c>
      <c r="N58" s="368"/>
      <c r="O58" s="368"/>
      <c r="P58" s="368">
        <v>9.86</v>
      </c>
      <c r="Q58" s="368"/>
      <c r="R58" s="109">
        <f t="shared" si="17"/>
        <v>8.581666666666667</v>
      </c>
      <c r="S58" s="110">
        <f t="shared" si="18"/>
        <v>11.55</v>
      </c>
      <c r="T58" s="110">
        <f t="shared" si="0"/>
        <v>7.52</v>
      </c>
    </row>
    <row r="59" spans="1:20" ht="14">
      <c r="A59" s="354" t="s">
        <v>160</v>
      </c>
      <c r="B59" s="368"/>
      <c r="C59" s="368"/>
      <c r="D59" s="368">
        <v>11.63</v>
      </c>
      <c r="E59" s="157"/>
      <c r="F59" s="157"/>
      <c r="G59" s="157"/>
      <c r="H59" s="157">
        <v>5.86</v>
      </c>
      <c r="I59" s="157">
        <v>7.83</v>
      </c>
      <c r="J59" s="157">
        <v>8.8000000000000007</v>
      </c>
      <c r="K59" s="157"/>
      <c r="L59" s="157"/>
      <c r="M59" s="157">
        <v>6.32</v>
      </c>
      <c r="N59" s="157"/>
      <c r="O59" s="157"/>
      <c r="P59" s="157">
        <v>9.6300000000000008</v>
      </c>
      <c r="Q59" s="157"/>
      <c r="R59" s="109">
        <f t="shared" si="17"/>
        <v>8.3450000000000006</v>
      </c>
      <c r="S59" s="110">
        <f t="shared" si="18"/>
        <v>11.63</v>
      </c>
      <c r="T59" s="110">
        <f t="shared" si="0"/>
        <v>7.2025000000000006</v>
      </c>
    </row>
    <row r="60" spans="1:20">
      <c r="A60" s="362" t="s">
        <v>568</v>
      </c>
      <c r="B60" s="368">
        <f>AVERAGE(B52:B55)</f>
        <v>8.4350000000000005</v>
      </c>
      <c r="C60" s="368">
        <f t="shared" ref="C60:F60" si="19">AVERAGE(C52:C55)</f>
        <v>11.2475</v>
      </c>
      <c r="D60" s="368">
        <f t="shared" si="19"/>
        <v>11.407500000000001</v>
      </c>
      <c r="E60" s="368"/>
      <c r="F60" s="368">
        <f t="shared" si="19"/>
        <v>8.2025000000000006</v>
      </c>
      <c r="G60" s="368">
        <f t="shared" ref="G60:M60" si="20">AVERAGE(G52:G55)</f>
        <v>8.5949999999999989</v>
      </c>
      <c r="H60" s="368">
        <f t="shared" si="20"/>
        <v>7.4925000000000006</v>
      </c>
      <c r="I60" s="368">
        <f t="shared" si="20"/>
        <v>8.5824999999999996</v>
      </c>
      <c r="J60" s="368">
        <f t="shared" si="20"/>
        <v>9.2774999999999999</v>
      </c>
      <c r="K60" s="368">
        <f t="shared" si="20"/>
        <v>5.8974999999999991</v>
      </c>
      <c r="L60" s="368">
        <f t="shared" si="20"/>
        <v>8.24</v>
      </c>
      <c r="M60" s="368">
        <f t="shared" si="20"/>
        <v>6.3950000000000005</v>
      </c>
      <c r="N60" s="368"/>
      <c r="O60" s="368">
        <f t="shared" ref="O60:T60" si="21">AVERAGE(O52:O55)</f>
        <v>9.7200000000000006</v>
      </c>
      <c r="P60" s="368">
        <f t="shared" si="21"/>
        <v>9.870000000000001</v>
      </c>
      <c r="Q60" s="368">
        <f t="shared" si="21"/>
        <v>11.96</v>
      </c>
      <c r="R60" s="368">
        <f t="shared" si="21"/>
        <v>8.9516071428571422</v>
      </c>
      <c r="S60" s="368">
        <f t="shared" si="21"/>
        <v>11.96</v>
      </c>
      <c r="T60" s="368">
        <f t="shared" si="21"/>
        <v>7.6474999999999991</v>
      </c>
    </row>
    <row r="61" spans="1:20">
      <c r="A61" s="354" t="s">
        <v>562</v>
      </c>
      <c r="B61" s="368">
        <f t="shared" ref="B61:T61" si="22">AVERAGE(B52:B59)</f>
        <v>8.5359999999999996</v>
      </c>
      <c r="C61" s="368">
        <f t="shared" si="22"/>
        <v>11.172000000000001</v>
      </c>
      <c r="D61" s="368">
        <f t="shared" si="22"/>
        <v>11.491249999999999</v>
      </c>
      <c r="E61" s="368"/>
      <c r="F61" s="368">
        <f t="shared" si="22"/>
        <v>8.163333333333334</v>
      </c>
      <c r="G61" s="368">
        <f t="shared" si="22"/>
        <v>8.5759999999999987</v>
      </c>
      <c r="H61" s="368">
        <f t="shared" si="22"/>
        <v>7.0887500000000001</v>
      </c>
      <c r="I61" s="368">
        <f t="shared" si="22"/>
        <v>8.3712499999999999</v>
      </c>
      <c r="J61" s="368">
        <f t="shared" si="22"/>
        <v>9.1574999999999989</v>
      </c>
      <c r="K61" s="368">
        <f t="shared" si="22"/>
        <v>5.85</v>
      </c>
      <c r="L61" s="368">
        <f t="shared" si="22"/>
        <v>8.2140000000000004</v>
      </c>
      <c r="M61" s="368">
        <f t="shared" si="22"/>
        <v>6.3562500000000002</v>
      </c>
      <c r="N61" s="368"/>
      <c r="O61" s="368">
        <f t="shared" si="22"/>
        <v>9.6900000000000013</v>
      </c>
      <c r="P61" s="368">
        <f t="shared" si="22"/>
        <v>9.8149999999999995</v>
      </c>
      <c r="Q61" s="368">
        <f t="shared" si="22"/>
        <v>11.886666666666668</v>
      </c>
      <c r="R61" s="368">
        <f t="shared" si="22"/>
        <v>8.8244494047619035</v>
      </c>
      <c r="S61" s="368">
        <f t="shared" si="22"/>
        <v>11.8125</v>
      </c>
      <c r="T61" s="368">
        <f t="shared" si="22"/>
        <v>7.5633333333333326</v>
      </c>
    </row>
    <row r="62" spans="1:20" ht="15.5">
      <c r="A62" s="1194" t="s">
        <v>551</v>
      </c>
      <c r="B62" s="1195"/>
      <c r="C62" s="1195"/>
      <c r="D62" s="1195"/>
      <c r="E62" s="1195"/>
      <c r="F62" s="1195"/>
      <c r="G62" s="1195"/>
      <c r="H62" s="1195"/>
      <c r="I62" s="1195"/>
      <c r="J62" s="1195"/>
      <c r="K62" s="1195"/>
      <c r="L62" s="1195"/>
      <c r="M62" s="1195"/>
      <c r="N62" s="1195"/>
      <c r="O62" s="1195"/>
      <c r="P62" s="1195"/>
      <c r="Q62" s="1195"/>
      <c r="R62" s="1195"/>
      <c r="S62" s="1195"/>
      <c r="T62" s="1196"/>
    </row>
    <row r="63" spans="1:20" ht="14">
      <c r="A63" s="354" t="s">
        <v>350</v>
      </c>
      <c r="B63" s="368">
        <v>8.99</v>
      </c>
      <c r="C63" s="368">
        <v>10.55</v>
      </c>
      <c r="D63" s="368">
        <v>12.55</v>
      </c>
      <c r="E63" s="368"/>
      <c r="F63" s="368">
        <v>8.49</v>
      </c>
      <c r="G63" s="368">
        <v>8.57</v>
      </c>
      <c r="H63" s="368">
        <v>7.62</v>
      </c>
      <c r="I63" s="368">
        <v>9.7899999999999991</v>
      </c>
      <c r="J63" s="368">
        <v>10.210000000000001</v>
      </c>
      <c r="K63" s="368">
        <v>6</v>
      </c>
      <c r="L63" s="368">
        <v>8.9</v>
      </c>
      <c r="M63" s="368">
        <v>6.19</v>
      </c>
      <c r="N63" s="368"/>
      <c r="O63" s="368">
        <v>10.039999999999999</v>
      </c>
      <c r="P63" s="368">
        <v>9.76</v>
      </c>
      <c r="Q63" s="368">
        <v>12.7</v>
      </c>
      <c r="R63" s="109">
        <f>AVERAGE(B63:Q63)</f>
        <v>9.3114285714285732</v>
      </c>
      <c r="S63" s="110">
        <f>MAX(B63:Q63)</f>
        <v>12.7</v>
      </c>
      <c r="T63" s="110">
        <f t="shared" si="0"/>
        <v>8.1183333333333341</v>
      </c>
    </row>
    <row r="64" spans="1:20" ht="14">
      <c r="A64" s="354" t="s">
        <v>157</v>
      </c>
      <c r="B64" s="368">
        <v>8.9</v>
      </c>
      <c r="C64" s="368">
        <v>10.74</v>
      </c>
      <c r="D64" s="368">
        <v>12.53</v>
      </c>
      <c r="E64" s="368"/>
      <c r="F64" s="368">
        <v>8.36</v>
      </c>
      <c r="G64" s="368">
        <v>8.52</v>
      </c>
      <c r="H64" s="368">
        <v>7.37</v>
      </c>
      <c r="I64" s="368">
        <v>9.81</v>
      </c>
      <c r="J64" s="368">
        <v>10.1</v>
      </c>
      <c r="K64" s="368">
        <v>5.92</v>
      </c>
      <c r="L64" s="368">
        <v>8.6199999999999992</v>
      </c>
      <c r="M64" s="368">
        <v>6.32</v>
      </c>
      <c r="N64" s="368"/>
      <c r="O64" s="368">
        <v>9.92</v>
      </c>
      <c r="P64" s="368">
        <v>9.75</v>
      </c>
      <c r="Q64" s="368">
        <v>12.3</v>
      </c>
      <c r="R64" s="109">
        <f t="shared" ref="R64:R72" si="23">AVERAGE(B64:Q64)</f>
        <v>9.225714285714286</v>
      </c>
      <c r="S64" s="110">
        <f t="shared" ref="S64:S72" si="24">MAX(B64:Q64)</f>
        <v>12.53</v>
      </c>
      <c r="T64" s="110">
        <f t="shared" si="0"/>
        <v>8.0233333333333334</v>
      </c>
    </row>
    <row r="65" spans="1:20" ht="14">
      <c r="A65" s="354" t="s">
        <v>351</v>
      </c>
      <c r="B65" s="368">
        <v>8.93</v>
      </c>
      <c r="C65" s="368">
        <v>10.43</v>
      </c>
      <c r="D65" s="368">
        <v>12.25</v>
      </c>
      <c r="E65" s="368"/>
      <c r="F65" s="368">
        <v>8.31</v>
      </c>
      <c r="G65" s="368">
        <v>8.4700000000000006</v>
      </c>
      <c r="H65" s="368">
        <v>7.35</v>
      </c>
      <c r="I65" s="368">
        <v>9.3800000000000008</v>
      </c>
      <c r="J65" s="368">
        <v>10.15</v>
      </c>
      <c r="K65" s="368">
        <v>6.11</v>
      </c>
      <c r="L65" s="368">
        <v>8.1999999999999993</v>
      </c>
      <c r="M65" s="368">
        <v>6.28</v>
      </c>
      <c r="N65" s="368"/>
      <c r="O65" s="368">
        <v>9.9600000000000009</v>
      </c>
      <c r="P65" s="368">
        <v>9.65</v>
      </c>
      <c r="Q65" s="368">
        <v>12.11</v>
      </c>
      <c r="R65" s="109">
        <f t="shared" si="23"/>
        <v>9.1128571428571448</v>
      </c>
      <c r="S65" s="110">
        <f t="shared" si="24"/>
        <v>12.25</v>
      </c>
      <c r="T65" s="110">
        <f t="shared" si="0"/>
        <v>7.9116666666666662</v>
      </c>
    </row>
    <row r="66" spans="1:20" ht="14">
      <c r="A66" s="354" t="s">
        <v>158</v>
      </c>
      <c r="B66" s="368">
        <v>8.77</v>
      </c>
      <c r="C66" s="368">
        <v>10.31</v>
      </c>
      <c r="D66" s="368">
        <v>12.01</v>
      </c>
      <c r="E66" s="368"/>
      <c r="F66" s="368">
        <v>8.27</v>
      </c>
      <c r="G66" s="368">
        <v>7.8</v>
      </c>
      <c r="H66" s="368">
        <v>7.28</v>
      </c>
      <c r="I66" s="368">
        <v>9.32</v>
      </c>
      <c r="J66" s="368">
        <v>10.050000000000001</v>
      </c>
      <c r="K66" s="368">
        <v>5.85</v>
      </c>
      <c r="L66" s="368">
        <v>8.17</v>
      </c>
      <c r="M66" s="368">
        <v>6.21</v>
      </c>
      <c r="N66" s="368"/>
      <c r="O66" s="368">
        <v>9.9600000000000009</v>
      </c>
      <c r="P66" s="368">
        <v>9.68</v>
      </c>
      <c r="Q66" s="368">
        <v>11.9</v>
      </c>
      <c r="R66" s="109">
        <f t="shared" si="23"/>
        <v>8.9700000000000006</v>
      </c>
      <c r="S66" s="110">
        <f t="shared" si="24"/>
        <v>12.01</v>
      </c>
      <c r="T66" s="110">
        <f t="shared" si="0"/>
        <v>7.8133333333333335</v>
      </c>
    </row>
    <row r="67" spans="1:20" ht="14">
      <c r="A67" s="354" t="s">
        <v>352</v>
      </c>
      <c r="B67" s="368">
        <v>8.6300000000000008</v>
      </c>
      <c r="C67" s="368">
        <v>10.14</v>
      </c>
      <c r="D67" s="368">
        <v>11.8</v>
      </c>
      <c r="E67" s="368"/>
      <c r="F67" s="368">
        <v>8.33</v>
      </c>
      <c r="G67" s="368">
        <v>7.7</v>
      </c>
      <c r="H67" s="368">
        <v>7.16</v>
      </c>
      <c r="I67" s="368">
        <v>8.86</v>
      </c>
      <c r="J67" s="368">
        <v>9.91</v>
      </c>
      <c r="K67" s="368">
        <v>5.93</v>
      </c>
      <c r="L67" s="368">
        <v>7.75</v>
      </c>
      <c r="M67" s="368">
        <v>6.14</v>
      </c>
      <c r="N67" s="368"/>
      <c r="O67" s="368">
        <v>9.7100000000000009</v>
      </c>
      <c r="P67" s="368">
        <v>9.65</v>
      </c>
      <c r="Q67" s="368">
        <v>11.73</v>
      </c>
      <c r="R67" s="109">
        <f t="shared" si="23"/>
        <v>8.8171428571428585</v>
      </c>
      <c r="S67" s="110">
        <f t="shared" si="24"/>
        <v>11.8</v>
      </c>
      <c r="T67" s="110">
        <f t="shared" ref="T67:T72" si="25">AVERAGE(H67:M67)</f>
        <v>7.625</v>
      </c>
    </row>
    <row r="68" spans="1:20" ht="14">
      <c r="A68" s="354" t="s">
        <v>159</v>
      </c>
      <c r="B68" s="368">
        <v>7.27</v>
      </c>
      <c r="C68" s="368">
        <v>10.029999999999999</v>
      </c>
      <c r="D68" s="368">
        <v>11.22</v>
      </c>
      <c r="E68" s="368"/>
      <c r="F68" s="368">
        <v>8.33</v>
      </c>
      <c r="G68" s="368">
        <v>7.71</v>
      </c>
      <c r="H68" s="368">
        <v>7.07</v>
      </c>
      <c r="I68" s="368">
        <v>8.76</v>
      </c>
      <c r="J68" s="368">
        <v>9.85</v>
      </c>
      <c r="K68" s="368">
        <v>5.95</v>
      </c>
      <c r="L68" s="368">
        <v>7.31</v>
      </c>
      <c r="M68" s="368">
        <v>6.11</v>
      </c>
      <c r="N68" s="368"/>
      <c r="O68" s="368">
        <v>9.5399999999999991</v>
      </c>
      <c r="P68" s="368">
        <v>9.69</v>
      </c>
      <c r="Q68" s="368">
        <v>11.62</v>
      </c>
      <c r="R68" s="109">
        <f t="shared" si="23"/>
        <v>8.6042857142857141</v>
      </c>
      <c r="S68" s="110">
        <f t="shared" si="24"/>
        <v>11.62</v>
      </c>
      <c r="T68" s="110">
        <f t="shared" si="25"/>
        <v>7.5083333333333329</v>
      </c>
    </row>
    <row r="69" spans="1:20" ht="14">
      <c r="A69" s="354" t="s">
        <v>353</v>
      </c>
      <c r="B69" s="368">
        <v>7.38</v>
      </c>
      <c r="C69" s="368">
        <v>9.83</v>
      </c>
      <c r="D69" s="368">
        <v>11.17</v>
      </c>
      <c r="E69" s="368"/>
      <c r="F69" s="368">
        <v>8.0399999999999991</v>
      </c>
      <c r="G69" s="368">
        <v>7.76</v>
      </c>
      <c r="H69" s="368">
        <v>6.68</v>
      </c>
      <c r="I69" s="368">
        <v>8.66</v>
      </c>
      <c r="J69" s="368">
        <v>9.7899999999999991</v>
      </c>
      <c r="K69" s="368">
        <v>5.82</v>
      </c>
      <c r="L69" s="368">
        <v>7.35</v>
      </c>
      <c r="M69" s="368">
        <v>5.96</v>
      </c>
      <c r="N69" s="368"/>
      <c r="O69" s="368">
        <v>9.59</v>
      </c>
      <c r="P69" s="368">
        <v>9.6300000000000008</v>
      </c>
      <c r="Q69" s="368">
        <v>11.06</v>
      </c>
      <c r="R69" s="109">
        <f t="shared" si="23"/>
        <v>8.4799999999999986</v>
      </c>
      <c r="S69" s="110">
        <f t="shared" si="24"/>
        <v>11.17</v>
      </c>
      <c r="T69" s="110">
        <f t="shared" si="25"/>
        <v>7.376666666666666</v>
      </c>
    </row>
    <row r="70" spans="1:20" ht="14">
      <c r="A70" s="354" t="s">
        <v>160</v>
      </c>
      <c r="B70" s="368">
        <v>7.2</v>
      </c>
      <c r="C70" s="368">
        <v>8.07</v>
      </c>
      <c r="D70" s="368">
        <v>11.39</v>
      </c>
      <c r="E70" s="368"/>
      <c r="F70" s="368">
        <v>7.69</v>
      </c>
      <c r="G70" s="368">
        <v>7.66</v>
      </c>
      <c r="H70" s="368">
        <v>6.81</v>
      </c>
      <c r="I70" s="368">
        <v>8.77</v>
      </c>
      <c r="J70" s="368">
        <v>9.49</v>
      </c>
      <c r="K70" s="368">
        <v>5.65</v>
      </c>
      <c r="L70" s="368">
        <v>7.36</v>
      </c>
      <c r="M70" s="368">
        <v>5.71</v>
      </c>
      <c r="N70" s="368"/>
      <c r="O70" s="368">
        <v>9.5</v>
      </c>
      <c r="P70" s="368">
        <v>9.5399999999999991</v>
      </c>
      <c r="Q70" s="368">
        <v>10.64</v>
      </c>
      <c r="R70" s="109">
        <f t="shared" si="23"/>
        <v>8.2485714285714291</v>
      </c>
      <c r="S70" s="110">
        <f t="shared" si="24"/>
        <v>11.39</v>
      </c>
      <c r="T70" s="110">
        <f t="shared" si="25"/>
        <v>7.2983333333333329</v>
      </c>
    </row>
    <row r="71" spans="1:20" ht="14">
      <c r="A71" s="354" t="s">
        <v>161</v>
      </c>
      <c r="B71" s="368">
        <v>6.55</v>
      </c>
      <c r="C71" s="368">
        <v>4.87</v>
      </c>
      <c r="D71" s="368">
        <v>11.43</v>
      </c>
      <c r="E71" s="368"/>
      <c r="F71" s="368">
        <v>7.26</v>
      </c>
      <c r="G71" s="368">
        <v>7.58</v>
      </c>
      <c r="H71" s="368">
        <v>6.53</v>
      </c>
      <c r="I71" s="368">
        <v>8.02</v>
      </c>
      <c r="J71" s="368">
        <v>8.92</v>
      </c>
      <c r="K71" s="368">
        <v>5.53</v>
      </c>
      <c r="L71" s="368">
        <v>7.72</v>
      </c>
      <c r="M71" s="368">
        <v>5.47</v>
      </c>
      <c r="N71" s="368"/>
      <c r="O71" s="368">
        <v>9.5500000000000007</v>
      </c>
      <c r="P71" s="368">
        <v>9.61</v>
      </c>
      <c r="Q71" s="368">
        <v>9.81</v>
      </c>
      <c r="R71" s="109">
        <f t="shared" si="23"/>
        <v>7.7749999999999995</v>
      </c>
      <c r="S71" s="110">
        <f t="shared" si="24"/>
        <v>11.43</v>
      </c>
      <c r="T71" s="110">
        <f t="shared" si="25"/>
        <v>7.0316666666666663</v>
      </c>
    </row>
    <row r="72" spans="1:20" ht="14">
      <c r="A72" s="354" t="s">
        <v>162</v>
      </c>
      <c r="B72" s="368">
        <v>5.0199999999999996</v>
      </c>
      <c r="C72" s="368">
        <v>3.57</v>
      </c>
      <c r="D72" s="368">
        <v>9.6</v>
      </c>
      <c r="E72" s="157"/>
      <c r="F72" s="368">
        <v>5.62</v>
      </c>
      <c r="G72" s="368">
        <v>7.37</v>
      </c>
      <c r="H72" s="368">
        <v>6.13</v>
      </c>
      <c r="I72" s="368">
        <v>8.1199999999999992</v>
      </c>
      <c r="J72" s="368">
        <v>7.86</v>
      </c>
      <c r="K72" s="368">
        <v>5.5</v>
      </c>
      <c r="L72" s="368">
        <v>7.44</v>
      </c>
      <c r="M72" s="368">
        <v>5.49</v>
      </c>
      <c r="N72" s="368"/>
      <c r="O72" s="368">
        <v>9.27</v>
      </c>
      <c r="P72" s="368">
        <v>9.9499999999999993</v>
      </c>
      <c r="Q72" s="368">
        <v>9.82</v>
      </c>
      <c r="R72" s="109">
        <f t="shared" si="23"/>
        <v>7.1971428571428566</v>
      </c>
      <c r="S72" s="110">
        <f t="shared" si="24"/>
        <v>9.9499999999999993</v>
      </c>
      <c r="T72" s="110">
        <f t="shared" si="25"/>
        <v>6.7566666666666668</v>
      </c>
    </row>
    <row r="73" spans="1:20">
      <c r="A73" s="362" t="s">
        <v>568</v>
      </c>
      <c r="B73" s="368">
        <f>AVERAGE(B63:B66)</f>
        <v>8.8975000000000009</v>
      </c>
      <c r="C73" s="368">
        <f t="shared" ref="C73:M73" si="26">AVERAGE(C63:C66)</f>
        <v>10.5075</v>
      </c>
      <c r="D73" s="368">
        <f t="shared" si="26"/>
        <v>12.334999999999999</v>
      </c>
      <c r="E73" s="368"/>
      <c r="F73" s="368">
        <f t="shared" si="26"/>
        <v>8.3575000000000017</v>
      </c>
      <c r="G73" s="368">
        <f t="shared" si="26"/>
        <v>8.34</v>
      </c>
      <c r="H73" s="368">
        <f t="shared" si="26"/>
        <v>7.4050000000000002</v>
      </c>
      <c r="I73" s="368">
        <f t="shared" si="26"/>
        <v>9.5750000000000011</v>
      </c>
      <c r="J73" s="368">
        <f t="shared" si="26"/>
        <v>10.127500000000001</v>
      </c>
      <c r="K73" s="368">
        <f t="shared" si="26"/>
        <v>5.9700000000000006</v>
      </c>
      <c r="L73" s="368">
        <f t="shared" si="26"/>
        <v>8.4725000000000001</v>
      </c>
      <c r="M73" s="368">
        <f t="shared" si="26"/>
        <v>6.2500000000000009</v>
      </c>
      <c r="N73" s="368"/>
      <c r="O73" s="368">
        <f>AVERAGE(O63:O66)</f>
        <v>9.9700000000000006</v>
      </c>
      <c r="P73" s="368">
        <f>AVERAGE(P63:P66)</f>
        <v>9.7099999999999991</v>
      </c>
      <c r="Q73" s="368">
        <f>AVERAGE(Q63:Q66)</f>
        <v>12.2525</v>
      </c>
      <c r="R73" s="368">
        <f t="shared" ref="R73:T73" si="27">AVERAGE(R63:R66)</f>
        <v>9.1550000000000011</v>
      </c>
      <c r="S73" s="368">
        <f t="shared" si="27"/>
        <v>12.372499999999999</v>
      </c>
      <c r="T73" s="368">
        <f t="shared" si="27"/>
        <v>7.9666666666666659</v>
      </c>
    </row>
    <row r="74" spans="1:20">
      <c r="A74" s="354" t="s">
        <v>562</v>
      </c>
      <c r="B74" s="368">
        <f t="shared" ref="B74:O74" si="28">AVERAGE(B63:B72)</f>
        <v>7.7640000000000002</v>
      </c>
      <c r="C74" s="368">
        <f t="shared" si="28"/>
        <v>8.8539999999999992</v>
      </c>
      <c r="D74" s="368">
        <f t="shared" si="28"/>
        <v>11.594999999999999</v>
      </c>
      <c r="E74" s="368"/>
      <c r="F74" s="368">
        <f t="shared" si="28"/>
        <v>7.8700000000000019</v>
      </c>
      <c r="G74" s="368">
        <f t="shared" si="28"/>
        <v>7.9139999999999997</v>
      </c>
      <c r="H74" s="368">
        <f t="shared" si="28"/>
        <v>7</v>
      </c>
      <c r="I74" s="368">
        <f t="shared" si="28"/>
        <v>8.9489999999999998</v>
      </c>
      <c r="J74" s="368">
        <f t="shared" si="28"/>
        <v>9.6329999999999991</v>
      </c>
      <c r="K74" s="368">
        <f t="shared" si="28"/>
        <v>5.8260000000000005</v>
      </c>
      <c r="L74" s="368">
        <f t="shared" si="28"/>
        <v>7.8820000000000006</v>
      </c>
      <c r="M74" s="368">
        <f t="shared" si="28"/>
        <v>5.9880000000000013</v>
      </c>
      <c r="N74" s="368"/>
      <c r="O74" s="368">
        <f t="shared" si="28"/>
        <v>9.7039999999999988</v>
      </c>
      <c r="P74" s="368">
        <f>AVERAGE(P63:P72)</f>
        <v>9.6909999999999989</v>
      </c>
      <c r="Q74" s="368">
        <f>AVERAGE(Q63:Q72)</f>
        <v>11.369</v>
      </c>
      <c r="R74" s="368">
        <f>AVERAGE(R63:R72)</f>
        <v>8.5742142857142856</v>
      </c>
      <c r="S74" s="368">
        <f>AVERAGE(S63:S72)</f>
        <v>11.685</v>
      </c>
      <c r="T74" s="368">
        <f>AVERAGE(T63:T72)</f>
        <v>7.5463333333333313</v>
      </c>
    </row>
  </sheetData>
  <mergeCells count="6">
    <mergeCell ref="A62:T62"/>
    <mergeCell ref="A24:T24"/>
    <mergeCell ref="A39:T39"/>
    <mergeCell ref="A51:T51"/>
    <mergeCell ref="A1:Q1"/>
    <mergeCell ref="A6:T6"/>
  </mergeCells>
  <phoneticPr fontId="0" type="noConversion"/>
  <pageMargins left="0.75" right="0.75" top="1" bottom="1" header="0.5" footer="0.5"/>
  <pageSetup scale="56"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1:AJ10"/>
  <sheetViews>
    <sheetView topLeftCell="H1" workbookViewId="0">
      <selection activeCell="S1" sqref="S1:AJ5"/>
    </sheetView>
  </sheetViews>
  <sheetFormatPr defaultRowHeight="12.5"/>
  <cols>
    <col min="1" max="1" width="13.36328125" bestFit="1" customWidth="1"/>
    <col min="2" max="4" width="4.6328125" bestFit="1" customWidth="1"/>
    <col min="5" max="5" width="5.54296875" bestFit="1" customWidth="1"/>
    <col min="6" max="7" width="6.08984375" bestFit="1" customWidth="1"/>
    <col min="8" max="9" width="5.36328125" customWidth="1"/>
    <col min="10" max="12" width="5.453125" customWidth="1"/>
    <col min="13" max="13" width="5.36328125" customWidth="1"/>
    <col min="14" max="15" width="5.6328125" customWidth="1"/>
    <col min="16" max="16" width="5.54296875" customWidth="1"/>
    <col min="17" max="17" width="6" customWidth="1"/>
    <col min="19" max="19" width="30.6328125" bestFit="1" customWidth="1"/>
    <col min="20" max="20" width="4.54296875" bestFit="1" customWidth="1"/>
    <col min="21" max="22" width="5.54296875" bestFit="1" customWidth="1"/>
    <col min="23" max="27" width="4.54296875" bestFit="1" customWidth="1"/>
    <col min="28" max="28" width="4.08984375" hidden="1" customWidth="1"/>
    <col min="29" max="29" width="4.54296875" bestFit="1" customWidth="1"/>
    <col min="30" max="30" width="4.54296875" customWidth="1"/>
    <col min="31" max="33" width="4.54296875" bestFit="1" customWidth="1"/>
    <col min="34" max="34" width="4.54296875" customWidth="1"/>
    <col min="35" max="36" width="4.54296875" bestFit="1" customWidth="1"/>
  </cols>
  <sheetData>
    <row r="1" spans="1:36">
      <c r="A1" s="1205" t="s">
        <v>225</v>
      </c>
      <c r="B1" s="1203" t="s">
        <v>1811</v>
      </c>
      <c r="C1" s="1204"/>
      <c r="D1" s="1204"/>
      <c r="E1" s="1204"/>
      <c r="F1" s="1204"/>
      <c r="G1" s="1204"/>
      <c r="H1" s="1204"/>
      <c r="I1" s="1204"/>
      <c r="J1" s="1204"/>
      <c r="K1" s="1204"/>
      <c r="L1" s="1204"/>
      <c r="M1" s="1204"/>
      <c r="N1" s="1204"/>
      <c r="O1" s="1204"/>
      <c r="P1" s="1204"/>
      <c r="Q1" s="1204"/>
      <c r="S1" s="1206" t="s">
        <v>227</v>
      </c>
      <c r="T1" s="1207" t="s">
        <v>1812</v>
      </c>
      <c r="U1" s="1208"/>
      <c r="V1" s="1208"/>
      <c r="W1" s="1208"/>
      <c r="X1" s="1208"/>
      <c r="Y1" s="1208"/>
      <c r="Z1" s="1208"/>
      <c r="AA1" s="1208"/>
      <c r="AB1" s="1208"/>
      <c r="AC1" s="1208"/>
      <c r="AD1" s="1208"/>
      <c r="AE1" s="1208"/>
      <c r="AF1" s="1208"/>
      <c r="AG1" s="1208"/>
      <c r="AH1" s="1208"/>
      <c r="AI1" s="1208"/>
      <c r="AJ1" s="1209"/>
    </row>
    <row r="2" spans="1:36">
      <c r="A2" s="1205"/>
      <c r="B2" s="137" t="s">
        <v>69</v>
      </c>
      <c r="C2" s="137" t="s">
        <v>70</v>
      </c>
      <c r="D2" s="137" t="s">
        <v>71</v>
      </c>
      <c r="E2" s="137" t="s">
        <v>72</v>
      </c>
      <c r="F2" s="137" t="s">
        <v>73</v>
      </c>
      <c r="G2" s="137" t="s">
        <v>74</v>
      </c>
      <c r="H2" s="137" t="s">
        <v>75</v>
      </c>
      <c r="I2" s="139" t="s">
        <v>75</v>
      </c>
      <c r="J2" s="137" t="s">
        <v>76</v>
      </c>
      <c r="K2" s="139" t="s">
        <v>76</v>
      </c>
      <c r="L2" s="139" t="s">
        <v>77</v>
      </c>
      <c r="M2" s="137" t="s">
        <v>77</v>
      </c>
      <c r="N2" s="137" t="s">
        <v>78</v>
      </c>
      <c r="O2" s="139" t="s">
        <v>78</v>
      </c>
      <c r="P2" s="137" t="s">
        <v>79</v>
      </c>
      <c r="Q2" s="137" t="s">
        <v>80</v>
      </c>
      <c r="S2" s="1206"/>
      <c r="T2" s="81" t="s">
        <v>69</v>
      </c>
      <c r="U2" s="81" t="s">
        <v>70</v>
      </c>
      <c r="V2" s="81" t="s">
        <v>71</v>
      </c>
      <c r="W2" s="81" t="s">
        <v>72</v>
      </c>
      <c r="X2" s="81" t="s">
        <v>73</v>
      </c>
      <c r="Y2" s="81" t="s">
        <v>74</v>
      </c>
      <c r="Z2" s="81" t="s">
        <v>75</v>
      </c>
      <c r="AA2" s="81" t="s">
        <v>75</v>
      </c>
      <c r="AB2" s="81" t="s">
        <v>76</v>
      </c>
      <c r="AC2" s="81" t="s">
        <v>76</v>
      </c>
      <c r="AD2" s="81" t="s">
        <v>76</v>
      </c>
      <c r="AE2" s="81" t="s">
        <v>77</v>
      </c>
      <c r="AF2" s="81" t="s">
        <v>77</v>
      </c>
      <c r="AG2" s="81" t="s">
        <v>78</v>
      </c>
      <c r="AH2" s="81" t="s">
        <v>78</v>
      </c>
      <c r="AI2" s="81" t="s">
        <v>79</v>
      </c>
      <c r="AJ2" s="81" t="s">
        <v>80</v>
      </c>
    </row>
    <row r="3" spans="1:36">
      <c r="A3" s="269" t="s">
        <v>233</v>
      </c>
      <c r="B3" s="1210" t="s">
        <v>231</v>
      </c>
      <c r="C3" s="1211"/>
      <c r="D3" s="1212"/>
      <c r="E3" s="1213" t="s">
        <v>232</v>
      </c>
      <c r="F3" s="1214"/>
      <c r="G3" s="1214"/>
      <c r="H3" s="1214"/>
      <c r="I3" s="1214"/>
      <c r="J3" s="1214"/>
      <c r="K3" s="1214"/>
      <c r="L3" s="1214"/>
      <c r="M3" s="1214"/>
      <c r="N3" s="1214"/>
      <c r="O3" s="1214"/>
      <c r="P3" s="1214"/>
      <c r="Q3" s="1215"/>
      <c r="S3" s="91" t="s">
        <v>243</v>
      </c>
      <c r="T3" s="51">
        <v>10.18</v>
      </c>
      <c r="U3" s="51">
        <v>10.51</v>
      </c>
      <c r="V3" s="51">
        <v>10.51</v>
      </c>
      <c r="W3" s="51">
        <v>10.8</v>
      </c>
      <c r="X3" s="51">
        <v>11</v>
      </c>
      <c r="Y3" s="51">
        <v>10.74</v>
      </c>
      <c r="Z3" s="51">
        <v>10.56</v>
      </c>
      <c r="AA3" s="51">
        <v>10.47</v>
      </c>
      <c r="AB3" s="51"/>
      <c r="AC3" s="51">
        <v>10.47</v>
      </c>
      <c r="AD3" s="51">
        <v>10.6</v>
      </c>
      <c r="AE3" s="51">
        <v>10.48</v>
      </c>
      <c r="AF3" s="51">
        <v>25.75</v>
      </c>
      <c r="AG3" s="51">
        <v>15.3</v>
      </c>
      <c r="AH3" s="51">
        <v>10.8</v>
      </c>
      <c r="AI3" s="51">
        <v>10.53</v>
      </c>
      <c r="AJ3" s="51">
        <v>7.22</v>
      </c>
    </row>
    <row r="4" spans="1:36" ht="13">
      <c r="A4" s="139" t="s">
        <v>235</v>
      </c>
      <c r="B4" s="155">
        <v>3.9</v>
      </c>
      <c r="C4" s="155">
        <v>5.4749999999999996</v>
      </c>
      <c r="D4" s="155">
        <v>5.375</v>
      </c>
      <c r="E4" s="157">
        <v>8.9499999999999993</v>
      </c>
      <c r="F4" s="157">
        <v>13.700000000000001</v>
      </c>
      <c r="G4" s="157">
        <v>18.125</v>
      </c>
      <c r="H4" s="157">
        <v>21.875</v>
      </c>
      <c r="I4" s="157">
        <v>23.400000000000002</v>
      </c>
      <c r="J4" s="157">
        <v>22.225000000000001</v>
      </c>
      <c r="K4" s="157">
        <v>21.387500000000003</v>
      </c>
      <c r="L4" s="157">
        <v>21.35</v>
      </c>
      <c r="M4" s="157">
        <v>14.875</v>
      </c>
      <c r="N4" s="157">
        <v>11.424999999999999</v>
      </c>
      <c r="O4" s="157">
        <v>8.4499999999999993</v>
      </c>
      <c r="P4" s="157">
        <v>5.6999999999999993</v>
      </c>
      <c r="Q4" s="157">
        <v>2.8250000000000002</v>
      </c>
      <c r="S4" s="91" t="s">
        <v>360</v>
      </c>
      <c r="T4" s="368">
        <v>9.0824999999999996</v>
      </c>
      <c r="U4" s="368">
        <v>10.845000000000001</v>
      </c>
      <c r="V4" s="368">
        <v>11.6975</v>
      </c>
      <c r="W4" s="51">
        <v>12.61</v>
      </c>
      <c r="X4" s="53">
        <v>8.27</v>
      </c>
      <c r="Y4" s="51">
        <v>8.5175000000000001</v>
      </c>
      <c r="Z4" s="53">
        <v>7.0525000000000002</v>
      </c>
      <c r="AA4" s="51">
        <v>8.5549999999999997</v>
      </c>
      <c r="AB4" s="51"/>
      <c r="AC4" s="51">
        <v>8.1750000000000007</v>
      </c>
      <c r="AD4" s="51">
        <v>5.9349999999999996</v>
      </c>
      <c r="AE4" s="51">
        <v>8.1449999999999996</v>
      </c>
      <c r="AF4" s="51">
        <v>6.5649999999999995</v>
      </c>
      <c r="AG4" s="51">
        <v>6.8725000000000005</v>
      </c>
      <c r="AH4" s="51">
        <v>9.5775000000000006</v>
      </c>
      <c r="AI4" s="51">
        <v>9.84</v>
      </c>
      <c r="AJ4" s="51">
        <v>11.9375</v>
      </c>
    </row>
    <row r="5" spans="1:36" ht="13">
      <c r="A5" s="139" t="s">
        <v>236</v>
      </c>
      <c r="B5" s="155">
        <v>4.2</v>
      </c>
      <c r="C5" s="155">
        <v>5.3</v>
      </c>
      <c r="D5" s="155">
        <v>5.35</v>
      </c>
      <c r="E5" s="157"/>
      <c r="F5" s="157">
        <v>12.824999999999999</v>
      </c>
      <c r="G5" s="157">
        <v>18.174999999999997</v>
      </c>
      <c r="H5" s="157">
        <v>21.75</v>
      </c>
      <c r="I5" s="157">
        <v>23.274999999999999</v>
      </c>
      <c r="J5" s="157">
        <v>22.175000000000001</v>
      </c>
      <c r="K5" s="157">
        <v>21.450000000000003</v>
      </c>
      <c r="L5" s="157">
        <v>21.349999999999998</v>
      </c>
      <c r="M5" s="157">
        <v>14.925000000000001</v>
      </c>
      <c r="N5" s="157"/>
      <c r="O5" s="157">
        <v>9.1499999999999986</v>
      </c>
      <c r="P5" s="157">
        <v>5.75</v>
      </c>
      <c r="Q5" s="157"/>
      <c r="S5" s="91" t="s">
        <v>242</v>
      </c>
      <c r="T5" s="368">
        <v>7.0992857142857142</v>
      </c>
      <c r="U5" s="368">
        <v>7.984285714285714</v>
      </c>
      <c r="V5" s="368">
        <v>10.941428571428572</v>
      </c>
      <c r="W5" s="51">
        <v>11.199333333333334</v>
      </c>
      <c r="X5" s="53">
        <v>6.6659999999999995</v>
      </c>
      <c r="Y5" s="51">
        <v>7.9760000000000009</v>
      </c>
      <c r="Z5" s="53">
        <v>6.4446666666666657</v>
      </c>
      <c r="AA5" s="51">
        <v>7.594666666666666</v>
      </c>
      <c r="AB5" s="51"/>
      <c r="AC5" s="51">
        <v>8.1433333333333326</v>
      </c>
      <c r="AD5" s="51">
        <v>5.4280000000000008</v>
      </c>
      <c r="AE5" s="51">
        <v>7.6228571428571437</v>
      </c>
      <c r="AF5" s="51">
        <v>6.6760000000000002</v>
      </c>
      <c r="AG5" s="51">
        <v>6.6673333333333344</v>
      </c>
      <c r="AH5" s="51">
        <v>9.5640000000000001</v>
      </c>
      <c r="AI5" s="51">
        <v>9.4126666666666683</v>
      </c>
      <c r="AJ5" s="51">
        <v>11.218181818181817</v>
      </c>
    </row>
    <row r="6" spans="1:36">
      <c r="A6" s="139" t="s">
        <v>237</v>
      </c>
      <c r="B6" s="155">
        <v>4.05</v>
      </c>
      <c r="C6" s="155">
        <v>5.7</v>
      </c>
      <c r="D6" s="155">
        <v>5.35</v>
      </c>
      <c r="E6" s="157"/>
      <c r="F6" s="157">
        <v>13.549999999999999</v>
      </c>
      <c r="G6" s="157">
        <v>18.175000000000001</v>
      </c>
      <c r="H6" s="157">
        <v>21.925000000000001</v>
      </c>
      <c r="I6" s="157">
        <v>23.4</v>
      </c>
      <c r="J6" s="157">
        <v>22.174999999999997</v>
      </c>
      <c r="K6" s="157">
        <v>21.25</v>
      </c>
      <c r="L6" s="157">
        <v>21.324999999999999</v>
      </c>
      <c r="M6" s="157">
        <v>14.95</v>
      </c>
      <c r="N6" s="157"/>
      <c r="O6" s="157">
        <v>8.5499999999999989</v>
      </c>
      <c r="P6" s="157">
        <v>5.75</v>
      </c>
      <c r="Q6" s="157"/>
      <c r="S6" s="57"/>
      <c r="T6" s="218"/>
      <c r="U6" s="218"/>
      <c r="V6" s="218"/>
      <c r="W6" s="218"/>
      <c r="X6" s="57"/>
      <c r="Y6" s="162"/>
      <c r="Z6" s="57"/>
      <c r="AA6" s="218"/>
      <c r="AB6" s="218"/>
      <c r="AC6" s="218"/>
      <c r="AD6" s="218"/>
      <c r="AE6" s="218"/>
      <c r="AF6" s="218"/>
      <c r="AG6" s="218"/>
      <c r="AH6" s="218"/>
      <c r="AI6" s="218"/>
      <c r="AJ6" s="218"/>
    </row>
    <row r="7" spans="1:36">
      <c r="A7" s="139" t="s">
        <v>238</v>
      </c>
      <c r="B7" s="155">
        <v>4.0250000000000004</v>
      </c>
      <c r="C7" s="155">
        <v>5.3</v>
      </c>
      <c r="D7" s="155">
        <v>5.4</v>
      </c>
      <c r="E7" s="157"/>
      <c r="F7" s="157">
        <v>13.125</v>
      </c>
      <c r="G7" s="157">
        <v>18.725000000000001</v>
      </c>
      <c r="H7" s="157">
        <v>22.275000000000002</v>
      </c>
      <c r="I7" s="157">
        <v>24</v>
      </c>
      <c r="J7" s="157">
        <v>22.75</v>
      </c>
      <c r="K7" s="157">
        <v>22.2</v>
      </c>
      <c r="L7" s="157">
        <v>21.674999999999997</v>
      </c>
      <c r="M7" s="157">
        <v>15.350000000000001</v>
      </c>
      <c r="N7" s="157"/>
      <c r="O7" s="157">
        <v>9.0500000000000007</v>
      </c>
      <c r="P7" s="157">
        <v>5.6749999999999989</v>
      </c>
      <c r="Q7" s="157">
        <v>2.8000000000000003</v>
      </c>
      <c r="S7" s="57"/>
      <c r="T7" s="218"/>
      <c r="U7" s="218"/>
      <c r="V7" s="218"/>
      <c r="W7" s="218"/>
      <c r="X7" s="57"/>
      <c r="Y7" s="162"/>
      <c r="Z7" s="57"/>
      <c r="AA7" s="218"/>
      <c r="AB7" s="218"/>
      <c r="AC7" s="218"/>
      <c r="AD7" s="218"/>
      <c r="AE7" s="218"/>
      <c r="AF7" s="218"/>
      <c r="AG7" s="218"/>
      <c r="AH7" s="218"/>
      <c r="AI7" s="218"/>
      <c r="AJ7" s="218"/>
    </row>
    <row r="8" spans="1:36">
      <c r="A8" s="139" t="s">
        <v>239</v>
      </c>
      <c r="B8" s="155">
        <v>4.0749999999999993</v>
      </c>
      <c r="C8" s="155">
        <v>5.2750000000000004</v>
      </c>
      <c r="D8" s="155">
        <v>5.625</v>
      </c>
      <c r="E8" s="157"/>
      <c r="F8" s="157">
        <v>13.700000000000001</v>
      </c>
      <c r="G8" s="157">
        <v>18.8</v>
      </c>
      <c r="H8" s="157">
        <v>22.074999999999999</v>
      </c>
      <c r="I8" s="157">
        <v>24</v>
      </c>
      <c r="J8" s="157">
        <v>22.474999999999998</v>
      </c>
      <c r="K8" s="157">
        <v>22.274999999999999</v>
      </c>
      <c r="L8" s="157">
        <v>21.575000000000003</v>
      </c>
      <c r="M8" s="157">
        <v>15.425000000000001</v>
      </c>
      <c r="N8" s="157"/>
      <c r="O8" s="157">
        <v>8.875</v>
      </c>
      <c r="P8" s="157">
        <v>5.6750000000000007</v>
      </c>
      <c r="Q8" s="157">
        <v>2.6749999999999998</v>
      </c>
      <c r="S8" s="171"/>
      <c r="T8" s="218"/>
      <c r="U8" s="218"/>
      <c r="V8" s="218"/>
      <c r="W8" s="218"/>
      <c r="X8" s="57"/>
      <c r="Y8" s="162"/>
      <c r="Z8" s="57"/>
      <c r="AA8" s="218"/>
      <c r="AB8" s="218"/>
      <c r="AC8" s="218"/>
      <c r="AD8" s="218"/>
      <c r="AE8" s="218"/>
      <c r="AF8" s="218"/>
      <c r="AG8" s="218"/>
      <c r="AH8" s="218"/>
      <c r="AI8" s="218"/>
      <c r="AJ8" s="218"/>
    </row>
    <row r="9" spans="1:36">
      <c r="A9" s="270" t="s">
        <v>241</v>
      </c>
      <c r="B9" s="156">
        <v>9</v>
      </c>
      <c r="C9" s="224">
        <v>9</v>
      </c>
      <c r="D9" s="224">
        <v>9</v>
      </c>
    </row>
    <row r="10" spans="1:36">
      <c r="A10" s="214" t="s">
        <v>240</v>
      </c>
      <c r="C10" s="163"/>
      <c r="D10" s="163"/>
      <c r="E10" s="225">
        <v>23.3</v>
      </c>
      <c r="F10" s="225">
        <v>23.3</v>
      </c>
      <c r="G10" s="225">
        <v>23.3</v>
      </c>
      <c r="H10" s="225">
        <v>23.3</v>
      </c>
      <c r="I10" s="225">
        <v>23.3</v>
      </c>
      <c r="J10" s="225">
        <v>23.3</v>
      </c>
      <c r="K10" s="225">
        <v>23.3</v>
      </c>
      <c r="L10" s="225">
        <v>23.3</v>
      </c>
      <c r="M10" s="225">
        <v>23.3</v>
      </c>
      <c r="N10" s="225">
        <v>23.3</v>
      </c>
      <c r="O10" s="225">
        <v>23.3</v>
      </c>
      <c r="P10" s="225">
        <v>23.3</v>
      </c>
      <c r="Q10" s="225">
        <v>23.3</v>
      </c>
    </row>
  </sheetData>
  <mergeCells count="6">
    <mergeCell ref="B1:Q1"/>
    <mergeCell ref="A1:A2"/>
    <mergeCell ref="S1:S2"/>
    <mergeCell ref="T1:AJ1"/>
    <mergeCell ref="B3:D3"/>
    <mergeCell ref="E3:Q3"/>
  </mergeCell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tabColor rgb="FF92D050"/>
    <pageSetUpPr fitToPage="1"/>
  </sheetPr>
  <dimension ref="A1:V60"/>
  <sheetViews>
    <sheetView zoomScale="75" zoomScaleNormal="75" workbookViewId="0">
      <selection activeCell="B4" sqref="B4:Q4"/>
    </sheetView>
  </sheetViews>
  <sheetFormatPr defaultRowHeight="13"/>
  <cols>
    <col min="1" max="1" width="35.36328125" style="1" customWidth="1"/>
    <col min="2" max="2" width="9.36328125" bestFit="1" customWidth="1"/>
    <col min="3" max="3" width="9.453125" customWidth="1"/>
    <col min="4" max="4" width="9.36328125" bestFit="1" customWidth="1"/>
    <col min="5" max="5" width="9.08984375" bestFit="1" customWidth="1"/>
    <col min="6" max="6" width="9.6328125" bestFit="1" customWidth="1"/>
    <col min="7" max="7" width="9.36328125" bestFit="1" customWidth="1"/>
    <col min="8" max="8" width="8.08984375" bestFit="1" customWidth="1"/>
    <col min="9" max="9" width="8.54296875" bestFit="1" customWidth="1"/>
    <col min="10" max="10" width="9.36328125" bestFit="1" customWidth="1"/>
    <col min="11" max="11" width="9.6328125" bestFit="1" customWidth="1"/>
    <col min="12" max="12" width="9.36328125" bestFit="1" customWidth="1"/>
    <col min="13" max="13" width="9.6328125" bestFit="1" customWidth="1"/>
    <col min="14" max="14" width="9.36328125" bestFit="1" customWidth="1"/>
    <col min="15" max="15" width="9.08984375" bestFit="1" customWidth="1"/>
    <col min="16" max="16" width="9.36328125" bestFit="1" customWidth="1"/>
    <col min="17" max="17" width="9.36328125" customWidth="1"/>
    <col min="18" max="18" width="9.6328125" bestFit="1" customWidth="1"/>
    <col min="19" max="19" width="7.08984375" customWidth="1"/>
    <col min="20" max="20" width="12.54296875" customWidth="1"/>
    <col min="21" max="21" width="13.08984375" customWidth="1"/>
    <col min="22" max="22" width="14" customWidth="1"/>
    <col min="23" max="23" width="9.90625" bestFit="1" customWidth="1"/>
    <col min="24" max="24" width="10.36328125" bestFit="1" customWidth="1"/>
    <col min="25" max="25" width="10.90625" bestFit="1" customWidth="1"/>
    <col min="26" max="26" width="11.08984375" bestFit="1" customWidth="1"/>
    <col min="27" max="27" width="10.453125" customWidth="1"/>
    <col min="28" max="28" width="10.90625" customWidth="1"/>
    <col min="29" max="30" width="11.36328125" customWidth="1"/>
    <col min="31" max="31" width="10.90625" bestFit="1" customWidth="1"/>
  </cols>
  <sheetData>
    <row r="1" spans="1:22" ht="15.5">
      <c r="A1" s="1176" t="s">
        <v>3</v>
      </c>
      <c r="B1" s="1176"/>
      <c r="C1" s="1176"/>
      <c r="D1" s="1176"/>
      <c r="E1" s="1176"/>
      <c r="F1" s="1176"/>
      <c r="G1" s="1176"/>
      <c r="H1" s="1176"/>
      <c r="I1" s="1176"/>
      <c r="J1" s="1176"/>
      <c r="K1" s="1176"/>
      <c r="L1" s="1176"/>
      <c r="M1" s="1176"/>
      <c r="N1" s="1176"/>
      <c r="O1" s="1176"/>
      <c r="P1" s="1176"/>
      <c r="Q1" s="826"/>
    </row>
    <row r="2" spans="1:22" ht="15.5">
      <c r="A2" s="1176" t="s">
        <v>209</v>
      </c>
      <c r="B2" s="1176"/>
      <c r="C2" s="1176"/>
      <c r="D2" s="1176"/>
      <c r="E2" s="1176"/>
      <c r="F2" s="1176"/>
      <c r="G2" s="1176"/>
      <c r="H2" s="1176"/>
      <c r="I2" s="1176"/>
      <c r="J2" s="1176"/>
      <c r="K2" s="1176"/>
      <c r="L2" s="1176"/>
      <c r="M2" s="1176"/>
      <c r="N2" s="1176"/>
      <c r="O2" s="1176"/>
      <c r="P2" s="1176"/>
      <c r="Q2" s="826"/>
    </row>
    <row r="4" spans="1:22" s="7" customFormat="1" ht="42">
      <c r="A4" s="114" t="s">
        <v>2</v>
      </c>
      <c r="B4" s="617">
        <v>41296</v>
      </c>
      <c r="C4" s="617">
        <v>41324</v>
      </c>
      <c r="D4" s="617">
        <v>41358</v>
      </c>
      <c r="E4" s="617">
        <v>41386</v>
      </c>
      <c r="F4" s="617">
        <v>41414</v>
      </c>
      <c r="G4" s="617">
        <v>41442</v>
      </c>
      <c r="H4" s="617">
        <v>41463</v>
      </c>
      <c r="I4" s="617">
        <v>41477</v>
      </c>
      <c r="J4" s="617">
        <v>41491</v>
      </c>
      <c r="K4" s="617">
        <v>41512</v>
      </c>
      <c r="L4" s="617">
        <v>41526</v>
      </c>
      <c r="M4" s="617">
        <v>41540</v>
      </c>
      <c r="N4" s="617">
        <v>41558</v>
      </c>
      <c r="O4" s="617">
        <v>41568</v>
      </c>
      <c r="P4" s="617">
        <v>41596</v>
      </c>
      <c r="Q4" s="617">
        <v>41624</v>
      </c>
      <c r="R4" s="122" t="s">
        <v>91</v>
      </c>
      <c r="S4" s="114" t="s">
        <v>83</v>
      </c>
      <c r="T4" s="123" t="s">
        <v>92</v>
      </c>
      <c r="U4" s="123" t="s">
        <v>93</v>
      </c>
      <c r="V4" s="123" t="s">
        <v>94</v>
      </c>
    </row>
    <row r="5" spans="1:22" s="3" customFormat="1" ht="14">
      <c r="A5" s="128" t="s">
        <v>571</v>
      </c>
      <c r="B5" s="837">
        <v>72</v>
      </c>
      <c r="C5" s="1069">
        <v>38</v>
      </c>
      <c r="D5" s="1069">
        <v>5</v>
      </c>
      <c r="E5" s="837">
        <v>2</v>
      </c>
      <c r="F5" s="1069">
        <v>19</v>
      </c>
      <c r="G5" s="1069">
        <v>12</v>
      </c>
      <c r="H5" s="1069">
        <v>10</v>
      </c>
      <c r="I5" s="1069">
        <v>13</v>
      </c>
      <c r="J5" s="1069">
        <v>28</v>
      </c>
      <c r="K5" s="1069">
        <v>16</v>
      </c>
      <c r="L5" s="314">
        <v>11</v>
      </c>
      <c r="M5" s="1070">
        <v>57</v>
      </c>
      <c r="N5" s="837"/>
      <c r="O5" s="1069">
        <v>2</v>
      </c>
      <c r="P5" s="314">
        <v>20</v>
      </c>
      <c r="Q5" s="1069">
        <v>9</v>
      </c>
      <c r="R5" s="121">
        <f t="shared" ref="R5:R10" si="0">AVERAGE(B5:P5)</f>
        <v>21.785714285714285</v>
      </c>
      <c r="S5" s="121">
        <f t="shared" ref="S5:S10" si="1">MAX(B5:P5)</f>
        <v>72</v>
      </c>
      <c r="T5" s="121">
        <f t="shared" ref="T5:T10" si="2">AVERAGE(H5:M5)</f>
        <v>22.5</v>
      </c>
      <c r="U5" s="121">
        <f>AVERAGE(B8:P9)</f>
        <v>65.599999999999994</v>
      </c>
      <c r="V5" s="121">
        <f>AVERAGE(H8:M9)</f>
        <v>111.66666666666667</v>
      </c>
    </row>
    <row r="6" spans="1:22" s="3" customFormat="1" ht="14">
      <c r="A6" s="128" t="s">
        <v>570</v>
      </c>
      <c r="B6" s="837">
        <v>63</v>
      </c>
      <c r="C6" s="837">
        <v>79</v>
      </c>
      <c r="D6" s="837">
        <v>70</v>
      </c>
      <c r="E6" s="837">
        <v>16</v>
      </c>
      <c r="F6" s="837">
        <v>34</v>
      </c>
      <c r="G6" s="837">
        <v>46</v>
      </c>
      <c r="H6" s="837">
        <v>68</v>
      </c>
      <c r="I6" s="1069">
        <v>37</v>
      </c>
      <c r="J6" s="1069">
        <v>68</v>
      </c>
      <c r="K6" s="1069">
        <v>64</v>
      </c>
      <c r="L6" s="314">
        <v>49</v>
      </c>
      <c r="M6" s="1070">
        <v>50</v>
      </c>
      <c r="N6" s="837"/>
      <c r="O6" s="1069">
        <v>2</v>
      </c>
      <c r="P6" s="314">
        <v>17</v>
      </c>
      <c r="Q6" s="1069">
        <v>20</v>
      </c>
      <c r="R6" s="121">
        <f t="shared" si="0"/>
        <v>47.357142857142854</v>
      </c>
      <c r="S6" s="121">
        <f t="shared" si="1"/>
        <v>79</v>
      </c>
      <c r="T6" s="121">
        <f t="shared" si="2"/>
        <v>56</v>
      </c>
      <c r="U6" s="79"/>
      <c r="V6" s="79"/>
    </row>
    <row r="7" spans="1:22" s="3" customFormat="1" ht="14">
      <c r="A7" s="129" t="s">
        <v>572</v>
      </c>
      <c r="B7" s="837">
        <v>74</v>
      </c>
      <c r="C7" s="837">
        <v>39</v>
      </c>
      <c r="D7" s="837">
        <v>27</v>
      </c>
      <c r="E7" s="837">
        <v>17</v>
      </c>
      <c r="F7" s="837">
        <v>30</v>
      </c>
      <c r="G7" s="837">
        <v>60</v>
      </c>
      <c r="H7" s="837">
        <v>185</v>
      </c>
      <c r="I7" s="1069">
        <v>58</v>
      </c>
      <c r="J7" s="1069">
        <v>259</v>
      </c>
      <c r="K7" s="1069">
        <v>147</v>
      </c>
      <c r="L7" s="314">
        <v>120</v>
      </c>
      <c r="M7" s="1070">
        <v>61</v>
      </c>
      <c r="N7" s="837"/>
      <c r="O7" s="1069">
        <v>51</v>
      </c>
      <c r="P7" s="314">
        <v>25</v>
      </c>
      <c r="Q7" s="1069">
        <v>15</v>
      </c>
      <c r="R7" s="121">
        <f t="shared" si="0"/>
        <v>82.357142857142861</v>
      </c>
      <c r="S7" s="121">
        <f t="shared" si="1"/>
        <v>259</v>
      </c>
      <c r="T7" s="121">
        <f t="shared" si="2"/>
        <v>138.33333333333334</v>
      </c>
      <c r="U7" s="79"/>
      <c r="V7" s="79"/>
    </row>
    <row r="8" spans="1:22" s="3" customFormat="1" ht="14">
      <c r="A8" s="129" t="s">
        <v>578</v>
      </c>
      <c r="B8" s="837">
        <v>22</v>
      </c>
      <c r="C8" s="837">
        <v>15</v>
      </c>
      <c r="D8" s="837">
        <v>25</v>
      </c>
      <c r="E8" s="837">
        <v>14</v>
      </c>
      <c r="F8" s="837">
        <v>35</v>
      </c>
      <c r="G8" s="837">
        <v>61</v>
      </c>
      <c r="H8" s="837">
        <v>132</v>
      </c>
      <c r="I8" s="1069">
        <v>86</v>
      </c>
      <c r="J8" s="1069">
        <v>128</v>
      </c>
      <c r="K8" s="1069">
        <v>123</v>
      </c>
      <c r="L8" s="314">
        <v>138</v>
      </c>
      <c r="M8" s="1070">
        <v>166</v>
      </c>
      <c r="N8" s="1069">
        <v>53</v>
      </c>
      <c r="O8" s="1069">
        <v>26</v>
      </c>
      <c r="P8" s="314">
        <v>47</v>
      </c>
      <c r="Q8" s="1069">
        <v>16</v>
      </c>
      <c r="R8" s="121">
        <f t="shared" si="0"/>
        <v>71.400000000000006</v>
      </c>
      <c r="S8" s="121">
        <f t="shared" si="1"/>
        <v>166</v>
      </c>
      <c r="T8" s="121">
        <f t="shared" si="2"/>
        <v>128.83333333333334</v>
      </c>
      <c r="U8" s="79"/>
      <c r="V8" s="79"/>
    </row>
    <row r="9" spans="1:22" s="3" customFormat="1" ht="14">
      <c r="A9" s="129" t="s">
        <v>580</v>
      </c>
      <c r="B9" s="837">
        <v>29</v>
      </c>
      <c r="C9" s="837">
        <v>21</v>
      </c>
      <c r="D9" s="837">
        <v>27</v>
      </c>
      <c r="E9" s="837">
        <v>24</v>
      </c>
      <c r="F9" s="837">
        <v>56</v>
      </c>
      <c r="G9" s="837">
        <v>45</v>
      </c>
      <c r="H9" s="837">
        <v>56</v>
      </c>
      <c r="I9" s="1069">
        <v>65</v>
      </c>
      <c r="J9" s="1069">
        <v>123</v>
      </c>
      <c r="K9" s="1069">
        <v>151</v>
      </c>
      <c r="L9" s="314">
        <v>112</v>
      </c>
      <c r="M9" s="1070">
        <v>60</v>
      </c>
      <c r="N9" s="1069">
        <v>52</v>
      </c>
      <c r="O9" s="1069">
        <v>34</v>
      </c>
      <c r="P9" s="314">
        <v>42</v>
      </c>
      <c r="Q9" s="1069">
        <v>113</v>
      </c>
      <c r="R9" s="121">
        <f t="shared" si="0"/>
        <v>59.8</v>
      </c>
      <c r="S9" s="121">
        <f t="shared" si="1"/>
        <v>151</v>
      </c>
      <c r="T9" s="121">
        <f t="shared" si="2"/>
        <v>94.5</v>
      </c>
      <c r="U9" s="79"/>
      <c r="V9" s="79"/>
    </row>
    <row r="10" spans="1:22" ht="14">
      <c r="A10" s="372" t="s">
        <v>579</v>
      </c>
      <c r="B10" s="53">
        <f>AVERAGE(B8:B9)</f>
        <v>25.5</v>
      </c>
      <c r="C10" s="53">
        <f t="shared" ref="C10:Q10" si="3">AVERAGE(C8:C9)</f>
        <v>18</v>
      </c>
      <c r="D10" s="53">
        <f t="shared" si="3"/>
        <v>26</v>
      </c>
      <c r="E10" s="53">
        <f t="shared" si="3"/>
        <v>19</v>
      </c>
      <c r="F10" s="53">
        <f t="shared" si="3"/>
        <v>45.5</v>
      </c>
      <c r="G10" s="53">
        <f t="shared" si="3"/>
        <v>53</v>
      </c>
      <c r="H10" s="53">
        <f t="shared" si="3"/>
        <v>94</v>
      </c>
      <c r="I10" s="53">
        <f t="shared" si="3"/>
        <v>75.5</v>
      </c>
      <c r="J10" s="53">
        <f t="shared" si="3"/>
        <v>125.5</v>
      </c>
      <c r="K10" s="53">
        <f t="shared" si="3"/>
        <v>137</v>
      </c>
      <c r="L10" s="53">
        <f t="shared" si="3"/>
        <v>125</v>
      </c>
      <c r="M10" s="53">
        <f t="shared" si="3"/>
        <v>113</v>
      </c>
      <c r="N10" s="53">
        <f t="shared" si="3"/>
        <v>52.5</v>
      </c>
      <c r="O10" s="53">
        <f t="shared" si="3"/>
        <v>30</v>
      </c>
      <c r="P10" s="53">
        <f t="shared" si="3"/>
        <v>44.5</v>
      </c>
      <c r="Q10" s="53">
        <f t="shared" si="3"/>
        <v>64.5</v>
      </c>
      <c r="R10" s="121">
        <f t="shared" si="0"/>
        <v>65.599999999999994</v>
      </c>
      <c r="S10" s="121">
        <f t="shared" si="1"/>
        <v>137</v>
      </c>
      <c r="T10" s="121">
        <f t="shared" si="2"/>
        <v>111.66666666666667</v>
      </c>
    </row>
    <row r="11" spans="1:22">
      <c r="B11" s="1216"/>
      <c r="C11" s="1216"/>
      <c r="D11" s="1216"/>
      <c r="E11" s="1216"/>
      <c r="F11" s="1216"/>
    </row>
    <row r="12" spans="1:22">
      <c r="B12" s="1216"/>
      <c r="C12" s="1216"/>
      <c r="D12" s="1216"/>
      <c r="E12" s="1216"/>
      <c r="F12" s="1216"/>
    </row>
    <row r="13" spans="1:22">
      <c r="A13" s="1217" t="s">
        <v>67</v>
      </c>
      <c r="B13" s="1217"/>
      <c r="C13" s="1217"/>
      <c r="D13" s="1217"/>
      <c r="E13" s="1217"/>
      <c r="F13" s="1217"/>
      <c r="G13" s="1217"/>
      <c r="H13" s="1217"/>
      <c r="I13" s="1217"/>
      <c r="J13" s="1217"/>
      <c r="K13" s="1217"/>
      <c r="L13" s="1217"/>
      <c r="M13" s="1217"/>
    </row>
    <row r="14" spans="1:22">
      <c r="A14" s="111"/>
      <c r="B14" s="111" t="s">
        <v>69</v>
      </c>
      <c r="C14" s="111" t="s">
        <v>70</v>
      </c>
      <c r="D14" s="111" t="s">
        <v>71</v>
      </c>
      <c r="E14" s="111" t="s">
        <v>72</v>
      </c>
      <c r="F14" s="111" t="s">
        <v>73</v>
      </c>
      <c r="G14" s="111" t="s">
        <v>74</v>
      </c>
      <c r="H14" s="111" t="s">
        <v>75</v>
      </c>
      <c r="I14" s="111" t="s">
        <v>76</v>
      </c>
      <c r="J14" s="111" t="s">
        <v>77</v>
      </c>
      <c r="K14" s="111" t="s">
        <v>78</v>
      </c>
      <c r="L14" s="111" t="s">
        <v>79</v>
      </c>
      <c r="M14" s="111" t="s">
        <v>80</v>
      </c>
    </row>
    <row r="15" spans="1:22" ht="14">
      <c r="A15" s="128" t="s">
        <v>571</v>
      </c>
      <c r="B15" s="60">
        <f t="shared" ref="B15:G15" si="4">B5</f>
        <v>72</v>
      </c>
      <c r="C15" s="60">
        <f t="shared" si="4"/>
        <v>38</v>
      </c>
      <c r="D15" s="60">
        <f t="shared" si="4"/>
        <v>5</v>
      </c>
      <c r="E15" s="60">
        <f t="shared" si="4"/>
        <v>2</v>
      </c>
      <c r="F15" s="60">
        <f t="shared" si="4"/>
        <v>19</v>
      </c>
      <c r="G15" s="60">
        <f t="shared" si="4"/>
        <v>12</v>
      </c>
      <c r="H15" s="60">
        <f t="shared" ref="H15:H20" si="5">AVERAGE(H5:I5)</f>
        <v>11.5</v>
      </c>
      <c r="I15" s="60">
        <f t="shared" ref="I15:I20" si="6">AVERAGE(J5:K5)</f>
        <v>22</v>
      </c>
      <c r="J15" s="60">
        <f t="shared" ref="J15:J20" si="7">AVERAGE(L5:M5)</f>
        <v>34</v>
      </c>
      <c r="K15" s="60">
        <f>AVERAGE(N5:O5)</f>
        <v>2</v>
      </c>
      <c r="L15" s="60">
        <f>P5</f>
        <v>20</v>
      </c>
      <c r="M15" s="60">
        <f>Q5</f>
        <v>9</v>
      </c>
    </row>
    <row r="16" spans="1:22" ht="14">
      <c r="A16" s="128" t="s">
        <v>570</v>
      </c>
      <c r="B16" s="60">
        <f t="shared" ref="B16:G20" si="8">B6</f>
        <v>63</v>
      </c>
      <c r="C16" s="60">
        <f t="shared" si="8"/>
        <v>79</v>
      </c>
      <c r="D16" s="60">
        <f t="shared" si="8"/>
        <v>70</v>
      </c>
      <c r="E16" s="60">
        <f t="shared" si="8"/>
        <v>16</v>
      </c>
      <c r="F16" s="60">
        <f t="shared" si="8"/>
        <v>34</v>
      </c>
      <c r="G16" s="60">
        <f t="shared" si="8"/>
        <v>46</v>
      </c>
      <c r="H16" s="60">
        <f t="shared" si="5"/>
        <v>52.5</v>
      </c>
      <c r="I16" s="60">
        <f t="shared" si="6"/>
        <v>66</v>
      </c>
      <c r="J16" s="60">
        <f t="shared" si="7"/>
        <v>49.5</v>
      </c>
      <c r="K16" s="60">
        <f t="shared" ref="K16:K19" si="9">AVERAGE(N6:O6)</f>
        <v>2</v>
      </c>
      <c r="L16" s="60">
        <f t="shared" ref="L16:L20" si="10">P6</f>
        <v>17</v>
      </c>
      <c r="M16" s="60">
        <f t="shared" ref="M16:M20" si="11">Q6</f>
        <v>20</v>
      </c>
    </row>
    <row r="17" spans="1:13" ht="14">
      <c r="A17" s="129" t="s">
        <v>572</v>
      </c>
      <c r="B17" s="60">
        <f t="shared" si="8"/>
        <v>74</v>
      </c>
      <c r="C17" s="60">
        <f t="shared" si="8"/>
        <v>39</v>
      </c>
      <c r="D17" s="60">
        <f t="shared" si="8"/>
        <v>27</v>
      </c>
      <c r="E17" s="60">
        <f t="shared" si="8"/>
        <v>17</v>
      </c>
      <c r="F17" s="60">
        <f t="shared" si="8"/>
        <v>30</v>
      </c>
      <c r="G17" s="60">
        <f t="shared" si="8"/>
        <v>60</v>
      </c>
      <c r="H17" s="60">
        <f t="shared" si="5"/>
        <v>121.5</v>
      </c>
      <c r="I17" s="60">
        <f t="shared" si="6"/>
        <v>203</v>
      </c>
      <c r="J17" s="60">
        <f t="shared" si="7"/>
        <v>90.5</v>
      </c>
      <c r="K17" s="60">
        <f t="shared" si="9"/>
        <v>51</v>
      </c>
      <c r="L17" s="60">
        <f t="shared" si="10"/>
        <v>25</v>
      </c>
      <c r="M17" s="60">
        <f t="shared" si="11"/>
        <v>15</v>
      </c>
    </row>
    <row r="18" spans="1:13" ht="14">
      <c r="A18" s="126" t="s">
        <v>781</v>
      </c>
      <c r="B18" s="60">
        <f t="shared" si="8"/>
        <v>22</v>
      </c>
      <c r="C18" s="60">
        <f t="shared" si="8"/>
        <v>15</v>
      </c>
      <c r="D18" s="60">
        <f t="shared" si="8"/>
        <v>25</v>
      </c>
      <c r="E18" s="60">
        <f t="shared" si="8"/>
        <v>14</v>
      </c>
      <c r="F18" s="60">
        <f t="shared" si="8"/>
        <v>35</v>
      </c>
      <c r="G18" s="60">
        <f t="shared" si="8"/>
        <v>61</v>
      </c>
      <c r="H18" s="60">
        <f t="shared" si="5"/>
        <v>109</v>
      </c>
      <c r="I18" s="60">
        <f t="shared" si="6"/>
        <v>125.5</v>
      </c>
      <c r="J18" s="60">
        <f t="shared" si="7"/>
        <v>152</v>
      </c>
      <c r="K18" s="60">
        <f t="shared" si="9"/>
        <v>39.5</v>
      </c>
      <c r="L18" s="60">
        <f t="shared" si="10"/>
        <v>47</v>
      </c>
      <c r="M18" s="60">
        <f t="shared" si="11"/>
        <v>16</v>
      </c>
    </row>
    <row r="19" spans="1:13" ht="14">
      <c r="A19" s="126" t="s">
        <v>782</v>
      </c>
      <c r="B19" s="60">
        <f t="shared" si="8"/>
        <v>29</v>
      </c>
      <c r="C19" s="60">
        <f t="shared" si="8"/>
        <v>21</v>
      </c>
      <c r="D19" s="60">
        <f t="shared" si="8"/>
        <v>27</v>
      </c>
      <c r="E19" s="60">
        <f t="shared" si="8"/>
        <v>24</v>
      </c>
      <c r="F19" s="60">
        <f t="shared" si="8"/>
        <v>56</v>
      </c>
      <c r="G19" s="60">
        <f t="shared" si="8"/>
        <v>45</v>
      </c>
      <c r="H19" s="60">
        <f t="shared" si="5"/>
        <v>60.5</v>
      </c>
      <c r="I19" s="60">
        <f t="shared" si="6"/>
        <v>137</v>
      </c>
      <c r="J19" s="60">
        <f t="shared" si="7"/>
        <v>86</v>
      </c>
      <c r="K19" s="60">
        <f t="shared" si="9"/>
        <v>43</v>
      </c>
      <c r="L19" s="60">
        <f t="shared" si="10"/>
        <v>42</v>
      </c>
      <c r="M19" s="60">
        <f t="shared" si="11"/>
        <v>113</v>
      </c>
    </row>
    <row r="20" spans="1:13" ht="14">
      <c r="A20" s="372" t="s">
        <v>579</v>
      </c>
      <c r="B20" s="60">
        <f t="shared" si="8"/>
        <v>25.5</v>
      </c>
      <c r="C20" s="60">
        <f t="shared" si="8"/>
        <v>18</v>
      </c>
      <c r="D20" s="60">
        <f t="shared" si="8"/>
        <v>26</v>
      </c>
      <c r="E20" s="60">
        <f t="shared" si="8"/>
        <v>19</v>
      </c>
      <c r="F20" s="60">
        <f t="shared" si="8"/>
        <v>45.5</v>
      </c>
      <c r="G20" s="60">
        <f t="shared" si="8"/>
        <v>53</v>
      </c>
      <c r="H20" s="60">
        <f t="shared" si="5"/>
        <v>84.75</v>
      </c>
      <c r="I20" s="60">
        <f t="shared" si="6"/>
        <v>131.25</v>
      </c>
      <c r="J20" s="60">
        <f t="shared" si="7"/>
        <v>119</v>
      </c>
      <c r="K20" s="60">
        <f>AVERAGE(N10:O10)</f>
        <v>41.25</v>
      </c>
      <c r="L20" s="60">
        <f t="shared" si="10"/>
        <v>44.5</v>
      </c>
      <c r="M20" s="60">
        <f t="shared" si="11"/>
        <v>64.5</v>
      </c>
    </row>
    <row r="28" spans="1:13">
      <c r="A28" s="61"/>
    </row>
    <row r="29" spans="1:13" ht="12.5">
      <c r="A29"/>
    </row>
    <row r="30" spans="1:13">
      <c r="B30" s="1"/>
      <c r="C30" s="1"/>
      <c r="D30" s="1"/>
      <c r="E30" s="1"/>
    </row>
    <row r="31" spans="1:13">
      <c r="B31" s="1"/>
      <c r="C31" s="1"/>
      <c r="D31" s="1"/>
      <c r="E31" s="1"/>
    </row>
    <row r="32" spans="1:13">
      <c r="B32" s="3"/>
      <c r="C32" s="3"/>
      <c r="D32" s="3"/>
      <c r="E32" s="3"/>
    </row>
    <row r="33" spans="1:22">
      <c r="B33" s="3"/>
      <c r="C33" s="3"/>
      <c r="D33" s="3"/>
      <c r="E33" s="3"/>
    </row>
    <row r="34" spans="1:22">
      <c r="B34" s="3"/>
      <c r="C34" s="3"/>
      <c r="D34" s="3"/>
      <c r="E34" s="3"/>
    </row>
    <row r="35" spans="1:22">
      <c r="B35" s="3"/>
      <c r="C35" s="3"/>
      <c r="D35" s="3"/>
      <c r="E35" s="3"/>
    </row>
    <row r="36" spans="1:22">
      <c r="B36" s="3"/>
      <c r="C36" s="3"/>
      <c r="D36" s="3"/>
      <c r="E36" s="3"/>
    </row>
    <row r="37" spans="1:22">
      <c r="B37" s="3"/>
      <c r="C37" s="3"/>
      <c r="D37" s="3"/>
      <c r="E37" s="3"/>
    </row>
    <row r="38" spans="1:22">
      <c r="B38" s="3"/>
      <c r="C38" s="3"/>
      <c r="D38" s="3"/>
      <c r="E38" s="3"/>
    </row>
    <row r="39" spans="1:22">
      <c r="B39" s="3"/>
      <c r="C39" s="3"/>
      <c r="D39" s="3"/>
      <c r="E39" s="3"/>
    </row>
    <row r="45" spans="1:22" ht="15.5">
      <c r="A45" s="1176" t="s">
        <v>208</v>
      </c>
      <c r="B45" s="1176"/>
      <c r="C45" s="1176"/>
      <c r="D45" s="1176"/>
      <c r="E45" s="1176"/>
      <c r="F45" s="1176"/>
      <c r="G45" s="1176"/>
      <c r="H45" s="1176"/>
      <c r="I45" s="1176"/>
      <c r="J45" s="1176"/>
      <c r="K45" s="1176"/>
      <c r="L45" s="1176"/>
      <c r="M45" s="1176"/>
      <c r="N45" s="1176"/>
      <c r="O45" s="1176"/>
      <c r="P45" s="1176"/>
      <c r="Q45" s="826"/>
      <c r="R45" s="72"/>
      <c r="S45" s="72"/>
      <c r="T45" s="72"/>
    </row>
    <row r="46" spans="1:22" ht="42">
      <c r="A46" s="116" t="s">
        <v>2</v>
      </c>
      <c r="B46" s="617">
        <v>41296</v>
      </c>
      <c r="C46" s="617">
        <v>41324</v>
      </c>
      <c r="D46" s="617">
        <v>41358</v>
      </c>
      <c r="E46" s="617">
        <v>41386</v>
      </c>
      <c r="F46" s="617">
        <v>41414</v>
      </c>
      <c r="G46" s="617">
        <v>41442</v>
      </c>
      <c r="H46" s="617">
        <v>41463</v>
      </c>
      <c r="I46" s="617">
        <v>41477</v>
      </c>
      <c r="J46" s="617">
        <v>41491</v>
      </c>
      <c r="K46" s="617">
        <v>41512</v>
      </c>
      <c r="L46" s="617">
        <v>41526</v>
      </c>
      <c r="M46" s="617">
        <v>41540</v>
      </c>
      <c r="N46" s="617">
        <v>41558</v>
      </c>
      <c r="O46" s="617">
        <v>41568</v>
      </c>
      <c r="P46" s="617">
        <v>41596</v>
      </c>
      <c r="Q46" s="617">
        <v>41624</v>
      </c>
      <c r="R46" s="122" t="s">
        <v>91</v>
      </c>
      <c r="S46" s="122" t="s">
        <v>83</v>
      </c>
      <c r="T46" s="122" t="s">
        <v>109</v>
      </c>
      <c r="U46" s="123" t="s">
        <v>93</v>
      </c>
      <c r="V46" s="123" t="s">
        <v>94</v>
      </c>
    </row>
    <row r="47" spans="1:22" ht="15.5">
      <c r="A47" s="128" t="s">
        <v>571</v>
      </c>
      <c r="B47" s="1065">
        <v>33</v>
      </c>
      <c r="C47" s="1066">
        <v>2</v>
      </c>
      <c r="D47" s="1066">
        <v>6</v>
      </c>
      <c r="E47" s="1065">
        <v>2</v>
      </c>
      <c r="F47" s="1066">
        <v>3</v>
      </c>
      <c r="G47" s="1066">
        <v>8</v>
      </c>
      <c r="H47" s="1066">
        <v>11</v>
      </c>
      <c r="I47" s="1066">
        <v>2</v>
      </c>
      <c r="J47" s="1066">
        <v>7</v>
      </c>
      <c r="K47" s="1066">
        <v>2</v>
      </c>
      <c r="L47" s="1067">
        <v>2</v>
      </c>
      <c r="M47" s="1068">
        <v>15</v>
      </c>
      <c r="N47" s="1065"/>
      <c r="O47" s="1066">
        <v>2</v>
      </c>
      <c r="P47" s="1067">
        <v>11</v>
      </c>
      <c r="Q47" s="1042">
        <v>2</v>
      </c>
      <c r="R47" s="315">
        <f t="shared" ref="R47:R52" si="12">AVERAGE(B47:P47)</f>
        <v>7.5714285714285712</v>
      </c>
      <c r="S47" s="119">
        <f t="shared" ref="S47:S52" si="13">MAX(B47:P47)</f>
        <v>33</v>
      </c>
      <c r="T47" s="119">
        <f t="shared" ref="T47:T52" si="14">AVERAGE(H47:M47)</f>
        <v>6.5</v>
      </c>
      <c r="U47" s="120">
        <f>AVERAGE(B50:P51)</f>
        <v>32.06666666666667</v>
      </c>
      <c r="V47" s="119">
        <f>AVERAGE(H50:M51)</f>
        <v>59.666666666666664</v>
      </c>
    </row>
    <row r="48" spans="1:22" ht="15.5">
      <c r="A48" s="128" t="s">
        <v>570</v>
      </c>
      <c r="B48" s="1065">
        <v>39</v>
      </c>
      <c r="C48" s="1065">
        <v>13</v>
      </c>
      <c r="D48" s="1065">
        <v>29</v>
      </c>
      <c r="E48" s="1065">
        <v>2</v>
      </c>
      <c r="F48" s="1065">
        <v>3</v>
      </c>
      <c r="G48" s="1065">
        <v>22</v>
      </c>
      <c r="H48" s="1065">
        <v>6</v>
      </c>
      <c r="I48" s="1066">
        <v>9</v>
      </c>
      <c r="J48" s="1066">
        <v>28</v>
      </c>
      <c r="K48" s="1066">
        <v>12</v>
      </c>
      <c r="L48" s="1067">
        <v>15</v>
      </c>
      <c r="M48" s="1068">
        <v>13</v>
      </c>
      <c r="N48" s="1065"/>
      <c r="O48" s="1066">
        <v>2</v>
      </c>
      <c r="P48" s="1067">
        <v>11</v>
      </c>
      <c r="Q48" s="1066">
        <v>3</v>
      </c>
      <c r="R48" s="119">
        <f t="shared" si="12"/>
        <v>14.571428571428571</v>
      </c>
      <c r="S48" s="119">
        <f t="shared" si="13"/>
        <v>39</v>
      </c>
      <c r="T48" s="119">
        <f t="shared" si="14"/>
        <v>13.833333333333334</v>
      </c>
    </row>
    <row r="49" spans="1:20" ht="15.5">
      <c r="A49" s="129" t="s">
        <v>572</v>
      </c>
      <c r="B49" s="1065">
        <v>29</v>
      </c>
      <c r="C49" s="1065">
        <v>13</v>
      </c>
      <c r="D49" s="1065">
        <v>5</v>
      </c>
      <c r="E49" s="1065">
        <v>2</v>
      </c>
      <c r="F49" s="1065">
        <v>10</v>
      </c>
      <c r="G49" s="1065">
        <v>33</v>
      </c>
      <c r="H49" s="1065">
        <v>27</v>
      </c>
      <c r="I49" s="1066">
        <v>22</v>
      </c>
      <c r="J49" s="1066">
        <v>83</v>
      </c>
      <c r="K49" s="1066">
        <v>96</v>
      </c>
      <c r="L49" s="1067">
        <v>51</v>
      </c>
      <c r="M49" s="1068">
        <v>25</v>
      </c>
      <c r="N49" s="1065"/>
      <c r="O49" s="1066">
        <v>2</v>
      </c>
      <c r="P49" s="1067">
        <v>16</v>
      </c>
      <c r="Q49" s="1066">
        <v>6</v>
      </c>
      <c r="R49" s="119">
        <f t="shared" si="12"/>
        <v>29.571428571428573</v>
      </c>
      <c r="S49" s="119">
        <f t="shared" si="13"/>
        <v>96</v>
      </c>
      <c r="T49" s="119">
        <f t="shared" si="14"/>
        <v>50.666666666666664</v>
      </c>
    </row>
    <row r="50" spans="1:20" ht="15.5">
      <c r="A50" s="129" t="s">
        <v>582</v>
      </c>
      <c r="B50" s="1065">
        <v>13</v>
      </c>
      <c r="C50" s="1065">
        <v>3</v>
      </c>
      <c r="D50" s="1065">
        <v>4</v>
      </c>
      <c r="E50" s="1065">
        <v>3</v>
      </c>
      <c r="F50" s="1065">
        <v>10</v>
      </c>
      <c r="G50" s="1065">
        <v>27</v>
      </c>
      <c r="H50" s="1065">
        <v>61</v>
      </c>
      <c r="I50" s="1066">
        <v>25</v>
      </c>
      <c r="J50" s="1066">
        <v>88</v>
      </c>
      <c r="K50" s="1066">
        <v>99</v>
      </c>
      <c r="L50" s="1067">
        <v>60</v>
      </c>
      <c r="M50" s="1068">
        <v>30</v>
      </c>
      <c r="N50" s="1066">
        <v>26</v>
      </c>
      <c r="O50" s="1066">
        <v>3</v>
      </c>
      <c r="P50" s="1067">
        <v>18</v>
      </c>
      <c r="Q50" s="1066">
        <v>5</v>
      </c>
      <c r="R50" s="119">
        <f t="shared" si="12"/>
        <v>31.333333333333332</v>
      </c>
      <c r="S50" s="119">
        <f t="shared" si="13"/>
        <v>99</v>
      </c>
      <c r="T50" s="119">
        <f t="shared" si="14"/>
        <v>60.5</v>
      </c>
    </row>
    <row r="51" spans="1:20" ht="15.5">
      <c r="A51" s="129" t="s">
        <v>583</v>
      </c>
      <c r="B51" s="1065">
        <v>21</v>
      </c>
      <c r="C51" s="1065">
        <v>9</v>
      </c>
      <c r="D51" s="1065">
        <v>3</v>
      </c>
      <c r="E51" s="1065">
        <v>2</v>
      </c>
      <c r="F51" s="1065">
        <v>38</v>
      </c>
      <c r="G51" s="1065">
        <v>32</v>
      </c>
      <c r="H51" s="1065">
        <v>33</v>
      </c>
      <c r="I51" s="1066">
        <v>38</v>
      </c>
      <c r="J51" s="1066">
        <v>97</v>
      </c>
      <c r="K51" s="1066">
        <v>108</v>
      </c>
      <c r="L51" s="1067">
        <v>48</v>
      </c>
      <c r="M51" s="1068">
        <v>29</v>
      </c>
      <c r="N51" s="1066">
        <v>16</v>
      </c>
      <c r="O51" s="1066">
        <v>2</v>
      </c>
      <c r="P51" s="1067">
        <v>16</v>
      </c>
      <c r="Q51" s="1066">
        <v>9</v>
      </c>
      <c r="R51" s="119">
        <f t="shared" si="12"/>
        <v>32.799999999999997</v>
      </c>
      <c r="S51" s="119">
        <f t="shared" si="13"/>
        <v>108</v>
      </c>
      <c r="T51" s="119">
        <f t="shared" si="14"/>
        <v>58.833333333333336</v>
      </c>
    </row>
    <row r="52" spans="1:20" ht="15.5">
      <c r="A52" s="372" t="s">
        <v>581</v>
      </c>
      <c r="B52" s="53">
        <f>AVERAGE(B50:B51)</f>
        <v>17</v>
      </c>
      <c r="C52" s="53">
        <f t="shared" ref="C52:Q52" si="15">AVERAGE(C50:C51)</f>
        <v>6</v>
      </c>
      <c r="D52" s="53">
        <f t="shared" si="15"/>
        <v>3.5</v>
      </c>
      <c r="E52" s="53">
        <f t="shared" si="15"/>
        <v>2.5</v>
      </c>
      <c r="F52" s="53">
        <f t="shared" si="15"/>
        <v>24</v>
      </c>
      <c r="G52" s="53">
        <f t="shared" si="15"/>
        <v>29.5</v>
      </c>
      <c r="H52" s="53">
        <f t="shared" si="15"/>
        <v>47</v>
      </c>
      <c r="I52" s="53">
        <f t="shared" si="15"/>
        <v>31.5</v>
      </c>
      <c r="J52" s="53">
        <f t="shared" si="15"/>
        <v>92.5</v>
      </c>
      <c r="K52" s="53">
        <f t="shared" si="15"/>
        <v>103.5</v>
      </c>
      <c r="L52" s="53">
        <f t="shared" si="15"/>
        <v>54</v>
      </c>
      <c r="M52" s="53">
        <f t="shared" si="15"/>
        <v>29.5</v>
      </c>
      <c r="N52" s="53">
        <f t="shared" si="15"/>
        <v>21</v>
      </c>
      <c r="O52" s="53">
        <f t="shared" si="15"/>
        <v>2.5</v>
      </c>
      <c r="P52" s="53">
        <f t="shared" si="15"/>
        <v>17</v>
      </c>
      <c r="Q52" s="53">
        <f t="shared" si="15"/>
        <v>7</v>
      </c>
      <c r="R52" s="119">
        <f t="shared" si="12"/>
        <v>32.06666666666667</v>
      </c>
      <c r="S52" s="119">
        <f t="shared" si="13"/>
        <v>103.5</v>
      </c>
      <c r="T52" s="119">
        <f t="shared" si="14"/>
        <v>59.666666666666664</v>
      </c>
    </row>
    <row r="53" spans="1:20" ht="15.5">
      <c r="A53" s="1176" t="s">
        <v>207</v>
      </c>
      <c r="B53" s="1176"/>
      <c r="C53" s="1176"/>
      <c r="D53" s="1176"/>
      <c r="E53" s="1176"/>
      <c r="F53" s="1176"/>
      <c r="G53" s="1176"/>
      <c r="H53" s="1176"/>
      <c r="I53" s="1176"/>
      <c r="J53" s="1176"/>
      <c r="K53" s="1176"/>
      <c r="L53" s="1176"/>
      <c r="M53" s="1176"/>
      <c r="N53" s="1176"/>
      <c r="O53" s="1176"/>
      <c r="P53" s="1176"/>
      <c r="Q53" s="826"/>
    </row>
    <row r="54" spans="1:20">
      <c r="A54" s="111"/>
      <c r="B54" s="111" t="s">
        <v>69</v>
      </c>
      <c r="C54" s="111" t="s">
        <v>70</v>
      </c>
      <c r="D54" s="111" t="s">
        <v>71</v>
      </c>
      <c r="E54" s="111" t="s">
        <v>72</v>
      </c>
      <c r="F54" s="111" t="s">
        <v>73</v>
      </c>
      <c r="G54" s="111" t="s">
        <v>74</v>
      </c>
      <c r="H54" s="111" t="s">
        <v>75</v>
      </c>
      <c r="I54" s="111" t="s">
        <v>76</v>
      </c>
      <c r="J54" s="111" t="s">
        <v>77</v>
      </c>
      <c r="K54" s="111" t="s">
        <v>78</v>
      </c>
      <c r="L54" s="111" t="s">
        <v>79</v>
      </c>
      <c r="M54" s="111" t="s">
        <v>80</v>
      </c>
    </row>
    <row r="55" spans="1:20" ht="14">
      <c r="A55" s="128" t="s">
        <v>571</v>
      </c>
      <c r="B55" s="117">
        <f t="shared" ref="B55:G55" si="16">B47</f>
        <v>33</v>
      </c>
      <c r="C55" s="117">
        <f t="shared" si="16"/>
        <v>2</v>
      </c>
      <c r="D55" s="117">
        <f t="shared" si="16"/>
        <v>6</v>
      </c>
      <c r="E55" s="117">
        <f t="shared" si="16"/>
        <v>2</v>
      </c>
      <c r="F55" s="117">
        <f t="shared" si="16"/>
        <v>3</v>
      </c>
      <c r="G55" s="117">
        <f t="shared" si="16"/>
        <v>8</v>
      </c>
      <c r="H55" s="117">
        <f t="shared" ref="H55:H60" si="17">AVERAGE(H47:I47)</f>
        <v>6.5</v>
      </c>
      <c r="I55" s="117">
        <f t="shared" ref="I55:I60" si="18">AVERAGE(J47:K47)</f>
        <v>4.5</v>
      </c>
      <c r="J55" s="117">
        <f t="shared" ref="J55:J60" si="19">AVERAGE(L47:M47)</f>
        <v>8.5</v>
      </c>
      <c r="K55" s="117">
        <f t="shared" ref="K55:K60" si="20">N47</f>
        <v>0</v>
      </c>
      <c r="L55" s="117">
        <f t="shared" ref="L55:L60" si="21">O47</f>
        <v>2</v>
      </c>
      <c r="M55" s="117">
        <f t="shared" ref="M55:M60" si="22">P47</f>
        <v>11</v>
      </c>
    </row>
    <row r="56" spans="1:20" ht="14">
      <c r="A56" s="128" t="s">
        <v>570</v>
      </c>
      <c r="B56" s="117">
        <f t="shared" ref="B56:G60" si="23">B48</f>
        <v>39</v>
      </c>
      <c r="C56" s="117">
        <f t="shared" si="23"/>
        <v>13</v>
      </c>
      <c r="D56" s="117">
        <f t="shared" si="23"/>
        <v>29</v>
      </c>
      <c r="E56" s="117">
        <f t="shared" si="23"/>
        <v>2</v>
      </c>
      <c r="F56" s="117">
        <f t="shared" si="23"/>
        <v>3</v>
      </c>
      <c r="G56" s="117">
        <f t="shared" si="23"/>
        <v>22</v>
      </c>
      <c r="H56" s="117">
        <f t="shared" si="17"/>
        <v>7.5</v>
      </c>
      <c r="I56" s="117">
        <f t="shared" si="18"/>
        <v>20</v>
      </c>
      <c r="J56" s="117">
        <f t="shared" si="19"/>
        <v>14</v>
      </c>
      <c r="K56" s="117">
        <f t="shared" si="20"/>
        <v>0</v>
      </c>
      <c r="L56" s="117">
        <f t="shared" si="21"/>
        <v>2</v>
      </c>
      <c r="M56" s="117">
        <f t="shared" si="22"/>
        <v>11</v>
      </c>
    </row>
    <row r="57" spans="1:20" ht="14">
      <c r="A57" s="129" t="s">
        <v>572</v>
      </c>
      <c r="B57" s="117">
        <f t="shared" si="23"/>
        <v>29</v>
      </c>
      <c r="C57" s="117">
        <f t="shared" si="23"/>
        <v>13</v>
      </c>
      <c r="D57" s="117">
        <f t="shared" si="23"/>
        <v>5</v>
      </c>
      <c r="E57" s="117">
        <f t="shared" si="23"/>
        <v>2</v>
      </c>
      <c r="F57" s="117">
        <f t="shared" si="23"/>
        <v>10</v>
      </c>
      <c r="G57" s="117">
        <f t="shared" si="23"/>
        <v>33</v>
      </c>
      <c r="H57" s="117">
        <f t="shared" si="17"/>
        <v>24.5</v>
      </c>
      <c r="I57" s="117">
        <f t="shared" si="18"/>
        <v>89.5</v>
      </c>
      <c r="J57" s="117">
        <f t="shared" si="19"/>
        <v>38</v>
      </c>
      <c r="K57" s="117">
        <f t="shared" si="20"/>
        <v>0</v>
      </c>
      <c r="L57" s="117">
        <f t="shared" si="21"/>
        <v>2</v>
      </c>
      <c r="M57" s="117">
        <f t="shared" si="22"/>
        <v>16</v>
      </c>
    </row>
    <row r="58" spans="1:20" ht="14">
      <c r="A58" s="126" t="s">
        <v>783</v>
      </c>
      <c r="B58" s="117">
        <f t="shared" si="23"/>
        <v>13</v>
      </c>
      <c r="C58" s="117">
        <f t="shared" si="23"/>
        <v>3</v>
      </c>
      <c r="D58" s="117">
        <f t="shared" si="23"/>
        <v>4</v>
      </c>
      <c r="E58" s="117">
        <f t="shared" si="23"/>
        <v>3</v>
      </c>
      <c r="F58" s="117">
        <f t="shared" si="23"/>
        <v>10</v>
      </c>
      <c r="G58" s="117">
        <f t="shared" si="23"/>
        <v>27</v>
      </c>
      <c r="H58" s="117">
        <f t="shared" si="17"/>
        <v>43</v>
      </c>
      <c r="I58" s="117">
        <f t="shared" si="18"/>
        <v>93.5</v>
      </c>
      <c r="J58" s="117">
        <f t="shared" si="19"/>
        <v>45</v>
      </c>
      <c r="K58" s="117">
        <f t="shared" si="20"/>
        <v>26</v>
      </c>
      <c r="L58" s="117">
        <f t="shared" si="21"/>
        <v>3</v>
      </c>
      <c r="M58" s="117">
        <f t="shared" si="22"/>
        <v>18</v>
      </c>
    </row>
    <row r="59" spans="1:20" ht="14">
      <c r="A59" s="126" t="s">
        <v>784</v>
      </c>
      <c r="B59" s="117">
        <f t="shared" si="23"/>
        <v>21</v>
      </c>
      <c r="C59" s="117">
        <f t="shared" si="23"/>
        <v>9</v>
      </c>
      <c r="D59" s="117">
        <f t="shared" si="23"/>
        <v>3</v>
      </c>
      <c r="E59" s="117">
        <f t="shared" si="23"/>
        <v>2</v>
      </c>
      <c r="F59" s="117">
        <f t="shared" si="23"/>
        <v>38</v>
      </c>
      <c r="G59" s="117">
        <f t="shared" si="23"/>
        <v>32</v>
      </c>
      <c r="H59" s="117">
        <f t="shared" si="17"/>
        <v>35.5</v>
      </c>
      <c r="I59" s="117">
        <f t="shared" si="18"/>
        <v>102.5</v>
      </c>
      <c r="J59" s="117">
        <f t="shared" si="19"/>
        <v>38.5</v>
      </c>
      <c r="K59" s="117">
        <f t="shared" si="20"/>
        <v>16</v>
      </c>
      <c r="L59" s="117">
        <f t="shared" si="21"/>
        <v>2</v>
      </c>
      <c r="M59" s="117">
        <f t="shared" si="22"/>
        <v>16</v>
      </c>
    </row>
    <row r="60" spans="1:20" ht="14">
      <c r="A60" s="372" t="s">
        <v>581</v>
      </c>
      <c r="B60" s="117">
        <f t="shared" si="23"/>
        <v>17</v>
      </c>
      <c r="C60" s="117">
        <f t="shared" si="23"/>
        <v>6</v>
      </c>
      <c r="D60" s="117">
        <f t="shared" si="23"/>
        <v>3.5</v>
      </c>
      <c r="E60" s="117">
        <f t="shared" si="23"/>
        <v>2.5</v>
      </c>
      <c r="F60" s="117">
        <f t="shared" si="23"/>
        <v>24</v>
      </c>
      <c r="G60" s="117">
        <f t="shared" si="23"/>
        <v>29.5</v>
      </c>
      <c r="H60" s="117">
        <f t="shared" si="17"/>
        <v>39.25</v>
      </c>
      <c r="I60" s="117">
        <f t="shared" si="18"/>
        <v>98</v>
      </c>
      <c r="J60" s="117">
        <f t="shared" si="19"/>
        <v>41.75</v>
      </c>
      <c r="K60" s="117">
        <f t="shared" si="20"/>
        <v>21</v>
      </c>
      <c r="L60" s="117">
        <f t="shared" si="21"/>
        <v>2.5</v>
      </c>
      <c r="M60" s="117">
        <f t="shared" si="22"/>
        <v>17</v>
      </c>
    </row>
  </sheetData>
  <mergeCells count="7">
    <mergeCell ref="A45:P45"/>
    <mergeCell ref="A53:P53"/>
    <mergeCell ref="A1:P1"/>
    <mergeCell ref="A2:P2"/>
    <mergeCell ref="B11:F11"/>
    <mergeCell ref="B12:F12"/>
    <mergeCell ref="A13:M13"/>
  </mergeCells>
  <phoneticPr fontId="0" type="noConversion"/>
  <pageMargins left="0.75" right="0.75" top="1" bottom="1" header="0.5" footer="0.5"/>
  <pageSetup orientation="landscape" horizontalDpi="4294967294"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6">
    <tabColor rgb="FF92D050"/>
    <pageSetUpPr fitToPage="1"/>
  </sheetPr>
  <dimension ref="A1:V35"/>
  <sheetViews>
    <sheetView topLeftCell="E34" zoomScale="75" zoomScaleNormal="75" workbookViewId="0">
      <selection activeCell="B15" sqref="B15:M15"/>
    </sheetView>
  </sheetViews>
  <sheetFormatPr defaultColWidth="9.08984375" defaultRowHeight="13"/>
  <cols>
    <col min="1" max="1" width="36.453125" style="1" customWidth="1"/>
    <col min="2" max="2" width="17.453125" style="11" bestFit="1" customWidth="1"/>
    <col min="3" max="3" width="12.36328125" style="11" bestFit="1" customWidth="1"/>
    <col min="4" max="4" width="12.453125" style="11" bestFit="1" customWidth="1"/>
    <col min="5" max="5" width="13.453125" style="11" customWidth="1"/>
    <col min="6" max="6" width="12.6328125" style="11" bestFit="1" customWidth="1"/>
    <col min="7" max="7" width="12.08984375" style="11" customWidth="1"/>
    <col min="8" max="8" width="12.6328125" style="11" bestFit="1" customWidth="1"/>
    <col min="9" max="9" width="12.08984375" style="11" bestFit="1" customWidth="1"/>
    <col min="10" max="10" width="11.6328125" style="11" bestFit="1" customWidth="1"/>
    <col min="11" max="11" width="11.6328125" style="11" customWidth="1"/>
    <col min="12" max="12" width="12.453125" style="11" bestFit="1" customWidth="1"/>
    <col min="13" max="13" width="11.08984375" style="11" bestFit="1" customWidth="1"/>
    <col min="14" max="14" width="12.453125" style="11" bestFit="1" customWidth="1"/>
    <col min="15" max="15" width="9.453125" style="11" bestFit="1" customWidth="1"/>
    <col min="16" max="16" width="9.36328125" style="11" bestFit="1" customWidth="1"/>
    <col min="17" max="17" width="9.36328125" style="11" customWidth="1"/>
    <col min="18" max="18" width="12" style="11" customWidth="1"/>
    <col min="19" max="19" width="9.6328125" style="11" bestFit="1" customWidth="1"/>
    <col min="20" max="20" width="13" style="11" customWidth="1"/>
    <col min="21" max="21" width="11.54296875" style="11" bestFit="1" customWidth="1"/>
    <col min="22" max="23" width="11.08984375" style="11" bestFit="1" customWidth="1"/>
    <col min="24" max="24" width="9.90625" style="11" bestFit="1" customWidth="1"/>
    <col min="25" max="25" width="10.36328125" style="11" bestFit="1" customWidth="1"/>
    <col min="26" max="26" width="10.90625" style="11" bestFit="1" customWidth="1"/>
    <col min="27" max="27" width="11.08984375" style="11" bestFit="1" customWidth="1"/>
    <col min="28" max="28" width="11" style="11" customWidth="1"/>
    <col min="29" max="29" width="11.453125" style="11" customWidth="1"/>
    <col min="30" max="30" width="11.90625" style="11" customWidth="1"/>
    <col min="31" max="31" width="11.36328125" style="11" customWidth="1"/>
    <col min="32" max="32" width="10.90625" style="11" bestFit="1" customWidth="1"/>
    <col min="33" max="16384" width="9.08984375" style="11"/>
  </cols>
  <sheetData>
    <row r="1" spans="1:22">
      <c r="A1" s="1182" t="s">
        <v>3</v>
      </c>
      <c r="B1" s="1182"/>
      <c r="C1" s="1182"/>
      <c r="D1" s="1182"/>
      <c r="E1" s="1182"/>
      <c r="F1" s="1182"/>
      <c r="G1" s="1182"/>
      <c r="H1" s="1182"/>
      <c r="I1" s="1182"/>
      <c r="J1" s="1182"/>
      <c r="K1" s="1182"/>
      <c r="L1" s="1182"/>
      <c r="M1" s="1182"/>
      <c r="N1" s="1182"/>
      <c r="O1" s="1182"/>
      <c r="P1" s="1182"/>
      <c r="Q1" s="1182"/>
      <c r="R1" s="1182"/>
    </row>
    <row r="3" spans="1:22">
      <c r="B3" s="1217" t="s">
        <v>133</v>
      </c>
      <c r="C3" s="1217"/>
      <c r="D3" s="1217"/>
      <c r="E3" s="1217"/>
      <c r="F3" s="1217"/>
      <c r="G3" s="1217"/>
      <c r="H3" s="1217"/>
      <c r="I3" s="1217"/>
      <c r="J3" s="1217"/>
      <c r="K3" s="1217"/>
      <c r="L3" s="1217"/>
      <c r="M3" s="1217"/>
      <c r="N3" s="1217"/>
    </row>
    <row r="4" spans="1:22" ht="28">
      <c r="A4" s="127"/>
      <c r="B4" s="617">
        <v>41296</v>
      </c>
      <c r="C4" s="617">
        <v>41324</v>
      </c>
      <c r="D4" s="617">
        <v>41358</v>
      </c>
      <c r="E4" s="617">
        <v>41386</v>
      </c>
      <c r="F4" s="617">
        <v>41414</v>
      </c>
      <c r="G4" s="617">
        <v>41442</v>
      </c>
      <c r="H4" s="617">
        <v>41463</v>
      </c>
      <c r="I4" s="617">
        <v>41477</v>
      </c>
      <c r="J4" s="617">
        <v>41491</v>
      </c>
      <c r="K4" s="617">
        <v>41512</v>
      </c>
      <c r="L4" s="617">
        <v>41526</v>
      </c>
      <c r="M4" s="617">
        <v>41540</v>
      </c>
      <c r="N4" s="617">
        <v>41558</v>
      </c>
      <c r="O4" s="617">
        <v>41568</v>
      </c>
      <c r="P4" s="617">
        <v>41596</v>
      </c>
      <c r="Q4" s="617">
        <v>41624</v>
      </c>
      <c r="R4" s="115" t="s">
        <v>91</v>
      </c>
      <c r="S4" s="113" t="s">
        <v>83</v>
      </c>
      <c r="T4" s="115" t="s">
        <v>109</v>
      </c>
      <c r="U4" s="115" t="s">
        <v>123</v>
      </c>
      <c r="V4" s="115" t="s">
        <v>124</v>
      </c>
    </row>
    <row r="5" spans="1:22" ht="14">
      <c r="A5" s="128" t="s">
        <v>571</v>
      </c>
      <c r="B5" s="837">
        <v>766</v>
      </c>
      <c r="C5" s="1069">
        <v>784</v>
      </c>
      <c r="D5" s="1069">
        <v>452</v>
      </c>
      <c r="E5" s="837">
        <v>253</v>
      </c>
      <c r="F5" s="1069">
        <v>268</v>
      </c>
      <c r="G5" s="1069">
        <v>297</v>
      </c>
      <c r="H5" s="1069">
        <v>673</v>
      </c>
      <c r="I5" s="1069">
        <v>16</v>
      </c>
      <c r="J5" s="1069">
        <v>557</v>
      </c>
      <c r="K5" s="1069">
        <v>685</v>
      </c>
      <c r="L5" s="314">
        <v>851</v>
      </c>
      <c r="M5" s="1070">
        <v>323</v>
      </c>
      <c r="N5" s="837"/>
      <c r="O5" s="1069">
        <v>108</v>
      </c>
      <c r="P5" s="314">
        <v>174</v>
      </c>
      <c r="Q5" s="1069">
        <v>492</v>
      </c>
      <c r="R5" s="125">
        <f>AVERAGE(B5:P5)</f>
        <v>443.35714285714283</v>
      </c>
      <c r="S5" s="125">
        <f t="shared" ref="S5:S10" si="0">MAX(B5:P5)</f>
        <v>851</v>
      </c>
      <c r="T5" s="125">
        <f t="shared" ref="T5:T10" si="1">AVERAGE(H5:M5)</f>
        <v>517.5</v>
      </c>
      <c r="U5" s="125">
        <f>AVERAGE(B8:P9)</f>
        <v>152.5</v>
      </c>
      <c r="V5" s="125">
        <f>AVERAGE(H8:M9)</f>
        <v>102.58333333333333</v>
      </c>
    </row>
    <row r="6" spans="1:22" ht="14">
      <c r="A6" s="128" t="s">
        <v>570</v>
      </c>
      <c r="B6" s="837">
        <v>2637</v>
      </c>
      <c r="C6" s="837">
        <v>2411</v>
      </c>
      <c r="D6" s="837">
        <v>2087</v>
      </c>
      <c r="E6" s="837">
        <v>544</v>
      </c>
      <c r="F6" s="837">
        <v>240</v>
      </c>
      <c r="G6" s="837">
        <v>456</v>
      </c>
      <c r="H6" s="837">
        <v>342</v>
      </c>
      <c r="I6" s="1069">
        <v>509</v>
      </c>
      <c r="J6" s="1069">
        <v>327</v>
      </c>
      <c r="K6" s="1069">
        <v>254</v>
      </c>
      <c r="L6" s="314">
        <v>415</v>
      </c>
      <c r="M6" s="1070">
        <v>207</v>
      </c>
      <c r="N6" s="837"/>
      <c r="O6" s="1069">
        <v>250</v>
      </c>
      <c r="P6" s="314">
        <v>514</v>
      </c>
      <c r="Q6" s="1069">
        <v>472</v>
      </c>
      <c r="R6" s="125">
        <f>AVERAGE(B6:P6)</f>
        <v>799.5</v>
      </c>
      <c r="S6" s="125">
        <f t="shared" si="0"/>
        <v>2637</v>
      </c>
      <c r="T6" s="125">
        <f t="shared" si="1"/>
        <v>342.33333333333331</v>
      </c>
      <c r="U6" s="118"/>
      <c r="V6" s="118"/>
    </row>
    <row r="7" spans="1:22" ht="14">
      <c r="A7" s="129" t="s">
        <v>572</v>
      </c>
      <c r="B7" s="837">
        <v>167</v>
      </c>
      <c r="C7" s="837">
        <v>261</v>
      </c>
      <c r="D7" s="837">
        <v>168</v>
      </c>
      <c r="E7" s="837">
        <v>21</v>
      </c>
      <c r="F7" s="837">
        <v>289</v>
      </c>
      <c r="G7" s="837">
        <v>161</v>
      </c>
      <c r="H7" s="837">
        <v>188</v>
      </c>
      <c r="I7" s="1069">
        <v>51</v>
      </c>
      <c r="J7" s="1069">
        <v>29</v>
      </c>
      <c r="K7" s="1069">
        <v>80</v>
      </c>
      <c r="L7" s="314">
        <v>80</v>
      </c>
      <c r="M7" s="1070">
        <v>215</v>
      </c>
      <c r="N7" s="837"/>
      <c r="O7" s="1069">
        <v>237</v>
      </c>
      <c r="P7" s="314">
        <v>324</v>
      </c>
      <c r="Q7" s="1069">
        <v>427</v>
      </c>
      <c r="R7" s="125">
        <f>AVERAGE(B7:P7)</f>
        <v>162.21428571428572</v>
      </c>
      <c r="S7" s="125">
        <f t="shared" si="0"/>
        <v>324</v>
      </c>
      <c r="T7" s="125">
        <f t="shared" si="1"/>
        <v>107.16666666666667</v>
      </c>
      <c r="U7" s="118"/>
      <c r="V7" s="118"/>
    </row>
    <row r="8" spans="1:22" ht="14">
      <c r="A8" s="129" t="s">
        <v>210</v>
      </c>
      <c r="B8" s="837">
        <v>183</v>
      </c>
      <c r="C8" s="837">
        <v>279</v>
      </c>
      <c r="D8" s="837">
        <v>174</v>
      </c>
      <c r="E8" s="837">
        <v>40</v>
      </c>
      <c r="F8" s="837">
        <v>293</v>
      </c>
      <c r="G8" s="837">
        <v>151</v>
      </c>
      <c r="H8" s="837">
        <v>159</v>
      </c>
      <c r="I8" s="1069">
        <v>44</v>
      </c>
      <c r="J8" s="1069">
        <v>36</v>
      </c>
      <c r="K8" s="1069">
        <v>57</v>
      </c>
      <c r="L8" s="314">
        <v>75</v>
      </c>
      <c r="M8" s="1070">
        <v>209</v>
      </c>
      <c r="N8" s="1069">
        <v>173</v>
      </c>
      <c r="O8" s="1069">
        <v>225</v>
      </c>
      <c r="P8" s="314">
        <v>316</v>
      </c>
      <c r="Q8" s="1069">
        <v>426</v>
      </c>
      <c r="R8" s="125">
        <f>AVERAGE(B8:P8)</f>
        <v>160.93333333333334</v>
      </c>
      <c r="S8" s="125">
        <f t="shared" si="0"/>
        <v>316</v>
      </c>
      <c r="T8" s="125">
        <f t="shared" si="1"/>
        <v>96.666666666666671</v>
      </c>
      <c r="U8" s="118"/>
      <c r="V8" s="118"/>
    </row>
    <row r="9" spans="1:22" ht="14">
      <c r="A9" s="129" t="s">
        <v>211</v>
      </c>
      <c r="B9" s="837">
        <v>156</v>
      </c>
      <c r="C9" s="837">
        <v>156</v>
      </c>
      <c r="D9" s="837">
        <v>181</v>
      </c>
      <c r="E9" s="837">
        <v>37</v>
      </c>
      <c r="F9" s="837">
        <v>129</v>
      </c>
      <c r="G9" s="837">
        <v>154</v>
      </c>
      <c r="H9" s="837">
        <v>158</v>
      </c>
      <c r="I9" s="1069">
        <v>67</v>
      </c>
      <c r="J9" s="1069">
        <v>38</v>
      </c>
      <c r="K9" s="1069">
        <v>72</v>
      </c>
      <c r="L9" s="314">
        <v>88</v>
      </c>
      <c r="M9" s="1070">
        <v>228</v>
      </c>
      <c r="N9" s="1069">
        <v>168</v>
      </c>
      <c r="O9" s="1069">
        <v>231</v>
      </c>
      <c r="P9" s="314">
        <v>298</v>
      </c>
      <c r="Q9" s="1069">
        <v>394</v>
      </c>
      <c r="R9" s="125">
        <f>AVERAGE(A9:P9)</f>
        <v>144.06666666666666</v>
      </c>
      <c r="S9" s="125">
        <f t="shared" si="0"/>
        <v>298</v>
      </c>
      <c r="T9" s="125">
        <f t="shared" si="1"/>
        <v>108.5</v>
      </c>
      <c r="U9" s="118"/>
      <c r="V9" s="118"/>
    </row>
    <row r="10" spans="1:22" ht="14">
      <c r="A10" s="129" t="s">
        <v>576</v>
      </c>
      <c r="B10" s="184">
        <f>AVERAGE(B8:B9)</f>
        <v>169.5</v>
      </c>
      <c r="C10" s="184">
        <f t="shared" ref="C10:Q10" si="2">AVERAGE(C8:C9)</f>
        <v>217.5</v>
      </c>
      <c r="D10" s="184">
        <f t="shared" si="2"/>
        <v>177.5</v>
      </c>
      <c r="E10" s="184">
        <f t="shared" si="2"/>
        <v>38.5</v>
      </c>
      <c r="F10" s="184">
        <f t="shared" si="2"/>
        <v>211</v>
      </c>
      <c r="G10" s="184">
        <f t="shared" si="2"/>
        <v>152.5</v>
      </c>
      <c r="H10" s="184">
        <f t="shared" si="2"/>
        <v>158.5</v>
      </c>
      <c r="I10" s="184">
        <f t="shared" si="2"/>
        <v>55.5</v>
      </c>
      <c r="J10" s="184">
        <f t="shared" si="2"/>
        <v>37</v>
      </c>
      <c r="K10" s="184">
        <f t="shared" si="2"/>
        <v>64.5</v>
      </c>
      <c r="L10" s="184">
        <f t="shared" si="2"/>
        <v>81.5</v>
      </c>
      <c r="M10" s="184">
        <f t="shared" si="2"/>
        <v>218.5</v>
      </c>
      <c r="N10" s="184">
        <f t="shared" si="2"/>
        <v>170.5</v>
      </c>
      <c r="O10" s="184">
        <f t="shared" si="2"/>
        <v>228</v>
      </c>
      <c r="P10" s="184">
        <f t="shared" si="2"/>
        <v>307</v>
      </c>
      <c r="Q10" s="184">
        <f t="shared" si="2"/>
        <v>410</v>
      </c>
      <c r="R10" s="125">
        <f>AVERAGE(A10:P10)</f>
        <v>152.5</v>
      </c>
      <c r="S10" s="125">
        <f t="shared" si="0"/>
        <v>307</v>
      </c>
      <c r="T10" s="125">
        <f t="shared" si="1"/>
        <v>102.58333333333333</v>
      </c>
      <c r="U10" s="118"/>
      <c r="V10" s="118"/>
    </row>
    <row r="11" spans="1:22" ht="14">
      <c r="A11" s="372"/>
      <c r="B11" s="373"/>
      <c r="C11" s="373"/>
      <c r="D11" s="373"/>
      <c r="E11" s="373"/>
      <c r="F11" s="373"/>
      <c r="G11" s="373"/>
      <c r="H11" s="373"/>
      <c r="I11" s="373"/>
      <c r="J11" s="373"/>
      <c r="K11" s="373"/>
      <c r="L11" s="373"/>
      <c r="M11" s="373"/>
      <c r="N11" s="373"/>
      <c r="O11" s="373"/>
      <c r="P11" s="373"/>
      <c r="Q11" s="373"/>
      <c r="R11" s="380"/>
      <c r="S11" s="380"/>
      <c r="T11" s="380"/>
      <c r="U11" s="118"/>
      <c r="V11" s="118"/>
    </row>
    <row r="12" spans="1:22" ht="14">
      <c r="A12" s="372"/>
      <c r="B12" s="383" t="s">
        <v>69</v>
      </c>
      <c r="C12" s="383" t="s">
        <v>70</v>
      </c>
      <c r="D12" s="383" t="s">
        <v>71</v>
      </c>
      <c r="E12" s="383" t="s">
        <v>72</v>
      </c>
      <c r="F12" s="383" t="s">
        <v>73</v>
      </c>
      <c r="G12" s="383" t="s">
        <v>74</v>
      </c>
      <c r="H12" s="383" t="s">
        <v>75</v>
      </c>
      <c r="I12" s="383" t="s">
        <v>76</v>
      </c>
      <c r="J12" s="383" t="s">
        <v>77</v>
      </c>
      <c r="K12" s="383" t="s">
        <v>78</v>
      </c>
      <c r="L12" s="383" t="s">
        <v>79</v>
      </c>
      <c r="M12" s="383" t="s">
        <v>80</v>
      </c>
      <c r="N12" s="373"/>
      <c r="O12" s="373"/>
      <c r="P12" s="373"/>
      <c r="Q12" s="373"/>
      <c r="R12" s="380"/>
      <c r="S12" s="380"/>
      <c r="T12" s="380"/>
      <c r="U12" s="118"/>
      <c r="V12" s="118"/>
    </row>
    <row r="13" spans="1:22" ht="14">
      <c r="A13" s="381" t="s">
        <v>571</v>
      </c>
      <c r="B13" s="184">
        <f t="shared" ref="B13:G13" si="3">B5</f>
        <v>766</v>
      </c>
      <c r="C13" s="184">
        <f t="shared" si="3"/>
        <v>784</v>
      </c>
      <c r="D13" s="184">
        <f t="shared" si="3"/>
        <v>452</v>
      </c>
      <c r="E13" s="184">
        <f t="shared" si="3"/>
        <v>253</v>
      </c>
      <c r="F13" s="184">
        <f t="shared" si="3"/>
        <v>268</v>
      </c>
      <c r="G13" s="184">
        <f t="shared" si="3"/>
        <v>297</v>
      </c>
      <c r="H13" s="184">
        <f t="shared" ref="H13:H18" si="4">(H5+I5)/2</f>
        <v>344.5</v>
      </c>
      <c r="I13" s="184">
        <f t="shared" ref="I13:I18" si="5">(J5+K5)/2</f>
        <v>621</v>
      </c>
      <c r="J13" s="184">
        <f t="shared" ref="J13:J18" si="6">(L5+M5)/2</f>
        <v>587</v>
      </c>
      <c r="K13" s="184">
        <f>(O5+N5)/2</f>
        <v>54</v>
      </c>
      <c r="L13" s="184">
        <f>P5</f>
        <v>174</v>
      </c>
      <c r="M13" s="184">
        <f>Q5</f>
        <v>492</v>
      </c>
      <c r="N13" s="373"/>
      <c r="O13" s="373"/>
      <c r="P13" s="373"/>
      <c r="Q13" s="373"/>
      <c r="R13" s="380"/>
      <c r="S13" s="380"/>
      <c r="T13" s="380"/>
      <c r="U13" s="118"/>
      <c r="V13" s="118"/>
    </row>
    <row r="14" spans="1:22" ht="14">
      <c r="A14" s="381" t="s">
        <v>570</v>
      </c>
      <c r="B14" s="184">
        <f t="shared" ref="B14:G18" si="7">B6</f>
        <v>2637</v>
      </c>
      <c r="C14" s="184">
        <f t="shared" si="7"/>
        <v>2411</v>
      </c>
      <c r="D14" s="184">
        <f t="shared" si="7"/>
        <v>2087</v>
      </c>
      <c r="E14" s="184">
        <f t="shared" si="7"/>
        <v>544</v>
      </c>
      <c r="F14" s="184">
        <f t="shared" si="7"/>
        <v>240</v>
      </c>
      <c r="G14" s="184">
        <f t="shared" si="7"/>
        <v>456</v>
      </c>
      <c r="H14" s="184">
        <f t="shared" si="4"/>
        <v>425.5</v>
      </c>
      <c r="I14" s="184">
        <f t="shared" si="5"/>
        <v>290.5</v>
      </c>
      <c r="J14" s="184">
        <f t="shared" si="6"/>
        <v>311</v>
      </c>
      <c r="K14" s="184">
        <f t="shared" ref="K14:K18" si="8">(O6+N6)/2</f>
        <v>125</v>
      </c>
      <c r="L14" s="184">
        <f t="shared" ref="L14:L18" si="9">P6</f>
        <v>514</v>
      </c>
      <c r="M14" s="184">
        <f t="shared" ref="M14:M18" si="10">Q6</f>
        <v>472</v>
      </c>
      <c r="N14" s="373"/>
      <c r="O14" s="373"/>
      <c r="P14" s="373"/>
      <c r="Q14" s="373"/>
      <c r="R14" s="380"/>
      <c r="S14" s="380"/>
      <c r="T14" s="380"/>
      <c r="U14" s="118"/>
      <c r="V14" s="118"/>
    </row>
    <row r="15" spans="1:22" ht="14">
      <c r="A15" s="382" t="s">
        <v>572</v>
      </c>
      <c r="B15" s="184">
        <f t="shared" si="7"/>
        <v>167</v>
      </c>
      <c r="C15" s="184">
        <f t="shared" si="7"/>
        <v>261</v>
      </c>
      <c r="D15" s="184">
        <f t="shared" si="7"/>
        <v>168</v>
      </c>
      <c r="E15" s="184">
        <f t="shared" si="7"/>
        <v>21</v>
      </c>
      <c r="F15" s="184">
        <f t="shared" si="7"/>
        <v>289</v>
      </c>
      <c r="G15" s="184">
        <f t="shared" si="7"/>
        <v>161</v>
      </c>
      <c r="H15" s="184">
        <f t="shared" si="4"/>
        <v>119.5</v>
      </c>
      <c r="I15" s="184">
        <f t="shared" si="5"/>
        <v>54.5</v>
      </c>
      <c r="J15" s="184">
        <f t="shared" si="6"/>
        <v>147.5</v>
      </c>
      <c r="K15" s="184">
        <f t="shared" si="8"/>
        <v>118.5</v>
      </c>
      <c r="L15" s="184">
        <f t="shared" si="9"/>
        <v>324</v>
      </c>
      <c r="M15" s="184">
        <f t="shared" si="10"/>
        <v>427</v>
      </c>
      <c r="N15" s="373"/>
      <c r="O15" s="373"/>
      <c r="P15" s="373"/>
      <c r="Q15" s="373"/>
      <c r="R15" s="380"/>
      <c r="S15" s="380"/>
      <c r="T15" s="380"/>
      <c r="U15" s="118"/>
      <c r="V15" s="118"/>
    </row>
    <row r="16" spans="1:22" ht="14">
      <c r="A16" s="382" t="s">
        <v>210</v>
      </c>
      <c r="B16" s="184">
        <f t="shared" si="7"/>
        <v>183</v>
      </c>
      <c r="C16" s="184">
        <f t="shared" si="7"/>
        <v>279</v>
      </c>
      <c r="D16" s="184">
        <f t="shared" si="7"/>
        <v>174</v>
      </c>
      <c r="E16" s="184">
        <f t="shared" si="7"/>
        <v>40</v>
      </c>
      <c r="F16" s="184">
        <f t="shared" si="7"/>
        <v>293</v>
      </c>
      <c r="G16" s="184">
        <f t="shared" si="7"/>
        <v>151</v>
      </c>
      <c r="H16" s="184">
        <f t="shared" si="4"/>
        <v>101.5</v>
      </c>
      <c r="I16" s="184">
        <f t="shared" si="5"/>
        <v>46.5</v>
      </c>
      <c r="J16" s="184">
        <f t="shared" si="6"/>
        <v>142</v>
      </c>
      <c r="K16" s="184">
        <f t="shared" si="8"/>
        <v>199</v>
      </c>
      <c r="L16" s="184">
        <f t="shared" si="9"/>
        <v>316</v>
      </c>
      <c r="M16" s="184">
        <f t="shared" si="10"/>
        <v>426</v>
      </c>
      <c r="N16" s="373"/>
      <c r="O16" s="373"/>
      <c r="P16" s="373"/>
      <c r="Q16" s="373"/>
      <c r="R16" s="380"/>
      <c r="S16" s="380"/>
      <c r="T16" s="380"/>
      <c r="U16" s="118"/>
      <c r="V16" s="118"/>
    </row>
    <row r="17" spans="1:22" ht="14">
      <c r="A17" s="382" t="s">
        <v>211</v>
      </c>
      <c r="B17" s="184">
        <f t="shared" si="7"/>
        <v>156</v>
      </c>
      <c r="C17" s="184">
        <f t="shared" si="7"/>
        <v>156</v>
      </c>
      <c r="D17" s="184">
        <f t="shared" si="7"/>
        <v>181</v>
      </c>
      <c r="E17" s="184">
        <f t="shared" si="7"/>
        <v>37</v>
      </c>
      <c r="F17" s="184">
        <f t="shared" si="7"/>
        <v>129</v>
      </c>
      <c r="G17" s="184">
        <f t="shared" si="7"/>
        <v>154</v>
      </c>
      <c r="H17" s="184">
        <f t="shared" si="4"/>
        <v>112.5</v>
      </c>
      <c r="I17" s="184">
        <f t="shared" si="5"/>
        <v>55</v>
      </c>
      <c r="J17" s="184">
        <f t="shared" si="6"/>
        <v>158</v>
      </c>
      <c r="K17" s="184">
        <f t="shared" si="8"/>
        <v>199.5</v>
      </c>
      <c r="L17" s="184">
        <f t="shared" si="9"/>
        <v>298</v>
      </c>
      <c r="M17" s="184">
        <f t="shared" si="10"/>
        <v>394</v>
      </c>
      <c r="N17" s="373"/>
      <c r="O17" s="373"/>
      <c r="P17" s="373"/>
      <c r="Q17" s="373"/>
      <c r="R17" s="380"/>
      <c r="S17" s="380"/>
      <c r="T17" s="380"/>
      <c r="U17" s="118"/>
      <c r="V17" s="118"/>
    </row>
    <row r="18" spans="1:22" ht="14">
      <c r="A18" s="382" t="s">
        <v>576</v>
      </c>
      <c r="B18" s="184">
        <f t="shared" si="7"/>
        <v>169.5</v>
      </c>
      <c r="C18" s="184">
        <f t="shared" si="7"/>
        <v>217.5</v>
      </c>
      <c r="D18" s="184">
        <f t="shared" si="7"/>
        <v>177.5</v>
      </c>
      <c r="E18" s="184">
        <f t="shared" si="7"/>
        <v>38.5</v>
      </c>
      <c r="F18" s="184">
        <f t="shared" si="7"/>
        <v>211</v>
      </c>
      <c r="G18" s="184">
        <f t="shared" si="7"/>
        <v>152.5</v>
      </c>
      <c r="H18" s="184">
        <f t="shared" si="4"/>
        <v>107</v>
      </c>
      <c r="I18" s="184">
        <f t="shared" si="5"/>
        <v>50.75</v>
      </c>
      <c r="J18" s="184">
        <f t="shared" si="6"/>
        <v>150</v>
      </c>
      <c r="K18" s="184">
        <f t="shared" si="8"/>
        <v>199.25</v>
      </c>
      <c r="L18" s="184">
        <f t="shared" si="9"/>
        <v>307</v>
      </c>
      <c r="M18" s="184">
        <f t="shared" si="10"/>
        <v>410</v>
      </c>
      <c r="N18" s="373"/>
      <c r="O18" s="373"/>
      <c r="P18" s="373"/>
      <c r="Q18" s="373"/>
      <c r="R18" s="380"/>
      <c r="S18" s="380"/>
      <c r="T18" s="380"/>
      <c r="U18" s="118"/>
      <c r="V18" s="118"/>
    </row>
    <row r="19" spans="1:22" ht="14">
      <c r="A19" s="372"/>
      <c r="B19" s="832"/>
      <c r="C19" s="832"/>
      <c r="D19" s="832"/>
      <c r="E19" s="832"/>
      <c r="F19" s="832"/>
      <c r="G19" s="832"/>
      <c r="H19" s="832"/>
      <c r="I19" s="832"/>
      <c r="J19" s="832"/>
      <c r="K19" s="832"/>
      <c r="L19" s="832"/>
      <c r="M19" s="832"/>
      <c r="N19" s="373"/>
      <c r="O19" s="373"/>
      <c r="P19" s="373"/>
      <c r="Q19" s="373"/>
      <c r="R19" s="380"/>
      <c r="S19" s="380"/>
      <c r="T19" s="380"/>
      <c r="U19" s="118"/>
      <c r="V19" s="118"/>
    </row>
    <row r="20" spans="1:22" ht="14">
      <c r="A20" s="372"/>
      <c r="B20" s="832"/>
      <c r="C20" s="832"/>
      <c r="D20" s="832"/>
      <c r="E20" s="832"/>
      <c r="F20" s="832"/>
      <c r="G20" s="1" t="s">
        <v>206</v>
      </c>
      <c r="H20" s="832"/>
      <c r="I20" s="832"/>
      <c r="J20" s="832"/>
      <c r="K20" s="832"/>
      <c r="L20" s="832"/>
      <c r="M20" s="832"/>
      <c r="N20" s="373"/>
      <c r="O20" s="373"/>
      <c r="P20" s="373"/>
      <c r="Q20" s="373"/>
      <c r="R20" s="380"/>
      <c r="S20" s="380"/>
      <c r="T20" s="380"/>
      <c r="U20" s="118"/>
      <c r="V20" s="118"/>
    </row>
    <row r="21" spans="1:22" ht="28">
      <c r="B21" s="617">
        <v>41296</v>
      </c>
      <c r="C21" s="617">
        <v>41324</v>
      </c>
      <c r="D21" s="617">
        <v>41358</v>
      </c>
      <c r="E21" s="617">
        <v>41386</v>
      </c>
      <c r="F21" s="617">
        <v>41414</v>
      </c>
      <c r="G21" s="617">
        <v>41442</v>
      </c>
      <c r="H21" s="617">
        <v>41463</v>
      </c>
      <c r="I21" s="617">
        <v>41477</v>
      </c>
      <c r="J21" s="617">
        <v>41491</v>
      </c>
      <c r="K21" s="617">
        <v>41512</v>
      </c>
      <c r="L21" s="617">
        <v>41526</v>
      </c>
      <c r="M21" s="617">
        <v>41540</v>
      </c>
      <c r="N21" s="617">
        <v>41558</v>
      </c>
      <c r="O21" s="617">
        <v>41568</v>
      </c>
      <c r="P21" s="617">
        <v>41596</v>
      </c>
      <c r="Q21" s="617">
        <v>41624</v>
      </c>
      <c r="R21" s="115" t="s">
        <v>91</v>
      </c>
      <c r="S21" s="113" t="s">
        <v>83</v>
      </c>
      <c r="T21" s="115" t="s">
        <v>109</v>
      </c>
      <c r="U21" s="115" t="s">
        <v>123</v>
      </c>
      <c r="V21" s="115" t="s">
        <v>124</v>
      </c>
    </row>
    <row r="22" spans="1:22" ht="14">
      <c r="A22" s="381" t="s">
        <v>571</v>
      </c>
      <c r="B22" s="837">
        <v>1207</v>
      </c>
      <c r="C22" s="1069">
        <v>947</v>
      </c>
      <c r="D22" s="1069">
        <v>684</v>
      </c>
      <c r="E22" s="837">
        <v>446</v>
      </c>
      <c r="F22" s="1069">
        <v>529</v>
      </c>
      <c r="G22" s="1069">
        <v>512</v>
      </c>
      <c r="H22" s="1069">
        <v>896</v>
      </c>
      <c r="I22" s="1069">
        <v>577</v>
      </c>
      <c r="J22" s="1069">
        <v>1049</v>
      </c>
      <c r="K22" s="1069">
        <v>1250</v>
      </c>
      <c r="L22" s="314">
        <v>962</v>
      </c>
      <c r="M22" s="1070">
        <v>712</v>
      </c>
      <c r="N22" s="837"/>
      <c r="O22" s="1069">
        <v>367</v>
      </c>
      <c r="P22" s="314">
        <v>398</v>
      </c>
      <c r="Q22" s="1069">
        <v>735</v>
      </c>
      <c r="R22" s="588">
        <f t="shared" ref="R22:R27" si="11">AVERAGE(B22:P22)</f>
        <v>752.57142857142856</v>
      </c>
      <c r="S22" s="125">
        <f t="shared" ref="S22:S27" si="12">MAX(B22:P22)</f>
        <v>1250</v>
      </c>
      <c r="T22" s="125">
        <f t="shared" ref="T22:T27" si="13">AVERAGE(H22:M22)</f>
        <v>907.66666666666663</v>
      </c>
      <c r="U22" s="125">
        <f>AVERAGE(B25:P26)</f>
        <v>751.66666666666663</v>
      </c>
      <c r="V22" s="125">
        <f>AVERAGE(H25:M26)</f>
        <v>868.91666666666663</v>
      </c>
    </row>
    <row r="23" spans="1:22" ht="14">
      <c r="A23" s="381" t="s">
        <v>570</v>
      </c>
      <c r="B23" s="837">
        <v>3154</v>
      </c>
      <c r="C23" s="837">
        <v>2634</v>
      </c>
      <c r="D23" s="837">
        <v>2870</v>
      </c>
      <c r="E23" s="837">
        <v>843</v>
      </c>
      <c r="F23" s="837">
        <v>965</v>
      </c>
      <c r="G23" s="837">
        <v>654</v>
      </c>
      <c r="H23" s="837">
        <v>1118</v>
      </c>
      <c r="I23" s="1069">
        <v>1188</v>
      </c>
      <c r="J23" s="1069">
        <v>1078</v>
      </c>
      <c r="K23" s="1069">
        <v>769</v>
      </c>
      <c r="L23" s="314">
        <v>592</v>
      </c>
      <c r="M23" s="1070">
        <v>610</v>
      </c>
      <c r="N23" s="837"/>
      <c r="O23" s="1069">
        <v>406</v>
      </c>
      <c r="P23" s="314">
        <v>683</v>
      </c>
      <c r="Q23" s="1069">
        <v>693</v>
      </c>
      <c r="R23" s="588">
        <f t="shared" si="11"/>
        <v>1254.5714285714287</v>
      </c>
      <c r="S23" s="125">
        <f t="shared" si="12"/>
        <v>3154</v>
      </c>
      <c r="T23" s="125">
        <f t="shared" si="13"/>
        <v>892.5</v>
      </c>
      <c r="U23" s="118"/>
      <c r="V23" s="118"/>
    </row>
    <row r="24" spans="1:22" ht="14">
      <c r="A24" s="382" t="s">
        <v>572</v>
      </c>
      <c r="B24" s="837">
        <v>1050</v>
      </c>
      <c r="C24" s="837">
        <v>713</v>
      </c>
      <c r="D24" s="837">
        <v>621</v>
      </c>
      <c r="E24" s="837">
        <v>450</v>
      </c>
      <c r="F24" s="837">
        <v>865</v>
      </c>
      <c r="G24" s="837">
        <v>697</v>
      </c>
      <c r="H24" s="837">
        <v>1064</v>
      </c>
      <c r="I24" s="1069">
        <v>793</v>
      </c>
      <c r="J24" s="1069">
        <v>2241</v>
      </c>
      <c r="K24" s="1069">
        <v>1141</v>
      </c>
      <c r="L24" s="314">
        <v>607</v>
      </c>
      <c r="M24" s="1070">
        <v>635</v>
      </c>
      <c r="N24" s="837"/>
      <c r="O24" s="1069">
        <v>791</v>
      </c>
      <c r="P24" s="314">
        <v>642</v>
      </c>
      <c r="Q24" s="1069">
        <v>685</v>
      </c>
      <c r="R24" s="588">
        <f t="shared" si="11"/>
        <v>879.28571428571433</v>
      </c>
      <c r="S24" s="125">
        <f t="shared" si="12"/>
        <v>2241</v>
      </c>
      <c r="T24" s="125">
        <f t="shared" si="13"/>
        <v>1080.1666666666667</v>
      </c>
      <c r="U24" s="118"/>
      <c r="V24" s="118"/>
    </row>
    <row r="25" spans="1:22" ht="14">
      <c r="A25" s="126" t="s">
        <v>573</v>
      </c>
      <c r="B25" s="837">
        <v>611</v>
      </c>
      <c r="C25" s="837">
        <v>578</v>
      </c>
      <c r="D25" s="837">
        <v>703</v>
      </c>
      <c r="E25" s="837">
        <v>511</v>
      </c>
      <c r="F25" s="837">
        <v>838</v>
      </c>
      <c r="G25" s="837">
        <v>701</v>
      </c>
      <c r="H25" s="837">
        <v>902</v>
      </c>
      <c r="I25" s="1069">
        <v>808</v>
      </c>
      <c r="J25" s="1069">
        <v>1272</v>
      </c>
      <c r="K25" s="1069">
        <v>883</v>
      </c>
      <c r="L25" s="314">
        <v>864</v>
      </c>
      <c r="M25" s="1070">
        <v>968</v>
      </c>
      <c r="N25" s="1069">
        <v>715</v>
      </c>
      <c r="O25" s="1069">
        <v>602</v>
      </c>
      <c r="P25" s="314">
        <v>774</v>
      </c>
      <c r="Q25" s="1069">
        <v>746</v>
      </c>
      <c r="R25" s="588">
        <f t="shared" si="11"/>
        <v>782</v>
      </c>
      <c r="S25" s="125">
        <f t="shared" si="12"/>
        <v>1272</v>
      </c>
      <c r="T25" s="125">
        <f t="shared" si="13"/>
        <v>949.5</v>
      </c>
      <c r="U25" s="118"/>
      <c r="V25" s="118"/>
    </row>
    <row r="26" spans="1:22" ht="14">
      <c r="A26" s="126" t="s">
        <v>574</v>
      </c>
      <c r="B26" s="837">
        <v>736</v>
      </c>
      <c r="C26" s="837">
        <v>808</v>
      </c>
      <c r="D26" s="837">
        <v>673</v>
      </c>
      <c r="E26" s="837">
        <v>495</v>
      </c>
      <c r="F26" s="837">
        <v>760</v>
      </c>
      <c r="G26" s="837">
        <v>637</v>
      </c>
      <c r="H26" s="837">
        <v>713</v>
      </c>
      <c r="I26" s="1069">
        <v>1049</v>
      </c>
      <c r="J26" s="1069">
        <v>978</v>
      </c>
      <c r="K26" s="1069">
        <v>861</v>
      </c>
      <c r="L26" s="314">
        <v>453</v>
      </c>
      <c r="M26" s="1070">
        <v>676</v>
      </c>
      <c r="N26" s="1069">
        <v>723</v>
      </c>
      <c r="O26" s="1069">
        <v>633</v>
      </c>
      <c r="P26" s="314">
        <v>625</v>
      </c>
      <c r="Q26" s="1069">
        <v>748</v>
      </c>
      <c r="R26" s="588">
        <f t="shared" si="11"/>
        <v>721.33333333333337</v>
      </c>
      <c r="S26" s="125">
        <f t="shared" si="12"/>
        <v>1049</v>
      </c>
      <c r="T26" s="125">
        <f t="shared" si="13"/>
        <v>788.33333333333337</v>
      </c>
      <c r="U26" s="118"/>
      <c r="V26" s="118"/>
    </row>
    <row r="27" spans="1:22" ht="14">
      <c r="A27" s="372" t="s">
        <v>575</v>
      </c>
      <c r="B27" s="184">
        <f>AVERAGE(B25:B26)</f>
        <v>673.5</v>
      </c>
      <c r="C27" s="184">
        <f t="shared" ref="C27:Q27" si="14">AVERAGE(C25:C26)</f>
        <v>693</v>
      </c>
      <c r="D27" s="184">
        <f t="shared" si="14"/>
        <v>688</v>
      </c>
      <c r="E27" s="184">
        <f t="shared" si="14"/>
        <v>503</v>
      </c>
      <c r="F27" s="184">
        <f t="shared" si="14"/>
        <v>799</v>
      </c>
      <c r="G27" s="184">
        <f t="shared" si="14"/>
        <v>669</v>
      </c>
      <c r="H27" s="184">
        <f t="shared" si="14"/>
        <v>807.5</v>
      </c>
      <c r="I27" s="184">
        <f t="shared" si="14"/>
        <v>928.5</v>
      </c>
      <c r="J27" s="184">
        <f t="shared" si="14"/>
        <v>1125</v>
      </c>
      <c r="K27" s="184">
        <f t="shared" si="14"/>
        <v>872</v>
      </c>
      <c r="L27" s="184">
        <f t="shared" si="14"/>
        <v>658.5</v>
      </c>
      <c r="M27" s="184">
        <f t="shared" si="14"/>
        <v>822</v>
      </c>
      <c r="N27" s="184">
        <f t="shared" si="14"/>
        <v>719</v>
      </c>
      <c r="O27" s="184">
        <f t="shared" si="14"/>
        <v>617.5</v>
      </c>
      <c r="P27" s="184">
        <f t="shared" si="14"/>
        <v>699.5</v>
      </c>
      <c r="Q27" s="184">
        <f t="shared" si="14"/>
        <v>747</v>
      </c>
      <c r="R27" s="588">
        <f t="shared" si="11"/>
        <v>751.66666666666663</v>
      </c>
      <c r="S27" s="125">
        <f t="shared" si="12"/>
        <v>1125</v>
      </c>
      <c r="T27" s="125">
        <f t="shared" si="13"/>
        <v>868.91666666666663</v>
      </c>
    </row>
    <row r="29" spans="1:22">
      <c r="B29" s="383" t="s">
        <v>69</v>
      </c>
      <c r="C29" s="383" t="s">
        <v>70</v>
      </c>
      <c r="D29" s="383" t="s">
        <v>71</v>
      </c>
      <c r="E29" s="383" t="s">
        <v>72</v>
      </c>
      <c r="F29" s="383" t="s">
        <v>73</v>
      </c>
      <c r="G29" s="383" t="s">
        <v>74</v>
      </c>
      <c r="H29" s="383" t="s">
        <v>75</v>
      </c>
      <c r="I29" s="383" t="s">
        <v>76</v>
      </c>
      <c r="J29" s="383" t="s">
        <v>77</v>
      </c>
      <c r="K29" s="383" t="s">
        <v>78</v>
      </c>
      <c r="L29" s="383" t="s">
        <v>79</v>
      </c>
      <c r="M29" s="383" t="s">
        <v>80</v>
      </c>
    </row>
    <row r="30" spans="1:22" ht="14">
      <c r="A30" s="381" t="s">
        <v>571</v>
      </c>
      <c r="B30" s="184">
        <f t="shared" ref="B30:G30" si="15">B22</f>
        <v>1207</v>
      </c>
      <c r="C30" s="184">
        <f t="shared" si="15"/>
        <v>947</v>
      </c>
      <c r="D30" s="184">
        <f t="shared" si="15"/>
        <v>684</v>
      </c>
      <c r="E30" s="184">
        <f t="shared" si="15"/>
        <v>446</v>
      </c>
      <c r="F30" s="184">
        <f t="shared" si="15"/>
        <v>529</v>
      </c>
      <c r="G30" s="184">
        <f t="shared" si="15"/>
        <v>512</v>
      </c>
      <c r="H30" s="184">
        <f t="shared" ref="H30:H35" si="16">(H22+I22)/2</f>
        <v>736.5</v>
      </c>
      <c r="I30" s="184">
        <f>(J22+K22)/2</f>
        <v>1149.5</v>
      </c>
      <c r="J30" s="184">
        <f>(L22+M22)/2</f>
        <v>837</v>
      </c>
      <c r="K30" s="184">
        <f>(N22+O22)/2</f>
        <v>183.5</v>
      </c>
      <c r="L30" s="184">
        <f t="shared" ref="K30:M35" si="17">O22</f>
        <v>367</v>
      </c>
      <c r="M30" s="184">
        <f t="shared" si="17"/>
        <v>398</v>
      </c>
    </row>
    <row r="31" spans="1:22" ht="14">
      <c r="A31" s="381" t="s">
        <v>570</v>
      </c>
      <c r="B31" s="184">
        <f t="shared" ref="B31:G31" si="18">B23</f>
        <v>3154</v>
      </c>
      <c r="C31" s="184">
        <f t="shared" si="18"/>
        <v>2634</v>
      </c>
      <c r="D31" s="184">
        <f t="shared" si="18"/>
        <v>2870</v>
      </c>
      <c r="E31" s="184">
        <f t="shared" si="18"/>
        <v>843</v>
      </c>
      <c r="F31" s="184">
        <f t="shared" si="18"/>
        <v>965</v>
      </c>
      <c r="G31" s="184">
        <f t="shared" si="18"/>
        <v>654</v>
      </c>
      <c r="H31" s="184">
        <f t="shared" si="16"/>
        <v>1153</v>
      </c>
      <c r="I31" s="184">
        <f t="shared" ref="I31:J35" si="19">(J23+K23)/2</f>
        <v>923.5</v>
      </c>
      <c r="J31" s="184">
        <f>(L23+M23)/2</f>
        <v>601</v>
      </c>
      <c r="K31" s="184">
        <f t="shared" ref="K31:K34" si="20">(N23+O23)/2</f>
        <v>203</v>
      </c>
      <c r="L31" s="184">
        <f t="shared" si="17"/>
        <v>406</v>
      </c>
      <c r="M31" s="184">
        <f t="shared" si="17"/>
        <v>683</v>
      </c>
    </row>
    <row r="32" spans="1:22" ht="14">
      <c r="A32" s="382" t="s">
        <v>572</v>
      </c>
      <c r="B32" s="184">
        <f t="shared" ref="B32:G32" si="21">B24</f>
        <v>1050</v>
      </c>
      <c r="C32" s="184">
        <f t="shared" si="21"/>
        <v>713</v>
      </c>
      <c r="D32" s="184">
        <f t="shared" si="21"/>
        <v>621</v>
      </c>
      <c r="E32" s="184">
        <f t="shared" si="21"/>
        <v>450</v>
      </c>
      <c r="F32" s="184">
        <f t="shared" si="21"/>
        <v>865</v>
      </c>
      <c r="G32" s="184">
        <f t="shared" si="21"/>
        <v>697</v>
      </c>
      <c r="H32" s="184">
        <f t="shared" si="16"/>
        <v>928.5</v>
      </c>
      <c r="I32" s="184">
        <f t="shared" si="19"/>
        <v>1691</v>
      </c>
      <c r="J32" s="184">
        <f>(L24+M24)/2</f>
        <v>621</v>
      </c>
      <c r="K32" s="184">
        <f t="shared" si="20"/>
        <v>395.5</v>
      </c>
      <c r="L32" s="184">
        <f t="shared" si="17"/>
        <v>791</v>
      </c>
      <c r="M32" s="184">
        <f t="shared" si="17"/>
        <v>642</v>
      </c>
    </row>
    <row r="33" spans="1:13" ht="14">
      <c r="A33" s="126" t="s">
        <v>573</v>
      </c>
      <c r="B33" s="184">
        <f t="shared" ref="B33:G33" si="22">B25</f>
        <v>611</v>
      </c>
      <c r="C33" s="184">
        <f t="shared" si="22"/>
        <v>578</v>
      </c>
      <c r="D33" s="184">
        <f t="shared" si="22"/>
        <v>703</v>
      </c>
      <c r="E33" s="184">
        <f t="shared" si="22"/>
        <v>511</v>
      </c>
      <c r="F33" s="184">
        <f t="shared" si="22"/>
        <v>838</v>
      </c>
      <c r="G33" s="184">
        <f t="shared" si="22"/>
        <v>701</v>
      </c>
      <c r="H33" s="184">
        <f t="shared" si="16"/>
        <v>855</v>
      </c>
      <c r="I33" s="184">
        <f t="shared" si="19"/>
        <v>1077.5</v>
      </c>
      <c r="J33" s="184">
        <f>(L25+M25)/2</f>
        <v>916</v>
      </c>
      <c r="K33" s="184">
        <f t="shared" si="20"/>
        <v>658.5</v>
      </c>
      <c r="L33" s="184">
        <f t="shared" si="17"/>
        <v>602</v>
      </c>
      <c r="M33" s="184">
        <f t="shared" si="17"/>
        <v>774</v>
      </c>
    </row>
    <row r="34" spans="1:13" ht="14">
      <c r="A34" s="126" t="s">
        <v>574</v>
      </c>
      <c r="B34" s="184">
        <f t="shared" ref="B34:G34" si="23">B26</f>
        <v>736</v>
      </c>
      <c r="C34" s="184">
        <f t="shared" si="23"/>
        <v>808</v>
      </c>
      <c r="D34" s="184">
        <f t="shared" si="23"/>
        <v>673</v>
      </c>
      <c r="E34" s="184">
        <f t="shared" si="23"/>
        <v>495</v>
      </c>
      <c r="F34" s="184">
        <f t="shared" si="23"/>
        <v>760</v>
      </c>
      <c r="G34" s="184">
        <f t="shared" si="23"/>
        <v>637</v>
      </c>
      <c r="H34" s="184">
        <f t="shared" si="16"/>
        <v>881</v>
      </c>
      <c r="I34" s="184">
        <f t="shared" si="19"/>
        <v>919.5</v>
      </c>
      <c r="J34" s="184">
        <f>(L26+M26)/2</f>
        <v>564.5</v>
      </c>
      <c r="K34" s="184">
        <f t="shared" si="20"/>
        <v>678</v>
      </c>
      <c r="L34" s="184">
        <f t="shared" si="17"/>
        <v>633</v>
      </c>
      <c r="M34" s="184">
        <f t="shared" si="17"/>
        <v>625</v>
      </c>
    </row>
    <row r="35" spans="1:13" ht="14">
      <c r="A35" s="372" t="s">
        <v>575</v>
      </c>
      <c r="B35" s="184">
        <f t="shared" ref="B35:G35" si="24">B27</f>
        <v>673.5</v>
      </c>
      <c r="C35" s="184">
        <f t="shared" si="24"/>
        <v>693</v>
      </c>
      <c r="D35" s="184">
        <f t="shared" si="24"/>
        <v>688</v>
      </c>
      <c r="E35" s="184">
        <f t="shared" si="24"/>
        <v>503</v>
      </c>
      <c r="F35" s="184">
        <f t="shared" si="24"/>
        <v>799</v>
      </c>
      <c r="G35" s="184">
        <f t="shared" si="24"/>
        <v>669</v>
      </c>
      <c r="H35" s="184">
        <f t="shared" si="16"/>
        <v>868</v>
      </c>
      <c r="I35" s="184">
        <f t="shared" si="19"/>
        <v>998.5</v>
      </c>
      <c r="J35" s="184">
        <f t="shared" si="19"/>
        <v>765.25</v>
      </c>
      <c r="K35" s="184">
        <f t="shared" si="17"/>
        <v>719</v>
      </c>
      <c r="L35" s="184">
        <f t="shared" si="17"/>
        <v>617.5</v>
      </c>
      <c r="M35" s="184">
        <f t="shared" si="17"/>
        <v>699.5</v>
      </c>
    </row>
  </sheetData>
  <mergeCells count="2">
    <mergeCell ref="B3:N3"/>
    <mergeCell ref="A1:R1"/>
  </mergeCells>
  <phoneticPr fontId="0" type="noConversion"/>
  <pageMargins left="0.25" right="0.25" top="1" bottom="1" header="0.5" footer="0.5"/>
  <pageSetup orientation="landscape" horizontalDpi="4294967294"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tabColor rgb="FF92D050"/>
    <pageSetUpPr fitToPage="1"/>
  </sheetPr>
  <dimension ref="A1:V31"/>
  <sheetViews>
    <sheetView zoomScale="75" zoomScaleNormal="75" workbookViewId="0">
      <selection activeCell="P18" sqref="P18"/>
    </sheetView>
  </sheetViews>
  <sheetFormatPr defaultRowHeight="13"/>
  <cols>
    <col min="1" max="1" width="35.6328125" style="1" bestFit="1" customWidth="1"/>
    <col min="2" max="2" width="12" bestFit="1" customWidth="1"/>
    <col min="3" max="3" width="12.08984375" bestFit="1" customWidth="1"/>
    <col min="4" max="5" width="12.36328125" bestFit="1" customWidth="1"/>
    <col min="6" max="6" width="12.08984375" bestFit="1" customWidth="1"/>
    <col min="7" max="7" width="12" bestFit="1" customWidth="1"/>
    <col min="8" max="8" width="10.36328125" bestFit="1" customWidth="1"/>
    <col min="9" max="9" width="12" bestFit="1" customWidth="1"/>
    <col min="10" max="10" width="11.54296875" bestFit="1" customWidth="1"/>
    <col min="11" max="11" width="12.36328125" bestFit="1" customWidth="1"/>
    <col min="12" max="12" width="11" bestFit="1" customWidth="1"/>
    <col min="13" max="13" width="12.36328125" bestFit="1" customWidth="1"/>
    <col min="14" max="14" width="12.36328125" customWidth="1"/>
    <col min="15" max="15" width="12.08984375" bestFit="1" customWidth="1"/>
    <col min="16" max="16" width="12" bestFit="1" customWidth="1"/>
    <col min="17" max="17" width="12" customWidth="1"/>
    <col min="18" max="18" width="9.6328125" bestFit="1" customWidth="1"/>
    <col min="19" max="19" width="6.54296875" bestFit="1" customWidth="1"/>
    <col min="20" max="20" width="10.54296875" bestFit="1" customWidth="1"/>
    <col min="21" max="22" width="11.08984375" bestFit="1" customWidth="1"/>
    <col min="23" max="23" width="9.90625" bestFit="1" customWidth="1"/>
    <col min="24" max="24" width="10.36328125" bestFit="1" customWidth="1"/>
    <col min="25" max="25" width="10.90625" bestFit="1" customWidth="1"/>
    <col min="26" max="26" width="11.54296875" customWidth="1"/>
    <col min="27" max="27" width="10.36328125" customWidth="1"/>
    <col min="28" max="28" width="11.90625" customWidth="1"/>
    <col min="29" max="29" width="10.6328125" customWidth="1"/>
    <col min="30" max="30" width="11" customWidth="1"/>
    <col min="31" max="31" width="10.90625" bestFit="1" customWidth="1"/>
    <col min="32" max="32" width="10" bestFit="1" customWidth="1"/>
  </cols>
  <sheetData>
    <row r="1" spans="1:22">
      <c r="A1" s="1182" t="s">
        <v>3</v>
      </c>
      <c r="B1" s="1182"/>
      <c r="C1" s="1182"/>
      <c r="D1" s="1182"/>
      <c r="E1" s="1182"/>
      <c r="F1" s="1182"/>
      <c r="G1" s="1182"/>
      <c r="H1" s="1182"/>
      <c r="I1" s="1182"/>
      <c r="J1" s="1182"/>
      <c r="K1" s="1182"/>
      <c r="L1" s="1182"/>
      <c r="M1" s="1182"/>
      <c r="N1" s="1182"/>
      <c r="O1" s="1182"/>
      <c r="P1" s="1182"/>
      <c r="Q1" s="827"/>
    </row>
    <row r="2" spans="1:22">
      <c r="A2" s="1182" t="s">
        <v>4</v>
      </c>
      <c r="B2" s="1182"/>
      <c r="C2" s="1182"/>
      <c r="D2" s="1182"/>
      <c r="E2" s="1182"/>
      <c r="F2" s="1182"/>
      <c r="G2" s="1182"/>
      <c r="H2" s="1182"/>
      <c r="I2" s="1182"/>
      <c r="J2" s="1182"/>
      <c r="K2" s="1182"/>
      <c r="L2" s="1182"/>
      <c r="M2" s="1182"/>
      <c r="N2" s="1182"/>
      <c r="O2" s="1182"/>
      <c r="P2" s="1182"/>
      <c r="Q2" s="827"/>
    </row>
    <row r="5" spans="1:22" s="7" customFormat="1" ht="28">
      <c r="A5" s="124" t="s">
        <v>2</v>
      </c>
      <c r="B5" s="617">
        <v>41296</v>
      </c>
      <c r="C5" s="617">
        <v>41324</v>
      </c>
      <c r="D5" s="617">
        <v>41358</v>
      </c>
      <c r="E5" s="617">
        <v>41386</v>
      </c>
      <c r="F5" s="617">
        <v>41414</v>
      </c>
      <c r="G5" s="617">
        <v>41442</v>
      </c>
      <c r="H5" s="617">
        <v>41463</v>
      </c>
      <c r="I5" s="617">
        <v>41477</v>
      </c>
      <c r="J5" s="617">
        <v>41491</v>
      </c>
      <c r="K5" s="617">
        <v>41512</v>
      </c>
      <c r="L5" s="617">
        <v>41526</v>
      </c>
      <c r="M5" s="617">
        <v>41540</v>
      </c>
      <c r="N5" s="617">
        <v>41558</v>
      </c>
      <c r="O5" s="617">
        <v>41568</v>
      </c>
      <c r="P5" s="617">
        <v>41596</v>
      </c>
      <c r="Q5" s="617">
        <v>41624</v>
      </c>
      <c r="R5" s="115" t="s">
        <v>91</v>
      </c>
      <c r="S5" s="115" t="s">
        <v>83</v>
      </c>
      <c r="T5" s="115" t="s">
        <v>109</v>
      </c>
      <c r="U5" s="115" t="s">
        <v>123</v>
      </c>
      <c r="V5" s="115" t="s">
        <v>124</v>
      </c>
    </row>
    <row r="6" spans="1:22" s="3" customFormat="1" ht="14">
      <c r="A6" s="128" t="s">
        <v>571</v>
      </c>
      <c r="B6" s="841">
        <v>27.2</v>
      </c>
      <c r="C6" s="726">
        <v>57</v>
      </c>
      <c r="D6" s="726">
        <v>6.4</v>
      </c>
      <c r="E6" s="841">
        <v>6.8</v>
      </c>
      <c r="F6" s="726">
        <v>15</v>
      </c>
      <c r="G6" s="841">
        <v>4</v>
      </c>
      <c r="H6" s="726">
        <v>7.4</v>
      </c>
      <c r="I6" s="726">
        <v>6.1</v>
      </c>
      <c r="J6" s="726">
        <v>16.399999999999999</v>
      </c>
      <c r="K6" s="726">
        <v>24.8</v>
      </c>
      <c r="L6" s="182">
        <v>20.2</v>
      </c>
      <c r="M6" s="842">
        <v>20.399999999999999</v>
      </c>
      <c r="N6" s="841"/>
      <c r="O6" s="726">
        <v>4</v>
      </c>
      <c r="P6" s="182">
        <v>4</v>
      </c>
      <c r="Q6" s="843">
        <v>4</v>
      </c>
      <c r="R6" s="110">
        <f t="shared" ref="R6:R11" si="0">AVERAGE(B6:P6)</f>
        <v>15.692857142857145</v>
      </c>
      <c r="S6" s="110">
        <f t="shared" ref="S6:S11" si="1">MAX(B6:P6)</f>
        <v>57</v>
      </c>
      <c r="T6" s="110">
        <f t="shared" ref="T6:T11" si="2">AVERAGE(H6:M6)</f>
        <v>15.883333333333335</v>
      </c>
      <c r="U6" s="110">
        <f>AVERAGE(B9:P10)</f>
        <v>8.8599999999999977</v>
      </c>
      <c r="V6" s="110">
        <f>AVERAGE(H9:M10)</f>
        <v>9.466666666666665</v>
      </c>
    </row>
    <row r="7" spans="1:22" s="3" customFormat="1" ht="14">
      <c r="A7" s="128" t="s">
        <v>570</v>
      </c>
      <c r="B7" s="841">
        <v>5.8</v>
      </c>
      <c r="C7" s="841">
        <v>6.6</v>
      </c>
      <c r="D7" s="841">
        <v>12.4</v>
      </c>
      <c r="E7" s="841">
        <v>8</v>
      </c>
      <c r="F7" s="841">
        <v>14.6</v>
      </c>
      <c r="G7" s="841">
        <v>12</v>
      </c>
      <c r="H7" s="615">
        <v>17.2</v>
      </c>
      <c r="I7" s="726">
        <v>12.6</v>
      </c>
      <c r="J7" s="726">
        <v>14.5</v>
      </c>
      <c r="K7" s="726">
        <v>38.799999999999997</v>
      </c>
      <c r="L7" s="182">
        <v>13</v>
      </c>
      <c r="M7" s="842">
        <v>17.600000000000001</v>
      </c>
      <c r="N7" s="841"/>
      <c r="O7" s="726">
        <v>4</v>
      </c>
      <c r="P7" s="182">
        <v>4.8</v>
      </c>
      <c r="Q7" s="726">
        <v>4.5999999999999996</v>
      </c>
      <c r="R7" s="110">
        <f t="shared" si="0"/>
        <v>12.992857142857144</v>
      </c>
      <c r="S7" s="110">
        <f t="shared" si="1"/>
        <v>38.799999999999997</v>
      </c>
      <c r="T7" s="110">
        <f t="shared" si="2"/>
        <v>18.95</v>
      </c>
      <c r="U7" s="79"/>
      <c r="V7" s="79"/>
    </row>
    <row r="8" spans="1:22" s="3" customFormat="1" ht="14">
      <c r="A8" s="129" t="s">
        <v>572</v>
      </c>
      <c r="B8" s="841">
        <v>7.6</v>
      </c>
      <c r="C8" s="841">
        <v>7</v>
      </c>
      <c r="D8" s="841">
        <v>8.1999999999999993</v>
      </c>
      <c r="E8" s="841">
        <v>5.6</v>
      </c>
      <c r="F8" s="841">
        <v>5.4</v>
      </c>
      <c r="G8" s="841">
        <v>9.1999999999999993</v>
      </c>
      <c r="H8" s="841">
        <v>21.6</v>
      </c>
      <c r="I8" s="726">
        <v>11.6</v>
      </c>
      <c r="J8" s="726">
        <v>15.4</v>
      </c>
      <c r="K8" s="726">
        <v>17.8</v>
      </c>
      <c r="L8" s="182">
        <v>18</v>
      </c>
      <c r="M8" s="844">
        <v>10.4</v>
      </c>
      <c r="N8" s="841"/>
      <c r="O8" s="726">
        <v>19.8</v>
      </c>
      <c r="P8" s="182">
        <v>4</v>
      </c>
      <c r="Q8" s="726">
        <v>4</v>
      </c>
      <c r="R8" s="110">
        <f t="shared" si="0"/>
        <v>11.542857142857143</v>
      </c>
      <c r="S8" s="110">
        <f t="shared" si="1"/>
        <v>21.6</v>
      </c>
      <c r="T8" s="110">
        <f t="shared" si="2"/>
        <v>15.800000000000002</v>
      </c>
      <c r="U8" s="79"/>
      <c r="V8" s="79"/>
    </row>
    <row r="9" spans="1:22" s="3" customFormat="1" ht="14">
      <c r="A9" s="129" t="s">
        <v>785</v>
      </c>
      <c r="B9" s="841">
        <v>4</v>
      </c>
      <c r="C9" s="841">
        <v>4</v>
      </c>
      <c r="D9" s="841">
        <v>7.4</v>
      </c>
      <c r="E9" s="841">
        <v>4.5999999999999996</v>
      </c>
      <c r="F9" s="841">
        <v>4.8</v>
      </c>
      <c r="G9" s="841">
        <v>4</v>
      </c>
      <c r="H9" s="841">
        <v>8.1999999999999993</v>
      </c>
      <c r="I9" s="726">
        <v>9</v>
      </c>
      <c r="J9" s="726">
        <v>7</v>
      </c>
      <c r="K9" s="726">
        <v>5.8</v>
      </c>
      <c r="L9" s="182">
        <v>14.8</v>
      </c>
      <c r="M9" s="842">
        <v>6.6</v>
      </c>
      <c r="N9" s="726">
        <v>10.199999999999999</v>
      </c>
      <c r="O9" s="726">
        <v>10</v>
      </c>
      <c r="P9" s="182">
        <v>5.6</v>
      </c>
      <c r="Q9" s="726">
        <v>4</v>
      </c>
      <c r="R9" s="110">
        <f t="shared" si="0"/>
        <v>7.0666666666666655</v>
      </c>
      <c r="S9" s="110">
        <f t="shared" si="1"/>
        <v>14.8</v>
      </c>
      <c r="T9" s="110">
        <f t="shared" si="2"/>
        <v>8.5666666666666664</v>
      </c>
      <c r="U9" s="79"/>
      <c r="V9" s="79"/>
    </row>
    <row r="10" spans="1:22" s="3" customFormat="1" ht="14">
      <c r="A10" s="129" t="s">
        <v>786</v>
      </c>
      <c r="B10" s="841">
        <v>4</v>
      </c>
      <c r="C10" s="841">
        <v>4</v>
      </c>
      <c r="D10" s="841">
        <v>7.6</v>
      </c>
      <c r="E10" s="841">
        <v>8.1999999999999993</v>
      </c>
      <c r="F10" s="841">
        <v>5.6</v>
      </c>
      <c r="G10" s="841">
        <v>5.6</v>
      </c>
      <c r="H10" s="841">
        <v>4.5999999999999996</v>
      </c>
      <c r="I10" s="726">
        <v>9.8000000000000007</v>
      </c>
      <c r="J10" s="726">
        <v>9.6</v>
      </c>
      <c r="K10" s="726">
        <v>10.6</v>
      </c>
      <c r="L10" s="182">
        <v>23</v>
      </c>
      <c r="M10" s="842">
        <v>4.5999999999999996</v>
      </c>
      <c r="N10" s="726">
        <v>39.799999999999997</v>
      </c>
      <c r="O10" s="726">
        <v>9.4</v>
      </c>
      <c r="P10" s="182">
        <v>13.4</v>
      </c>
      <c r="Q10" s="726">
        <v>67.400000000000006</v>
      </c>
      <c r="R10" s="110">
        <f t="shared" si="0"/>
        <v>10.653333333333334</v>
      </c>
      <c r="S10" s="110">
        <f t="shared" si="1"/>
        <v>39.799999999999997</v>
      </c>
      <c r="T10" s="110">
        <f t="shared" si="2"/>
        <v>10.366666666666667</v>
      </c>
      <c r="U10" s="79"/>
      <c r="V10" s="79"/>
    </row>
    <row r="11" spans="1:22" ht="14">
      <c r="A11" s="129" t="s">
        <v>787</v>
      </c>
      <c r="B11" s="53">
        <f>AVERAGE(B9:B10)</f>
        <v>4</v>
      </c>
      <c r="C11" s="53">
        <f t="shared" ref="C11:Q11" si="3">AVERAGE(C9:C10)</f>
        <v>4</v>
      </c>
      <c r="D11" s="53">
        <f t="shared" si="3"/>
        <v>7.5</v>
      </c>
      <c r="E11" s="53">
        <f t="shared" si="3"/>
        <v>6.3999999999999995</v>
      </c>
      <c r="F11" s="53">
        <f t="shared" si="3"/>
        <v>5.1999999999999993</v>
      </c>
      <c r="G11" s="53">
        <f t="shared" si="3"/>
        <v>4.8</v>
      </c>
      <c r="H11" s="53">
        <f t="shared" si="3"/>
        <v>6.3999999999999995</v>
      </c>
      <c r="I11" s="53">
        <f t="shared" si="3"/>
        <v>9.4</v>
      </c>
      <c r="J11" s="53">
        <f t="shared" si="3"/>
        <v>8.3000000000000007</v>
      </c>
      <c r="K11" s="53">
        <f t="shared" si="3"/>
        <v>8.1999999999999993</v>
      </c>
      <c r="L11" s="53">
        <f t="shared" si="3"/>
        <v>18.899999999999999</v>
      </c>
      <c r="M11" s="53">
        <f t="shared" si="3"/>
        <v>5.6</v>
      </c>
      <c r="N11" s="53">
        <f t="shared" si="3"/>
        <v>25</v>
      </c>
      <c r="O11" s="53">
        <f t="shared" si="3"/>
        <v>9.6999999999999993</v>
      </c>
      <c r="P11" s="53">
        <f t="shared" si="3"/>
        <v>9.5</v>
      </c>
      <c r="Q11" s="53">
        <f t="shared" si="3"/>
        <v>35.700000000000003</v>
      </c>
      <c r="R11" s="110">
        <f t="shared" si="0"/>
        <v>8.8599999999999977</v>
      </c>
      <c r="S11" s="110">
        <f t="shared" si="1"/>
        <v>25</v>
      </c>
      <c r="T11" s="110">
        <f t="shared" si="2"/>
        <v>9.4666666666666668</v>
      </c>
    </row>
    <row r="12" spans="1:22">
      <c r="B12" s="48"/>
      <c r="C12" s="48"/>
      <c r="D12" s="48"/>
      <c r="E12" s="48"/>
    </row>
    <row r="13" spans="1:22">
      <c r="B13" s="48"/>
      <c r="C13" s="48"/>
      <c r="D13" s="48"/>
      <c r="E13" s="48"/>
    </row>
    <row r="15" spans="1:22">
      <c r="A15" s="45"/>
      <c r="B15" s="45" t="s">
        <v>69</v>
      </c>
      <c r="C15" s="45" t="s">
        <v>70</v>
      </c>
      <c r="D15" s="45" t="s">
        <v>71</v>
      </c>
      <c r="E15" s="45" t="s">
        <v>72</v>
      </c>
      <c r="F15" s="45" t="s">
        <v>73</v>
      </c>
      <c r="G15" s="45" t="s">
        <v>74</v>
      </c>
      <c r="H15" s="45" t="s">
        <v>75</v>
      </c>
      <c r="I15" s="45" t="s">
        <v>76</v>
      </c>
      <c r="J15" s="45" t="s">
        <v>77</v>
      </c>
      <c r="K15" s="45" t="s">
        <v>78</v>
      </c>
      <c r="L15" s="45" t="s">
        <v>79</v>
      </c>
      <c r="M15" s="45" t="s">
        <v>80</v>
      </c>
      <c r="N15" s="71"/>
    </row>
    <row r="16" spans="1:22" ht="14">
      <c r="A16" s="128" t="s">
        <v>571</v>
      </c>
      <c r="B16" s="60">
        <f t="shared" ref="B16:G16" si="4">B6</f>
        <v>27.2</v>
      </c>
      <c r="C16" s="60">
        <f t="shared" si="4"/>
        <v>57</v>
      </c>
      <c r="D16" s="60">
        <f t="shared" si="4"/>
        <v>6.4</v>
      </c>
      <c r="E16" s="60">
        <f t="shared" si="4"/>
        <v>6.8</v>
      </c>
      <c r="F16" s="60">
        <f t="shared" si="4"/>
        <v>15</v>
      </c>
      <c r="G16" s="60">
        <f t="shared" si="4"/>
        <v>4</v>
      </c>
      <c r="H16" s="60">
        <f>AVERAGE(H6:I6)</f>
        <v>6.75</v>
      </c>
      <c r="I16" s="60">
        <f>AVERAGE(J6:K6)</f>
        <v>20.6</v>
      </c>
      <c r="J16" s="60">
        <f>AVERAGE(L6:M6)</f>
        <v>20.299999999999997</v>
      </c>
      <c r="K16" s="60">
        <f>AVERAGE(N6:O6)</f>
        <v>4</v>
      </c>
      <c r="L16" s="60">
        <f>P6</f>
        <v>4</v>
      </c>
      <c r="M16" s="60">
        <f>Q6</f>
        <v>4</v>
      </c>
      <c r="N16" s="2"/>
    </row>
    <row r="17" spans="1:14" ht="14">
      <c r="A17" s="128" t="s">
        <v>570</v>
      </c>
      <c r="B17" s="60">
        <f t="shared" ref="B17:G20" si="5">B7</f>
        <v>5.8</v>
      </c>
      <c r="C17" s="60">
        <f t="shared" si="5"/>
        <v>6.6</v>
      </c>
      <c r="D17" s="60">
        <f t="shared" si="5"/>
        <v>12.4</v>
      </c>
      <c r="E17" s="60">
        <f t="shared" si="5"/>
        <v>8</v>
      </c>
      <c r="F17" s="60">
        <f t="shared" si="5"/>
        <v>14.6</v>
      </c>
      <c r="G17" s="60">
        <f t="shared" si="5"/>
        <v>12</v>
      </c>
      <c r="H17" s="60">
        <f>AVERAGE(H7:I7)</f>
        <v>14.899999999999999</v>
      </c>
      <c r="I17" s="60">
        <f>AVERAGE(J7:K7)</f>
        <v>26.65</v>
      </c>
      <c r="J17" s="60">
        <f>AVERAGE(L7:M7)</f>
        <v>15.3</v>
      </c>
      <c r="K17" s="60">
        <f t="shared" ref="K17:K19" si="6">AVERAGE(N7:O7)</f>
        <v>4</v>
      </c>
      <c r="L17" s="60">
        <f t="shared" ref="L17:L20" si="7">P7</f>
        <v>4.8</v>
      </c>
      <c r="M17" s="60">
        <f t="shared" ref="M17:M20" si="8">Q7</f>
        <v>4.5999999999999996</v>
      </c>
      <c r="N17" s="2"/>
    </row>
    <row r="18" spans="1:14" ht="14">
      <c r="A18" s="129" t="s">
        <v>572</v>
      </c>
      <c r="B18" s="60">
        <f t="shared" si="5"/>
        <v>7.6</v>
      </c>
      <c r="C18" s="60">
        <f t="shared" si="5"/>
        <v>7</v>
      </c>
      <c r="D18" s="60">
        <f t="shared" si="5"/>
        <v>8.1999999999999993</v>
      </c>
      <c r="E18" s="60">
        <f t="shared" si="5"/>
        <v>5.6</v>
      </c>
      <c r="F18" s="60">
        <f t="shared" si="5"/>
        <v>5.4</v>
      </c>
      <c r="G18" s="60">
        <f t="shared" si="5"/>
        <v>9.1999999999999993</v>
      </c>
      <c r="H18" s="60">
        <f>AVERAGE(H8:I8)</f>
        <v>16.600000000000001</v>
      </c>
      <c r="I18" s="60">
        <f>AVERAGE(J8:K8)</f>
        <v>16.600000000000001</v>
      </c>
      <c r="J18" s="60">
        <f>AVERAGE(L8:M8)</f>
        <v>14.2</v>
      </c>
      <c r="K18" s="60">
        <f t="shared" si="6"/>
        <v>19.8</v>
      </c>
      <c r="L18" s="60">
        <f t="shared" si="7"/>
        <v>4</v>
      </c>
      <c r="M18" s="60">
        <f t="shared" si="8"/>
        <v>4</v>
      </c>
      <c r="N18" s="2"/>
    </row>
    <row r="19" spans="1:14" ht="14">
      <c r="A19" s="129" t="s">
        <v>785</v>
      </c>
      <c r="B19" s="60">
        <f t="shared" si="5"/>
        <v>4</v>
      </c>
      <c r="C19" s="60">
        <f t="shared" si="5"/>
        <v>4</v>
      </c>
      <c r="D19" s="60">
        <f t="shared" si="5"/>
        <v>7.4</v>
      </c>
      <c r="E19" s="60">
        <f t="shared" si="5"/>
        <v>4.5999999999999996</v>
      </c>
      <c r="F19" s="60">
        <f t="shared" si="5"/>
        <v>4.8</v>
      </c>
      <c r="G19" s="60">
        <f t="shared" si="5"/>
        <v>4</v>
      </c>
      <c r="H19" s="60">
        <f>AVERAGE(H9:I9)</f>
        <v>8.6</v>
      </c>
      <c r="I19" s="60">
        <f>AVERAGE(J9:K9)</f>
        <v>6.4</v>
      </c>
      <c r="J19" s="60">
        <f>AVERAGE(L9:M9)</f>
        <v>10.7</v>
      </c>
      <c r="K19" s="60">
        <f t="shared" si="6"/>
        <v>10.1</v>
      </c>
      <c r="L19" s="60">
        <f t="shared" si="7"/>
        <v>5.6</v>
      </c>
      <c r="M19" s="60">
        <f t="shared" si="8"/>
        <v>4</v>
      </c>
      <c r="N19" s="2"/>
    </row>
    <row r="20" spans="1:14" ht="14">
      <c r="A20" s="129" t="s">
        <v>786</v>
      </c>
      <c r="B20" s="60">
        <f t="shared" si="5"/>
        <v>4</v>
      </c>
      <c r="C20" s="60">
        <f t="shared" si="5"/>
        <v>4</v>
      </c>
      <c r="D20" s="60">
        <f t="shared" si="5"/>
        <v>7.6</v>
      </c>
      <c r="E20" s="60">
        <f t="shared" si="5"/>
        <v>8.1999999999999993</v>
      </c>
      <c r="F20" s="60">
        <f t="shared" si="5"/>
        <v>5.6</v>
      </c>
      <c r="G20" s="60">
        <f t="shared" si="5"/>
        <v>5.6</v>
      </c>
      <c r="H20" s="60">
        <f>AVERAGE(H10:I10)</f>
        <v>7.2</v>
      </c>
      <c r="I20" s="60">
        <f>AVERAGE(J10:K10)</f>
        <v>10.1</v>
      </c>
      <c r="J20" s="60">
        <f>AVERAGE(L10:M10)</f>
        <v>13.8</v>
      </c>
      <c r="K20" s="60">
        <f>N10</f>
        <v>39.799999999999997</v>
      </c>
      <c r="L20" s="60">
        <f t="shared" si="7"/>
        <v>13.4</v>
      </c>
      <c r="M20" s="60">
        <f t="shared" si="8"/>
        <v>67.400000000000006</v>
      </c>
      <c r="N20" s="2"/>
    </row>
    <row r="21" spans="1:14" ht="14">
      <c r="A21" s="129" t="s">
        <v>787</v>
      </c>
      <c r="B21" s="840">
        <f>AVERAGE(B19:B20)</f>
        <v>4</v>
      </c>
      <c r="C21" s="840">
        <f t="shared" ref="C21:M21" si="9">AVERAGE(C19:C20)</f>
        <v>4</v>
      </c>
      <c r="D21" s="840">
        <f t="shared" si="9"/>
        <v>7.5</v>
      </c>
      <c r="E21" s="840">
        <f t="shared" si="9"/>
        <v>6.3999999999999995</v>
      </c>
      <c r="F21" s="840">
        <f t="shared" si="9"/>
        <v>5.1999999999999993</v>
      </c>
      <c r="G21" s="840">
        <f t="shared" si="9"/>
        <v>4.8</v>
      </c>
      <c r="H21" s="840">
        <f t="shared" si="9"/>
        <v>7.9</v>
      </c>
      <c r="I21" s="840">
        <f t="shared" si="9"/>
        <v>8.25</v>
      </c>
      <c r="J21" s="840">
        <f t="shared" si="9"/>
        <v>12.25</v>
      </c>
      <c r="K21" s="840">
        <f t="shared" si="9"/>
        <v>24.95</v>
      </c>
      <c r="L21" s="840">
        <f t="shared" si="9"/>
        <v>9.5</v>
      </c>
      <c r="M21" s="840">
        <f t="shared" si="9"/>
        <v>35.700000000000003</v>
      </c>
    </row>
    <row r="31" spans="1:14">
      <c r="G31" s="54"/>
    </row>
  </sheetData>
  <mergeCells count="2">
    <mergeCell ref="A1:P1"/>
    <mergeCell ref="A2:P2"/>
  </mergeCells>
  <phoneticPr fontId="0" type="noConversion"/>
  <pageMargins left="0.75" right="0.75" top="1" bottom="1" header="0.5" footer="0.5"/>
  <pageSetup scale="51" orientation="landscape" horizontalDpi="4294967294"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
    <tabColor rgb="FF92D050"/>
    <pageSetUpPr fitToPage="1"/>
  </sheetPr>
  <dimension ref="A1:AC26"/>
  <sheetViews>
    <sheetView zoomScale="75" zoomScaleNormal="75" workbookViewId="0">
      <selection activeCell="B4" sqref="B4:Q4"/>
    </sheetView>
  </sheetViews>
  <sheetFormatPr defaultRowHeight="13"/>
  <cols>
    <col min="1" max="1" width="21.36328125" style="1" bestFit="1" customWidth="1"/>
    <col min="2" max="2" width="12" bestFit="1" customWidth="1"/>
    <col min="3" max="3" width="11.6328125" bestFit="1" customWidth="1"/>
    <col min="4" max="4" width="12" bestFit="1" customWidth="1"/>
    <col min="5" max="5" width="12.36328125" bestFit="1" customWidth="1"/>
    <col min="6" max="6" width="12.54296875" bestFit="1" customWidth="1"/>
    <col min="7" max="7" width="12.08984375" bestFit="1" customWidth="1"/>
    <col min="8" max="8" width="12" bestFit="1" customWidth="1"/>
    <col min="9" max="9" width="11" bestFit="1" customWidth="1"/>
    <col min="10" max="10" width="11.453125" bestFit="1" customWidth="1"/>
    <col min="11" max="11" width="12" bestFit="1" customWidth="1"/>
    <col min="12" max="12" width="12.36328125" bestFit="1" customWidth="1"/>
    <col min="13" max="13" width="12.36328125" customWidth="1"/>
    <col min="14" max="16" width="12.08984375" bestFit="1" customWidth="1"/>
    <col min="17" max="17" width="9.6328125" bestFit="1" customWidth="1"/>
    <col min="18" max="18" width="9.6328125" customWidth="1"/>
    <col min="19" max="19" width="10.453125" bestFit="1" customWidth="1"/>
    <col min="20" max="21" width="11.54296875" bestFit="1" customWidth="1"/>
  </cols>
  <sheetData>
    <row r="1" spans="1:21" ht="15.5">
      <c r="A1" s="1176" t="s">
        <v>0</v>
      </c>
      <c r="B1" s="1176"/>
      <c r="C1" s="1176"/>
      <c r="D1" s="1176"/>
      <c r="E1" s="1176"/>
      <c r="F1" s="1176"/>
      <c r="G1" s="1176"/>
      <c r="H1" s="1176"/>
      <c r="I1" s="1176"/>
      <c r="J1" s="1176"/>
      <c r="K1" s="1176"/>
      <c r="L1" s="1176"/>
      <c r="M1" s="1176"/>
      <c r="N1" s="1176"/>
      <c r="O1" s="1176"/>
      <c r="P1" s="1176"/>
    </row>
    <row r="3" spans="1:21">
      <c r="A3" s="130" t="s">
        <v>1</v>
      </c>
    </row>
    <row r="4" spans="1:21" s="7" customFormat="1" ht="26">
      <c r="A4" s="131" t="s">
        <v>2</v>
      </c>
      <c r="B4" s="835">
        <v>41296</v>
      </c>
      <c r="C4" s="617">
        <v>41324</v>
      </c>
      <c r="D4" s="835">
        <v>41358</v>
      </c>
      <c r="E4" s="835">
        <v>41386</v>
      </c>
      <c r="F4" s="835">
        <v>41414</v>
      </c>
      <c r="G4" s="835">
        <v>41442</v>
      </c>
      <c r="H4" s="617">
        <v>41463</v>
      </c>
      <c r="I4" s="835">
        <v>41477</v>
      </c>
      <c r="J4" s="617">
        <v>41491</v>
      </c>
      <c r="K4" s="835">
        <v>41512</v>
      </c>
      <c r="L4" s="617">
        <v>41526</v>
      </c>
      <c r="M4" s="836">
        <v>41540</v>
      </c>
      <c r="N4" s="617">
        <v>41558</v>
      </c>
      <c r="O4" s="617">
        <v>41568</v>
      </c>
      <c r="P4" s="617">
        <v>41596</v>
      </c>
      <c r="Q4" s="617">
        <v>41624</v>
      </c>
      <c r="R4" s="355"/>
      <c r="S4" s="355" t="s">
        <v>17</v>
      </c>
      <c r="T4" s="134" t="s">
        <v>109</v>
      </c>
      <c r="U4" s="131" t="s">
        <v>83</v>
      </c>
    </row>
    <row r="5" spans="1:21" ht="15.5">
      <c r="A5" s="587">
        <v>40</v>
      </c>
      <c r="B5" s="51">
        <v>1.2</v>
      </c>
      <c r="C5" s="51">
        <v>0.1</v>
      </c>
      <c r="D5" s="51">
        <f>(21.5+18.9)/2</f>
        <v>20.2</v>
      </c>
      <c r="E5" s="51">
        <f>(8.3+8)/2</f>
        <v>8.15</v>
      </c>
      <c r="F5" s="51">
        <f>(1.5+0.9)/2</f>
        <v>1.2</v>
      </c>
      <c r="G5" s="51">
        <v>3.7</v>
      </c>
      <c r="H5" s="51">
        <f>(30.1+32.7)/2</f>
        <v>31.400000000000002</v>
      </c>
      <c r="I5" s="51">
        <f>(36.3+30.7)/2</f>
        <v>33.5</v>
      </c>
      <c r="J5" s="618">
        <f>(25.1+28)/2</f>
        <v>26.55</v>
      </c>
      <c r="K5" s="618">
        <v>8.1999999999999993</v>
      </c>
      <c r="L5" s="1040">
        <v>54.3</v>
      </c>
      <c r="M5" s="816">
        <v>4.5999999999999996</v>
      </c>
      <c r="N5" s="51">
        <v>12.3</v>
      </c>
      <c r="O5" s="618">
        <v>11.7</v>
      </c>
      <c r="P5" s="817">
        <v>1.5</v>
      </c>
      <c r="Q5" s="618">
        <v>2.8</v>
      </c>
      <c r="R5" s="357"/>
      <c r="S5" s="378">
        <f>AVERAGE(B5:P5)</f>
        <v>14.573333333333332</v>
      </c>
      <c r="T5" s="377">
        <f>AVERAGE(H5:M5)</f>
        <v>26.424999999999997</v>
      </c>
      <c r="U5" s="377">
        <f>MAX(B5:P5)</f>
        <v>54.3</v>
      </c>
    </row>
    <row r="7" spans="1:21">
      <c r="A7" s="130" t="s">
        <v>5</v>
      </c>
    </row>
    <row r="8" spans="1:21" s="7" customFormat="1" ht="26">
      <c r="A8" s="131" t="s">
        <v>2</v>
      </c>
      <c r="B8" s="835">
        <v>41296</v>
      </c>
      <c r="C8" s="617">
        <v>41324</v>
      </c>
      <c r="D8" s="835">
        <v>41358</v>
      </c>
      <c r="E8" s="835">
        <v>41386</v>
      </c>
      <c r="F8" s="835">
        <v>41414</v>
      </c>
      <c r="G8" s="835">
        <v>41442</v>
      </c>
      <c r="H8" s="617">
        <v>41463</v>
      </c>
      <c r="I8" s="835">
        <v>41477</v>
      </c>
      <c r="J8" s="617">
        <v>41491</v>
      </c>
      <c r="K8" s="835">
        <v>41512</v>
      </c>
      <c r="L8" s="617">
        <v>41526</v>
      </c>
      <c r="M8" s="836">
        <v>41540</v>
      </c>
      <c r="N8" s="617">
        <v>41558</v>
      </c>
      <c r="O8" s="617">
        <v>41568</v>
      </c>
      <c r="P8" s="617">
        <v>41596</v>
      </c>
      <c r="Q8" s="617">
        <v>41624</v>
      </c>
      <c r="R8" s="371"/>
      <c r="S8" s="131" t="s">
        <v>17</v>
      </c>
      <c r="T8" s="133" t="s">
        <v>109</v>
      </c>
      <c r="U8" s="131" t="s">
        <v>83</v>
      </c>
    </row>
    <row r="9" spans="1:21" s="7" customFormat="1" ht="15.5">
      <c r="A9" s="587">
        <v>40</v>
      </c>
      <c r="B9" s="358">
        <v>5.58</v>
      </c>
      <c r="C9" s="7">
        <v>3.72</v>
      </c>
      <c r="D9" s="358">
        <v>1.56</v>
      </c>
      <c r="E9" s="358">
        <v>2</v>
      </c>
      <c r="F9" s="358">
        <v>2.41</v>
      </c>
      <c r="G9" s="358">
        <v>1.94</v>
      </c>
      <c r="H9" s="358">
        <v>1.63</v>
      </c>
      <c r="I9" s="358">
        <v>1.45</v>
      </c>
      <c r="J9" s="358">
        <v>1.46</v>
      </c>
      <c r="K9" s="358">
        <v>1.5</v>
      </c>
      <c r="L9" s="358">
        <v>0.72</v>
      </c>
      <c r="M9" s="358">
        <v>0.5</v>
      </c>
      <c r="N9" s="358">
        <v>0.68</v>
      </c>
      <c r="O9" s="358">
        <v>1</v>
      </c>
      <c r="P9" s="358">
        <v>1.8</v>
      </c>
      <c r="Q9" s="358">
        <v>3.6</v>
      </c>
      <c r="R9" s="358"/>
      <c r="S9" s="374">
        <f>AVERAGE(B9:Q9)</f>
        <v>1.971875</v>
      </c>
      <c r="T9" s="374">
        <f t="shared" ref="T9:T14" si="0">AVERAGE(H9:M9)</f>
        <v>1.21</v>
      </c>
      <c r="U9" s="375">
        <f>MAX(B9:P9)</f>
        <v>5.58</v>
      </c>
    </row>
    <row r="10" spans="1:21" s="7" customFormat="1" ht="15.5">
      <c r="A10" s="587">
        <v>41</v>
      </c>
      <c r="B10" s="358">
        <v>5</v>
      </c>
      <c r="C10" s="358">
        <v>3.24</v>
      </c>
      <c r="D10" s="358">
        <v>1.5</v>
      </c>
      <c r="E10" s="358"/>
      <c r="F10" s="358">
        <v>2</v>
      </c>
      <c r="G10" s="358">
        <v>2.14</v>
      </c>
      <c r="H10" s="358">
        <v>1.81</v>
      </c>
      <c r="I10" s="358">
        <v>1.48</v>
      </c>
      <c r="J10" s="358">
        <v>1.2</v>
      </c>
      <c r="K10" s="358">
        <v>1.39</v>
      </c>
      <c r="L10" s="358">
        <v>0.47</v>
      </c>
      <c r="M10" s="358">
        <v>0.5</v>
      </c>
      <c r="N10" s="358"/>
      <c r="O10" s="358">
        <v>1.1299999999999999</v>
      </c>
      <c r="P10" s="358">
        <v>2.15</v>
      </c>
      <c r="Q10" s="358"/>
      <c r="R10" s="358"/>
      <c r="S10" s="374">
        <f>AVERAGE(B10:Q10)</f>
        <v>1.8469230769230767</v>
      </c>
      <c r="T10" s="374">
        <f t="shared" si="0"/>
        <v>1.1416666666666666</v>
      </c>
      <c r="U10" s="375">
        <f>MAX(B10:P10)</f>
        <v>5</v>
      </c>
    </row>
    <row r="11" spans="1:21" s="7" customFormat="1" ht="15.5">
      <c r="A11" s="587">
        <v>42</v>
      </c>
      <c r="B11" s="358">
        <v>4.5999999999999996</v>
      </c>
      <c r="C11" s="358">
        <v>3.64</v>
      </c>
      <c r="D11" s="358">
        <v>1.6</v>
      </c>
      <c r="E11" s="358"/>
      <c r="F11" s="358">
        <v>2</v>
      </c>
      <c r="G11" s="358">
        <v>1.76</v>
      </c>
      <c r="H11" s="358">
        <v>1.37</v>
      </c>
      <c r="I11" s="358">
        <v>1.31</v>
      </c>
      <c r="J11" s="358">
        <v>1.53</v>
      </c>
      <c r="K11" s="358">
        <v>1.1000000000000001</v>
      </c>
      <c r="L11" s="358">
        <v>0.67</v>
      </c>
      <c r="M11" s="358">
        <v>0.5</v>
      </c>
      <c r="N11" s="358"/>
      <c r="O11" s="358">
        <v>1</v>
      </c>
      <c r="P11" s="358">
        <v>2.25</v>
      </c>
      <c r="Q11" s="358"/>
      <c r="R11" s="358"/>
      <c r="S11" s="374">
        <f>AVERAGE(B11:Q11)</f>
        <v>1.7946153846153847</v>
      </c>
      <c r="T11" s="374">
        <f t="shared" si="0"/>
        <v>1.08</v>
      </c>
      <c r="U11" s="375">
        <f>MAX(B11:P11)</f>
        <v>4.5999999999999996</v>
      </c>
    </row>
    <row r="12" spans="1:21" s="7" customFormat="1" ht="15.5">
      <c r="A12" s="587">
        <v>43</v>
      </c>
      <c r="B12" s="358">
        <v>4.3499999999999996</v>
      </c>
      <c r="C12" s="358">
        <v>2.84</v>
      </c>
      <c r="D12" s="358">
        <v>1.56</v>
      </c>
      <c r="E12" s="358"/>
      <c r="F12" s="358">
        <v>1.36</v>
      </c>
      <c r="G12" s="358">
        <v>2.23</v>
      </c>
      <c r="H12" s="358">
        <v>1.42</v>
      </c>
      <c r="I12" s="358">
        <v>1.44</v>
      </c>
      <c r="J12" s="358">
        <v>1.42</v>
      </c>
      <c r="K12" s="358">
        <v>1.45</v>
      </c>
      <c r="L12" s="358">
        <v>0.8</v>
      </c>
      <c r="M12" s="358">
        <v>0.5</v>
      </c>
      <c r="N12" s="358"/>
      <c r="O12" s="358">
        <v>1</v>
      </c>
      <c r="P12" s="358">
        <v>2.64</v>
      </c>
      <c r="Q12" s="358">
        <v>2.8</v>
      </c>
      <c r="R12" s="358"/>
      <c r="S12" s="374">
        <f>AVERAGE(B12:Q12)</f>
        <v>1.8435714285714284</v>
      </c>
      <c r="T12" s="374">
        <f t="shared" si="0"/>
        <v>1.1716666666666666</v>
      </c>
      <c r="U12" s="375">
        <f>MAX(B12:P12)</f>
        <v>4.3499999999999996</v>
      </c>
    </row>
    <row r="13" spans="1:21" s="3" customFormat="1" ht="15.5">
      <c r="A13" s="587">
        <v>44</v>
      </c>
      <c r="B13" s="356">
        <v>2.7</v>
      </c>
      <c r="C13" s="358">
        <v>3.8</v>
      </c>
      <c r="D13" s="356">
        <v>1.5</v>
      </c>
      <c r="E13" s="356"/>
      <c r="F13" s="356">
        <v>2</v>
      </c>
      <c r="G13" s="356">
        <v>2.2999999999999998</v>
      </c>
      <c r="H13" s="356">
        <v>1.75</v>
      </c>
      <c r="I13" s="356">
        <v>0.98</v>
      </c>
      <c r="J13" s="356">
        <v>1.3</v>
      </c>
      <c r="K13" s="356">
        <v>1.4</v>
      </c>
      <c r="L13" s="356">
        <v>0.7</v>
      </c>
      <c r="M13" s="356">
        <v>0.45</v>
      </c>
      <c r="N13" s="356"/>
      <c r="O13" s="356">
        <v>1.22</v>
      </c>
      <c r="P13" s="356">
        <v>2.5499999999999998</v>
      </c>
      <c r="Q13" s="155">
        <v>2.5499999999999998</v>
      </c>
      <c r="R13" s="155"/>
      <c r="S13" s="374">
        <f>AVERAGE(B13:Q13)</f>
        <v>1.8</v>
      </c>
      <c r="T13" s="374">
        <f t="shared" si="0"/>
        <v>1.0966666666666667</v>
      </c>
      <c r="U13" s="375">
        <f>MAX(B13:P13)</f>
        <v>3.8</v>
      </c>
    </row>
    <row r="14" spans="1:21" ht="14">
      <c r="A14" s="131" t="s">
        <v>560</v>
      </c>
      <c r="B14" s="359">
        <f>AVERAGE(B9:B13)</f>
        <v>4.4459999999999997</v>
      </c>
      <c r="C14" s="359">
        <f>AVERAGE(C10:C13)</f>
        <v>3.38</v>
      </c>
      <c r="D14" s="359">
        <f t="shared" ref="D14:O14" si="1">AVERAGE(D9:D13)</f>
        <v>1.544</v>
      </c>
      <c r="E14" s="359">
        <f t="shared" si="1"/>
        <v>2</v>
      </c>
      <c r="F14" s="359">
        <f t="shared" si="1"/>
        <v>1.954</v>
      </c>
      <c r="G14" s="359">
        <f t="shared" si="1"/>
        <v>2.0740000000000003</v>
      </c>
      <c r="H14" s="359">
        <f t="shared" si="1"/>
        <v>1.5960000000000001</v>
      </c>
      <c r="I14" s="359">
        <f t="shared" si="1"/>
        <v>1.3320000000000001</v>
      </c>
      <c r="J14" s="359">
        <f t="shared" si="1"/>
        <v>1.3820000000000001</v>
      </c>
      <c r="K14" s="359">
        <f t="shared" si="1"/>
        <v>1.3679999999999999</v>
      </c>
      <c r="L14" s="359">
        <f t="shared" si="1"/>
        <v>0.67200000000000004</v>
      </c>
      <c r="M14" s="359">
        <f t="shared" si="1"/>
        <v>0.49000000000000005</v>
      </c>
      <c r="N14" s="359">
        <f t="shared" si="1"/>
        <v>0.68</v>
      </c>
      <c r="O14" s="359">
        <f t="shared" si="1"/>
        <v>1.0699999999999998</v>
      </c>
      <c r="P14" s="359">
        <f>AVERAGE(P9:P13)</f>
        <v>2.278</v>
      </c>
      <c r="Q14" s="359">
        <f>AVERAGE(Q9:Q13)</f>
        <v>2.9833333333333329</v>
      </c>
      <c r="R14" s="833"/>
      <c r="S14" s="376">
        <f>AVERAGE(B9:Q13)</f>
        <v>1.8557142857142861</v>
      </c>
      <c r="T14" s="374">
        <f t="shared" si="0"/>
        <v>1.1400000000000001</v>
      </c>
      <c r="U14" s="374"/>
    </row>
    <row r="15" spans="1:21">
      <c r="A15" s="95" t="s">
        <v>121</v>
      </c>
      <c r="B15" s="46">
        <f>B14*3.28</f>
        <v>14.582879999999998</v>
      </c>
      <c r="C15" s="46">
        <f t="shared" ref="C15:O15" si="2">C14*3.28</f>
        <v>11.086399999999999</v>
      </c>
      <c r="D15" s="46">
        <f t="shared" si="2"/>
        <v>5.0643199999999995</v>
      </c>
      <c r="E15" s="46">
        <f t="shared" si="2"/>
        <v>6.56</v>
      </c>
      <c r="F15" s="46">
        <f t="shared" si="2"/>
        <v>6.4091199999999997</v>
      </c>
      <c r="G15" s="46">
        <f t="shared" si="2"/>
        <v>6.8027200000000008</v>
      </c>
      <c r="H15" s="46">
        <f t="shared" si="2"/>
        <v>5.2348799999999995</v>
      </c>
      <c r="I15" s="46">
        <f t="shared" si="2"/>
        <v>4.3689600000000004</v>
      </c>
      <c r="J15" s="46">
        <f t="shared" si="2"/>
        <v>4.5329600000000001</v>
      </c>
      <c r="K15" s="46">
        <f t="shared" si="2"/>
        <v>4.4870399999999995</v>
      </c>
      <c r="L15" s="46">
        <f t="shared" si="2"/>
        <v>2.2041599999999999</v>
      </c>
      <c r="M15" s="46">
        <f t="shared" si="2"/>
        <v>1.6072</v>
      </c>
      <c r="N15" s="46">
        <f t="shared" si="2"/>
        <v>2.2303999999999999</v>
      </c>
      <c r="O15" s="46">
        <f t="shared" si="2"/>
        <v>3.5095999999999994</v>
      </c>
      <c r="P15" s="46">
        <f>P14*3.28</f>
        <v>7.4718399999999994</v>
      </c>
      <c r="Q15" s="46">
        <f>Q14*3.28</f>
        <v>9.7853333333333321</v>
      </c>
      <c r="R15" s="834"/>
    </row>
    <row r="18" spans="1:29">
      <c r="Q18" s="56"/>
      <c r="R18" s="56"/>
      <c r="S18" s="56"/>
      <c r="T18" s="56"/>
      <c r="U18" s="56"/>
      <c r="V18" s="56"/>
      <c r="W18" s="56"/>
      <c r="X18" s="56"/>
      <c r="Y18" s="56"/>
      <c r="Z18" s="56"/>
      <c r="AA18" s="56"/>
      <c r="AB18" s="56"/>
      <c r="AC18" s="56"/>
    </row>
    <row r="19" spans="1:29">
      <c r="A19" s="95"/>
      <c r="B19" s="132" t="s">
        <v>69</v>
      </c>
      <c r="C19" s="132" t="s">
        <v>70</v>
      </c>
      <c r="D19" s="132" t="s">
        <v>71</v>
      </c>
      <c r="E19" s="132" t="s">
        <v>72</v>
      </c>
      <c r="F19" s="132" t="s">
        <v>73</v>
      </c>
      <c r="G19" s="132" t="s">
        <v>74</v>
      </c>
      <c r="H19" s="132" t="s">
        <v>75</v>
      </c>
      <c r="I19" s="132" t="s">
        <v>76</v>
      </c>
      <c r="J19" s="132" t="s">
        <v>77</v>
      </c>
      <c r="K19" s="132" t="s">
        <v>78</v>
      </c>
      <c r="L19" s="132" t="s">
        <v>79</v>
      </c>
      <c r="M19" s="132" t="s">
        <v>80</v>
      </c>
      <c r="Q19" s="3"/>
      <c r="R19" s="3"/>
      <c r="S19" s="3"/>
      <c r="T19" s="3"/>
      <c r="U19" s="3"/>
      <c r="V19" s="3"/>
      <c r="W19" s="3"/>
      <c r="X19" s="3"/>
      <c r="Y19" s="3"/>
      <c r="Z19" s="3"/>
      <c r="AA19" s="3"/>
      <c r="AB19" s="3"/>
      <c r="AC19" s="3"/>
    </row>
    <row r="20" spans="1:29">
      <c r="A20" s="95" t="s">
        <v>120</v>
      </c>
      <c r="B20" s="69">
        <f t="shared" ref="B20:G20" si="3">B5</f>
        <v>1.2</v>
      </c>
      <c r="C20" s="69">
        <f t="shared" si="3"/>
        <v>0.1</v>
      </c>
      <c r="D20" s="69">
        <f t="shared" si="3"/>
        <v>20.2</v>
      </c>
      <c r="E20" s="69">
        <f t="shared" si="3"/>
        <v>8.15</v>
      </c>
      <c r="F20" s="69">
        <f t="shared" si="3"/>
        <v>1.2</v>
      </c>
      <c r="G20" s="69">
        <f t="shared" si="3"/>
        <v>3.7</v>
      </c>
      <c r="H20" s="46">
        <f>AVERAGE(H5:I5)</f>
        <v>32.450000000000003</v>
      </c>
      <c r="I20" s="46">
        <f>AVERAGE(J5:K5)</f>
        <v>17.375</v>
      </c>
      <c r="J20" s="46">
        <f>AVERAGE(L5:M5)</f>
        <v>29.45</v>
      </c>
      <c r="K20" s="46">
        <f>N5</f>
        <v>12.3</v>
      </c>
      <c r="L20" s="69">
        <f>P5</f>
        <v>1.5</v>
      </c>
      <c r="M20" s="69">
        <f>Q5</f>
        <v>2.8</v>
      </c>
      <c r="Q20" s="3"/>
      <c r="R20" s="3"/>
      <c r="S20" s="3"/>
      <c r="T20" s="3"/>
      <c r="U20" s="3"/>
      <c r="V20" s="3"/>
      <c r="W20" s="3"/>
      <c r="X20" s="3"/>
      <c r="Y20" s="3"/>
      <c r="Z20" s="3"/>
      <c r="AA20" s="3"/>
      <c r="AB20" s="3"/>
      <c r="AC20" s="3"/>
    </row>
    <row r="21" spans="1:29">
      <c r="A21" s="95" t="s">
        <v>122</v>
      </c>
      <c r="B21" s="46">
        <f t="shared" ref="B21:G21" si="4">B15</f>
        <v>14.582879999999998</v>
      </c>
      <c r="C21" s="46">
        <f t="shared" si="4"/>
        <v>11.086399999999999</v>
      </c>
      <c r="D21" s="46">
        <f t="shared" si="4"/>
        <v>5.0643199999999995</v>
      </c>
      <c r="E21" s="46">
        <f t="shared" si="4"/>
        <v>6.56</v>
      </c>
      <c r="F21" s="46">
        <f t="shared" si="4"/>
        <v>6.4091199999999997</v>
      </c>
      <c r="G21" s="46">
        <f t="shared" si="4"/>
        <v>6.8027200000000008</v>
      </c>
      <c r="H21" s="46">
        <f>AVERAGE(H15:I15)</f>
        <v>4.80192</v>
      </c>
      <c r="I21" s="46">
        <f>AVERAGE(J15:K15)</f>
        <v>4.51</v>
      </c>
      <c r="J21" s="46">
        <f>AVERAGE(L15:M15)</f>
        <v>1.9056799999999998</v>
      </c>
      <c r="K21" s="46">
        <f>AVERAGE(N15:O15)</f>
        <v>2.8699999999999997</v>
      </c>
      <c r="L21" s="46">
        <f>P15</f>
        <v>7.4718399999999994</v>
      </c>
      <c r="M21" s="46">
        <f>Q15</f>
        <v>9.7853333333333321</v>
      </c>
      <c r="Q21" s="3"/>
      <c r="R21" s="3"/>
      <c r="S21" s="3"/>
      <c r="T21" s="3"/>
      <c r="U21" s="3"/>
      <c r="V21" s="3"/>
      <c r="W21" s="3"/>
      <c r="X21" s="3"/>
      <c r="Y21" s="3"/>
      <c r="Z21" s="3"/>
      <c r="AA21" s="3"/>
      <c r="AB21" s="3"/>
      <c r="AC21" s="3"/>
    </row>
    <row r="22" spans="1:29">
      <c r="Q22" s="3"/>
      <c r="R22" s="3"/>
      <c r="S22" s="3"/>
      <c r="T22" s="3"/>
      <c r="U22" s="3"/>
      <c r="V22" s="3"/>
      <c r="W22" s="3"/>
      <c r="X22" s="3"/>
      <c r="Y22" s="3"/>
      <c r="Z22" s="3"/>
      <c r="AA22" s="3"/>
      <c r="AB22" s="3"/>
      <c r="AC22" s="3"/>
    </row>
    <row r="23" spans="1:29">
      <c r="Q23" s="3"/>
      <c r="R23" s="3"/>
      <c r="S23" s="3"/>
      <c r="T23" s="3"/>
      <c r="U23" s="3"/>
      <c r="V23" s="3"/>
      <c r="W23" s="3"/>
      <c r="X23" s="3"/>
      <c r="Y23" s="3"/>
      <c r="Z23" s="3"/>
      <c r="AA23" s="3"/>
      <c r="AB23" s="3"/>
      <c r="AC23" s="3"/>
    </row>
    <row r="24" spans="1:29">
      <c r="Q24" s="3"/>
      <c r="R24" s="3"/>
      <c r="S24" s="3"/>
      <c r="T24" s="3"/>
      <c r="U24" s="3"/>
      <c r="V24" s="3"/>
      <c r="W24" s="3"/>
      <c r="X24" s="3"/>
      <c r="Y24" s="3"/>
      <c r="Z24" s="3"/>
      <c r="AA24" s="3"/>
      <c r="AB24" s="3"/>
      <c r="AC24" s="3"/>
    </row>
    <row r="25" spans="1:29">
      <c r="Q25" s="3"/>
      <c r="R25" s="3"/>
      <c r="S25" s="3"/>
      <c r="T25" s="3"/>
      <c r="U25" s="3"/>
      <c r="V25" s="3"/>
      <c r="W25" s="3"/>
      <c r="X25" s="3"/>
      <c r="Y25" s="3"/>
      <c r="Z25" s="3"/>
      <c r="AA25" s="3"/>
      <c r="AB25" s="3"/>
      <c r="AC25" s="3"/>
    </row>
    <row r="26" spans="1:29">
      <c r="Q26" s="3"/>
      <c r="R26" s="3"/>
      <c r="S26" s="3"/>
      <c r="T26" s="3"/>
      <c r="U26" s="3"/>
      <c r="V26" s="3"/>
      <c r="W26" s="3"/>
      <c r="X26" s="3"/>
      <c r="Y26" s="3"/>
      <c r="Z26" s="3"/>
      <c r="AA26" s="3"/>
      <c r="AB26" s="3"/>
      <c r="AC26" s="3"/>
    </row>
  </sheetData>
  <mergeCells count="1">
    <mergeCell ref="A1:P1"/>
  </mergeCells>
  <phoneticPr fontId="0" type="noConversion"/>
  <pageMargins left="0.75" right="0.75" top="1" bottom="1" header="0.5" footer="0.5"/>
  <pageSetup orientation="landscape" horizontalDpi="4294967294"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sheetPr>
  <dimension ref="A1:M201"/>
  <sheetViews>
    <sheetView topLeftCell="D40" zoomScale="110" zoomScaleNormal="110" workbookViewId="0">
      <selection activeCell="R52" sqref="R52"/>
    </sheetView>
  </sheetViews>
  <sheetFormatPr defaultRowHeight="12.5"/>
  <cols>
    <col min="1" max="1" width="26.453125" bestFit="1" customWidth="1"/>
    <col min="2" max="2" width="8.90625" bestFit="1" customWidth="1"/>
    <col min="3" max="3" width="10.36328125" bestFit="1" customWidth="1"/>
    <col min="4" max="4" width="11.453125" bestFit="1" customWidth="1"/>
    <col min="5" max="5" width="11.81640625" bestFit="1" customWidth="1"/>
    <col min="6" max="6" width="14.1796875" bestFit="1" customWidth="1"/>
    <col min="7" max="7" width="23.36328125" bestFit="1" customWidth="1"/>
    <col min="8" max="8" width="10.36328125" bestFit="1" customWidth="1"/>
    <col min="9" max="9" width="9.453125" bestFit="1" customWidth="1"/>
    <col min="10" max="10" width="10.6328125" customWidth="1"/>
    <col min="11" max="11" width="8.90625" bestFit="1" customWidth="1"/>
    <col min="12" max="12" width="11.6328125" bestFit="1" customWidth="1"/>
    <col min="13" max="14" width="9.08984375" customWidth="1"/>
    <col min="15" max="15" width="10.08984375" customWidth="1"/>
    <col min="16" max="28" width="9.08984375" customWidth="1"/>
    <col min="29" max="31" width="10.08984375" customWidth="1"/>
    <col min="32" max="44" width="9.08984375" customWidth="1"/>
    <col min="45" max="46" width="10.08984375" customWidth="1"/>
    <col min="47" max="60" width="9.08984375" customWidth="1"/>
    <col min="61" max="62" width="10.08984375" customWidth="1"/>
    <col min="63" max="74" width="9.08984375" customWidth="1"/>
    <col min="75" max="76" width="10.08984375" customWidth="1"/>
    <col min="77" max="77" width="9.08984375" customWidth="1"/>
    <col min="90" max="90" width="10.08984375" bestFit="1" customWidth="1"/>
  </cols>
  <sheetData>
    <row r="1" spans="1:13" ht="13">
      <c r="C1" s="71"/>
      <c r="E1" s="54"/>
      <c r="F1" s="474"/>
      <c r="G1" s="474"/>
      <c r="H1" s="475"/>
      <c r="I1" s="475"/>
      <c r="J1" s="475"/>
      <c r="K1" s="475"/>
      <c r="L1" s="322"/>
    </row>
    <row r="2" spans="1:13" s="28" customFormat="1">
      <c r="A2" s="476"/>
      <c r="B2" s="1222">
        <v>41463</v>
      </c>
      <c r="C2" s="1222"/>
      <c r="D2" s="1222">
        <v>41477</v>
      </c>
      <c r="E2" s="1222"/>
      <c r="F2" s="1223">
        <v>41491</v>
      </c>
      <c r="G2" s="1224"/>
      <c r="H2" s="1223">
        <v>41512</v>
      </c>
      <c r="I2" s="1224"/>
      <c r="J2" s="1220">
        <v>41526</v>
      </c>
      <c r="K2" s="1220"/>
      <c r="L2" s="1218">
        <v>41540</v>
      </c>
      <c r="M2" s="1219"/>
    </row>
    <row r="3" spans="1:13" s="28" customFormat="1" ht="11.5">
      <c r="A3" s="476" t="s">
        <v>456</v>
      </c>
      <c r="B3" s="478">
        <v>3779.2129629629349</v>
      </c>
      <c r="C3" s="478">
        <v>1383.518796992478</v>
      </c>
      <c r="D3" s="478">
        <v>4292.1256038647471</v>
      </c>
      <c r="E3" s="478">
        <v>3779.2129629629349</v>
      </c>
      <c r="F3" s="478">
        <v>3009.2060810810735</v>
      </c>
      <c r="G3" s="478">
        <v>1881.8133802816803</v>
      </c>
      <c r="H3" s="478">
        <v>180.25579536370719</v>
      </c>
      <c r="I3" s="478">
        <v>165.78111946532914</v>
      </c>
      <c r="J3" s="478">
        <v>18355.917874395909</v>
      </c>
      <c r="K3" s="478">
        <v>16957.781124498095</v>
      </c>
      <c r="L3" s="731">
        <v>468.34615384615228</v>
      </c>
      <c r="M3" s="731">
        <v>453.38624338624146</v>
      </c>
    </row>
    <row r="4" spans="1:13" s="28" customFormat="1" ht="13.5">
      <c r="A4" s="476" t="s">
        <v>845</v>
      </c>
      <c r="B4" s="478">
        <v>6377651.5509259095</v>
      </c>
      <c r="C4" s="478">
        <v>646489.84962406044</v>
      </c>
      <c r="D4" s="478">
        <v>5903067.1014492828</v>
      </c>
      <c r="E4" s="478">
        <v>6377651.5509259095</v>
      </c>
      <c r="F4" s="478">
        <v>4366700.8445946043</v>
      </c>
      <c r="G4" s="478">
        <v>2081627.0246478799</v>
      </c>
      <c r="H4" s="478">
        <v>338116.61071143323</v>
      </c>
      <c r="I4" s="478">
        <v>282649.27318295825</v>
      </c>
      <c r="J4" s="478">
        <v>3339303.6775362357</v>
      </c>
      <c r="K4" s="478">
        <v>3821432.5803212873</v>
      </c>
      <c r="L4" s="731">
        <v>963859.27564102563</v>
      </c>
      <c r="M4" s="731">
        <v>1308736.3783068843</v>
      </c>
    </row>
    <row r="5" spans="1:13" s="28" customFormat="1" ht="11.5">
      <c r="A5" s="476" t="s">
        <v>457</v>
      </c>
      <c r="B5" s="479">
        <v>63.208538055419922</v>
      </c>
      <c r="C5" s="479">
        <v>46.703437805175781</v>
      </c>
      <c r="D5" s="479">
        <v>62.650707244873047</v>
      </c>
      <c r="E5" s="479">
        <v>63.208538055419922</v>
      </c>
      <c r="F5" s="479">
        <v>60.47607421875</v>
      </c>
      <c r="G5" s="479">
        <v>55.132595062255859</v>
      </c>
      <c r="H5" s="479">
        <v>42.037071228027344</v>
      </c>
      <c r="I5" s="479">
        <v>40.748432159423828</v>
      </c>
      <c r="J5" s="479">
        <v>58.541191101074219</v>
      </c>
      <c r="K5" s="479">
        <v>59.513954162597656</v>
      </c>
      <c r="L5" s="731">
        <v>49.581352233886719</v>
      </c>
      <c r="M5" s="731">
        <v>51.786247253417969</v>
      </c>
    </row>
    <row r="6" spans="1:13" s="28" customFormat="1" ht="11.5">
      <c r="B6" s="480"/>
      <c r="C6" s="481"/>
      <c r="D6" s="481"/>
      <c r="E6" s="482"/>
      <c r="F6" s="482"/>
      <c r="G6" s="482"/>
      <c r="H6" s="481"/>
    </row>
    <row r="7" spans="1:13" s="28" customFormat="1" ht="11.5">
      <c r="A7" s="551"/>
      <c r="B7" s="548">
        <v>41463</v>
      </c>
      <c r="C7" s="549">
        <v>41477</v>
      </c>
      <c r="D7" s="549">
        <v>41491</v>
      </c>
      <c r="E7" s="550">
        <v>41512</v>
      </c>
      <c r="F7" s="550">
        <v>41526</v>
      </c>
      <c r="G7" s="1005">
        <v>41540</v>
      </c>
      <c r="H7" s="1004"/>
    </row>
    <row r="8" spans="1:13" s="28" customFormat="1" ht="11.5">
      <c r="A8" s="546" t="s">
        <v>456</v>
      </c>
      <c r="B8" s="483">
        <f>AVERAGE(B3:C3)</f>
        <v>2581.3658799777063</v>
      </c>
      <c r="C8" s="483">
        <f>AVERAGE(D3:E3)</f>
        <v>4035.6692834138412</v>
      </c>
      <c r="D8" s="483">
        <f>AVERAGE(F3:G3)</f>
        <v>2445.5097306813768</v>
      </c>
      <c r="E8" s="483">
        <f>AVERAGE(H3:I3)</f>
        <v>173.01845741451817</v>
      </c>
      <c r="F8" s="483">
        <f>AVERAGE(J3:K3)</f>
        <v>17656.849499447002</v>
      </c>
      <c r="G8" s="483">
        <f>AVERAGE(L3:M3)</f>
        <v>460.86619861619687</v>
      </c>
      <c r="H8" s="484"/>
    </row>
    <row r="9" spans="1:13" s="28" customFormat="1" ht="13.5">
      <c r="A9" s="547" t="s">
        <v>845</v>
      </c>
      <c r="B9" s="483">
        <f>AVERAGE(B4:C4)</f>
        <v>3512070.7002749848</v>
      </c>
      <c r="C9" s="483">
        <f>AVERAGE(D4:E4)</f>
        <v>6140359.3261875957</v>
      </c>
      <c r="D9" s="483">
        <f>AVERAGE(F4:G4)</f>
        <v>3224163.9346212419</v>
      </c>
      <c r="E9" s="483">
        <f>AVERAGE(H4:I4)</f>
        <v>310382.94194719574</v>
      </c>
      <c r="F9" s="483">
        <f>AVERAGE(J4:K4)</f>
        <v>3580368.1289287615</v>
      </c>
      <c r="G9" s="483">
        <f>AVERAGE(L4:M4)</f>
        <v>1136297.8269739549</v>
      </c>
      <c r="H9" s="485"/>
    </row>
    <row r="10" spans="1:13" s="28" customFormat="1" ht="11.5">
      <c r="A10" s="546" t="s">
        <v>457</v>
      </c>
      <c r="B10" s="483">
        <f>AVERAGE(B5:C5)</f>
        <v>54.955987930297852</v>
      </c>
      <c r="C10" s="483">
        <f>AVERAGE(D5:E5)</f>
        <v>62.929622650146484</v>
      </c>
      <c r="D10" s="483">
        <f>AVERAGE(F5:G5)</f>
        <v>57.80433464050293</v>
      </c>
      <c r="E10" s="483">
        <f>AVERAGE(H5:I5)</f>
        <v>41.392751693725586</v>
      </c>
      <c r="F10" s="483">
        <f>AVERAGE(J5:K5)</f>
        <v>59.027572631835938</v>
      </c>
      <c r="G10" s="483">
        <f>AVERAGE(L5:M5)</f>
        <v>50.683799743652344</v>
      </c>
      <c r="H10" s="484"/>
    </row>
    <row r="11" spans="1:13" ht="13">
      <c r="E11" s="54"/>
      <c r="F11" s="217"/>
      <c r="G11" s="217"/>
      <c r="H11" s="217"/>
      <c r="I11" s="217"/>
      <c r="J11" s="217"/>
      <c r="K11" s="217"/>
    </row>
    <row r="12" spans="1:13" ht="13">
      <c r="D12" s="57"/>
      <c r="E12" s="245"/>
      <c r="F12" s="472"/>
      <c r="G12" s="472"/>
      <c r="H12" s="472"/>
      <c r="I12" s="472"/>
      <c r="J12" s="472"/>
      <c r="K12" s="472"/>
    </row>
    <row r="13" spans="1:13">
      <c r="D13" s="473"/>
      <c r="E13" s="57"/>
      <c r="F13" s="320"/>
      <c r="G13" s="57"/>
      <c r="H13" s="57"/>
      <c r="I13" s="57"/>
      <c r="J13" s="57"/>
      <c r="K13" s="57"/>
    </row>
    <row r="14" spans="1:13">
      <c r="D14" s="473"/>
      <c r="E14" s="57"/>
      <c r="F14" s="320"/>
      <c r="G14" s="57"/>
      <c r="H14" s="57"/>
      <c r="I14" s="317"/>
      <c r="J14" s="57"/>
      <c r="K14" s="57"/>
    </row>
    <row r="15" spans="1:13">
      <c r="D15" s="473"/>
      <c r="E15" s="57"/>
      <c r="F15" s="57"/>
      <c r="G15" s="320"/>
      <c r="H15" s="57"/>
      <c r="I15" s="57"/>
      <c r="J15" s="57"/>
      <c r="K15" s="57"/>
    </row>
    <row r="16" spans="1:13">
      <c r="D16" s="473"/>
      <c r="E16" s="316"/>
      <c r="F16" s="57"/>
      <c r="G16" s="57"/>
      <c r="H16" s="320"/>
      <c r="I16" s="317"/>
      <c r="J16" s="317"/>
      <c r="K16" s="320"/>
    </row>
    <row r="17" spans="1:12">
      <c r="D17" s="473"/>
      <c r="E17" s="57"/>
      <c r="F17" s="57"/>
      <c r="G17" s="1023" t="s">
        <v>202</v>
      </c>
      <c r="H17" s="57"/>
      <c r="I17" s="1026">
        <v>5261666.666666666</v>
      </c>
      <c r="J17" s="57"/>
      <c r="K17" s="57"/>
    </row>
    <row r="18" spans="1:12">
      <c r="D18" s="473"/>
      <c r="E18" s="57"/>
      <c r="F18" s="171" t="s">
        <v>1914</v>
      </c>
      <c r="G18" s="1023"/>
      <c r="H18" s="317"/>
      <c r="I18" s="1026"/>
      <c r="J18" s="57"/>
      <c r="K18" s="57"/>
    </row>
    <row r="19" spans="1:12">
      <c r="D19" s="473"/>
      <c r="E19" s="57"/>
      <c r="F19" s="320"/>
      <c r="G19" s="320"/>
      <c r="H19" s="320"/>
      <c r="I19" s="57"/>
      <c r="J19" s="57"/>
      <c r="K19" s="57"/>
    </row>
    <row r="20" spans="1:12" s="57" customFormat="1" ht="12.65" customHeight="1">
      <c r="A20" s="54"/>
      <c r="B20" s="1225"/>
      <c r="C20" s="1225"/>
      <c r="D20" s="54"/>
      <c r="E20" s="54"/>
      <c r="F20" s="54"/>
      <c r="G20" s="54"/>
    </row>
    <row r="21" spans="1:12" s="57" customFormat="1" ht="13.25" hidden="1" customHeight="1">
      <c r="A21" s="1024"/>
      <c r="B21" s="1025"/>
      <c r="C21" s="1025"/>
      <c r="D21" s="1025"/>
      <c r="E21" s="54"/>
      <c r="F21" s="1027"/>
      <c r="G21" s="1027"/>
      <c r="H21" s="477"/>
      <c r="I21" s="477"/>
      <c r="J21" s="477"/>
      <c r="K21" s="477"/>
      <c r="L21" s="477"/>
    </row>
    <row r="22" spans="1:12" s="57" customFormat="1" ht="16.75" customHeight="1">
      <c r="A22" s="688"/>
      <c r="B22" s="1221" t="s">
        <v>109</v>
      </c>
      <c r="C22" s="1221"/>
      <c r="D22" s="1221"/>
      <c r="E22" s="1221"/>
      <c r="F22" s="1221"/>
      <c r="G22" s="1027"/>
      <c r="H22" s="477"/>
      <c r="I22" s="477"/>
      <c r="J22" s="477"/>
      <c r="K22" s="477"/>
      <c r="L22" s="477"/>
    </row>
    <row r="23" spans="1:12" s="57" customFormat="1" ht="28.25" customHeight="1">
      <c r="A23" s="1028" t="s">
        <v>143</v>
      </c>
      <c r="B23" s="1029" t="s">
        <v>1889</v>
      </c>
      <c r="C23" s="1029" t="s">
        <v>1890</v>
      </c>
      <c r="D23" s="1029" t="s">
        <v>1915</v>
      </c>
      <c r="E23" s="1029" t="s">
        <v>1891</v>
      </c>
      <c r="F23" s="1022" t="s">
        <v>1916</v>
      </c>
      <c r="G23" s="1022" t="s">
        <v>1924</v>
      </c>
      <c r="H23" s="1029" t="s">
        <v>143</v>
      </c>
      <c r="I23" s="1029" t="s">
        <v>1889</v>
      </c>
      <c r="J23" s="1029" t="s">
        <v>1890</v>
      </c>
      <c r="K23" s="477"/>
      <c r="L23" s="477"/>
    </row>
    <row r="24" spans="1:12" s="57" customFormat="1">
      <c r="A24" s="1021" t="s">
        <v>459</v>
      </c>
      <c r="B24" s="1020">
        <v>111.01017811513184</v>
      </c>
      <c r="C24" s="1020">
        <v>345278.36416212871</v>
      </c>
      <c r="D24" s="556">
        <v>0.33333333333333331</v>
      </c>
      <c r="E24" s="1031" t="s">
        <v>460</v>
      </c>
      <c r="F24" s="184">
        <v>2</v>
      </c>
      <c r="G24" s="1144" t="s">
        <v>460</v>
      </c>
      <c r="H24" s="330">
        <v>4</v>
      </c>
      <c r="I24" s="1020">
        <v>1379.9102398140831</v>
      </c>
      <c r="J24" s="1020">
        <v>2132807.7052079714</v>
      </c>
      <c r="K24" s="477"/>
      <c r="L24" s="477"/>
    </row>
    <row r="25" spans="1:12" s="57" customFormat="1">
      <c r="A25" s="1021" t="s">
        <v>202</v>
      </c>
      <c r="B25" s="1020">
        <v>1097.7792966923757</v>
      </c>
      <c r="C25" s="1020">
        <v>1686887.6537533279</v>
      </c>
      <c r="D25" s="556">
        <v>0.5</v>
      </c>
      <c r="E25" s="1032"/>
      <c r="F25" s="184">
        <v>3</v>
      </c>
      <c r="G25" s="1144" t="s">
        <v>1918</v>
      </c>
      <c r="H25" s="330">
        <v>3</v>
      </c>
      <c r="I25" s="1020">
        <v>33.84138464335615</v>
      </c>
      <c r="J25" s="1020">
        <v>26254.980423663554</v>
      </c>
      <c r="K25" s="477"/>
      <c r="L25" s="477"/>
    </row>
    <row r="26" spans="1:12" s="57" customFormat="1">
      <c r="A26" s="1021" t="s">
        <v>135</v>
      </c>
      <c r="B26" s="1020">
        <v>142.58148863781537</v>
      </c>
      <c r="C26" s="1020">
        <v>47791.543245614594</v>
      </c>
      <c r="D26" s="556">
        <v>0.83333333333333337</v>
      </c>
      <c r="E26" s="1032"/>
      <c r="F26" s="184">
        <v>5</v>
      </c>
      <c r="G26" s="1144" t="s">
        <v>458</v>
      </c>
      <c r="H26" s="330">
        <v>41</v>
      </c>
      <c r="I26" s="1020">
        <v>622.16492068442017</v>
      </c>
      <c r="J26" s="1020">
        <v>769070.82018507307</v>
      </c>
      <c r="K26" s="477"/>
      <c r="L26" s="477"/>
    </row>
    <row r="27" spans="1:12" s="57" customFormat="1">
      <c r="A27" s="1021" t="s">
        <v>840</v>
      </c>
      <c r="B27" s="1020">
        <v>28.53927636876006</v>
      </c>
      <c r="C27" s="1020">
        <v>52850.144046900161</v>
      </c>
      <c r="D27" s="556">
        <v>0.33333333333333331</v>
      </c>
      <c r="E27" s="1033"/>
      <c r="F27" s="184">
        <v>2</v>
      </c>
      <c r="G27" s="1144" t="s">
        <v>462</v>
      </c>
      <c r="H27" s="330">
        <v>3</v>
      </c>
      <c r="I27" s="1020">
        <v>20.523310277170609</v>
      </c>
      <c r="J27" s="1020">
        <v>46273.568603037136</v>
      </c>
      <c r="K27" s="477"/>
      <c r="L27" s="477"/>
    </row>
    <row r="28" spans="1:12" s="57" customFormat="1">
      <c r="A28" s="1021" t="s">
        <v>1917</v>
      </c>
      <c r="B28" s="1020">
        <v>0.65248842592592593</v>
      </c>
      <c r="C28" s="1020">
        <v>1921.578414351852</v>
      </c>
      <c r="D28" s="556">
        <v>0.16666666666666666</v>
      </c>
      <c r="E28" s="1031" t="s">
        <v>1918</v>
      </c>
      <c r="F28" s="184">
        <v>1</v>
      </c>
      <c r="G28" s="1144" t="s">
        <v>461</v>
      </c>
      <c r="H28" s="330">
        <v>6</v>
      </c>
      <c r="I28" s="1020">
        <v>328.87758408375242</v>
      </c>
      <c r="J28" s="1020">
        <v>48491.997236067888</v>
      </c>
      <c r="K28" s="477"/>
      <c r="L28" s="477"/>
    </row>
    <row r="29" spans="1:12" s="57" customFormat="1" ht="13.75" customHeight="1">
      <c r="A29" s="1021" t="s">
        <v>134</v>
      </c>
      <c r="B29" s="1020">
        <v>24.598744244805427</v>
      </c>
      <c r="C29" s="1020">
        <v>16674.413432419598</v>
      </c>
      <c r="D29" s="556">
        <v>0.83333333333333337</v>
      </c>
      <c r="E29" s="1032"/>
      <c r="F29" s="184">
        <v>5</v>
      </c>
      <c r="G29" s="1145" t="s">
        <v>1951</v>
      </c>
      <c r="I29" s="477"/>
      <c r="J29" s="477"/>
      <c r="K29" s="477"/>
      <c r="L29" s="477"/>
    </row>
    <row r="30" spans="1:12" s="57" customFormat="1">
      <c r="A30" s="1021" t="s">
        <v>465</v>
      </c>
      <c r="B30" s="1020">
        <v>8.590151972624799</v>
      </c>
      <c r="C30" s="1020">
        <v>7658.9885768921067</v>
      </c>
      <c r="D30" s="556">
        <v>0.83333333333333337</v>
      </c>
      <c r="E30" s="1033"/>
      <c r="F30" s="184">
        <v>5</v>
      </c>
      <c r="G30" s="1144" t="s">
        <v>202</v>
      </c>
      <c r="H30" s="487"/>
      <c r="I30" s="477"/>
      <c r="J30" s="477"/>
      <c r="K30" s="477"/>
      <c r="L30" s="477"/>
    </row>
    <row r="31" spans="1:12" s="57" customFormat="1">
      <c r="A31" s="1021" t="s">
        <v>1892</v>
      </c>
      <c r="B31" s="1020">
        <v>32.681159420289852</v>
      </c>
      <c r="C31" s="1020">
        <v>5882.6086956521731</v>
      </c>
      <c r="D31" s="556">
        <v>0.16666666666666666</v>
      </c>
      <c r="E31" s="1031" t="s">
        <v>458</v>
      </c>
      <c r="F31" s="184">
        <v>1</v>
      </c>
      <c r="G31" s="1144" t="s">
        <v>135</v>
      </c>
      <c r="H31" s="487"/>
      <c r="I31" s="477"/>
      <c r="J31" s="477"/>
      <c r="K31" s="477"/>
      <c r="L31" s="477"/>
    </row>
    <row r="32" spans="1:12" s="57" customFormat="1">
      <c r="A32" s="1021" t="s">
        <v>1893</v>
      </c>
      <c r="B32" s="1020">
        <v>98.043478260869563</v>
      </c>
      <c r="C32" s="1020">
        <v>17647.82608695652</v>
      </c>
      <c r="D32" s="556">
        <v>0.16666666666666666</v>
      </c>
      <c r="E32" s="1032"/>
      <c r="F32" s="184">
        <v>1</v>
      </c>
      <c r="G32" s="1144" t="s">
        <v>134</v>
      </c>
      <c r="H32" s="486"/>
      <c r="I32" s="477"/>
      <c r="J32" s="477"/>
      <c r="K32" s="477"/>
      <c r="L32" s="477"/>
    </row>
    <row r="33" spans="1:12" s="57" customFormat="1">
      <c r="A33" s="1021" t="s">
        <v>471</v>
      </c>
      <c r="B33" s="1020">
        <v>3.3759183776167472</v>
      </c>
      <c r="C33" s="1020">
        <v>1846.1167094404186</v>
      </c>
      <c r="D33" s="556">
        <v>0.33333333333333331</v>
      </c>
      <c r="E33" s="1032"/>
      <c r="F33" s="184">
        <v>2</v>
      </c>
      <c r="G33" s="1144" t="s">
        <v>465</v>
      </c>
      <c r="H33" s="487"/>
      <c r="I33" s="477"/>
      <c r="J33" s="477"/>
      <c r="K33" s="477"/>
      <c r="L33" s="477"/>
    </row>
    <row r="34" spans="1:12" s="57" customFormat="1">
      <c r="A34" s="1021" t="s">
        <v>467</v>
      </c>
      <c r="B34" s="1020">
        <v>10.21694534271675</v>
      </c>
      <c r="C34" s="1020">
        <v>5003.2300796358368</v>
      </c>
      <c r="D34" s="1030">
        <v>0.66666666666666663</v>
      </c>
      <c r="E34" s="1032"/>
      <c r="F34" s="184">
        <v>4</v>
      </c>
      <c r="G34" s="1144" t="s">
        <v>467</v>
      </c>
      <c r="H34" s="487"/>
      <c r="I34" s="477"/>
      <c r="J34" s="477"/>
      <c r="K34" s="477"/>
      <c r="L34" s="477"/>
    </row>
    <row r="35" spans="1:12" s="57" customFormat="1">
      <c r="A35" s="1021" t="s">
        <v>1894</v>
      </c>
      <c r="B35" s="1020">
        <v>16.000150966183575</v>
      </c>
      <c r="C35" s="1020">
        <v>37074.051932367147</v>
      </c>
      <c r="D35" s="1030">
        <v>0.16666666666666666</v>
      </c>
      <c r="E35" s="1032"/>
      <c r="F35" s="184">
        <v>1</v>
      </c>
      <c r="G35" s="1144" t="s">
        <v>463</v>
      </c>
      <c r="H35" s="486"/>
      <c r="I35" s="477"/>
      <c r="J35" s="477"/>
      <c r="K35" s="477"/>
      <c r="L35" s="477"/>
    </row>
    <row r="36" spans="1:12" s="57" customFormat="1">
      <c r="A36" s="1021" t="s">
        <v>1895</v>
      </c>
      <c r="B36" s="1020">
        <v>4.7092642914653782</v>
      </c>
      <c r="C36" s="1020">
        <v>380.71281199677935</v>
      </c>
      <c r="D36" s="1030">
        <v>0.33333333333333331</v>
      </c>
      <c r="E36" s="1032"/>
      <c r="F36" s="184">
        <v>2</v>
      </c>
      <c r="G36" s="1144" t="s">
        <v>464</v>
      </c>
      <c r="H36" s="477"/>
      <c r="I36" s="477"/>
      <c r="J36" s="477"/>
      <c r="K36" s="477"/>
      <c r="L36" s="477"/>
    </row>
    <row r="37" spans="1:12" s="57" customFormat="1">
      <c r="A37" s="1021" t="s">
        <v>1896</v>
      </c>
      <c r="B37" s="1020">
        <v>3.9149305555555554</v>
      </c>
      <c r="C37" s="1021">
        <v>98</v>
      </c>
      <c r="D37" s="1030">
        <v>0.16666666666666666</v>
      </c>
      <c r="E37" s="1032"/>
      <c r="F37" s="184">
        <v>1</v>
      </c>
      <c r="G37" s="1144" t="s">
        <v>1902</v>
      </c>
      <c r="H37" s="477"/>
      <c r="I37" s="477"/>
      <c r="J37" s="477"/>
      <c r="K37" s="477"/>
      <c r="L37" s="477"/>
    </row>
    <row r="38" spans="1:12" s="57" customFormat="1">
      <c r="A38" s="1021" t="s">
        <v>463</v>
      </c>
      <c r="B38" s="1020">
        <v>2.9841955414967316</v>
      </c>
      <c r="C38" s="1020">
        <v>1334.99909663278</v>
      </c>
      <c r="D38" s="1030">
        <v>0.5</v>
      </c>
      <c r="E38" s="1032"/>
      <c r="F38" s="184">
        <v>3</v>
      </c>
      <c r="G38" s="1144" t="s">
        <v>842</v>
      </c>
      <c r="H38" s="477"/>
      <c r="I38" s="477"/>
      <c r="J38" s="477"/>
      <c r="K38" s="477"/>
      <c r="L38" s="477"/>
    </row>
    <row r="39" spans="1:12" s="57" customFormat="1">
      <c r="A39" s="1021" t="s">
        <v>1897</v>
      </c>
      <c r="B39" s="1020">
        <v>16.113627214170691</v>
      </c>
      <c r="C39" s="1020">
        <v>32079.735305958129</v>
      </c>
      <c r="D39" s="1030">
        <v>0.16666666666666666</v>
      </c>
      <c r="E39" s="1032"/>
      <c r="F39" s="184">
        <v>1</v>
      </c>
      <c r="G39" s="1144" t="s">
        <v>7</v>
      </c>
      <c r="H39" s="477"/>
      <c r="I39" s="477"/>
      <c r="J39" s="477"/>
      <c r="K39" s="477"/>
      <c r="L39" s="477"/>
    </row>
    <row r="40" spans="1:12" s="57" customFormat="1">
      <c r="A40" s="1021" t="s">
        <v>468</v>
      </c>
      <c r="B40" s="1020">
        <v>10.893719806763285</v>
      </c>
      <c r="C40" s="1020">
        <v>19608.695652173912</v>
      </c>
      <c r="D40" s="1030">
        <v>0.16666666666666666</v>
      </c>
      <c r="E40" s="1032"/>
      <c r="F40" s="184">
        <v>1</v>
      </c>
      <c r="G40" s="1144" t="s">
        <v>1886</v>
      </c>
      <c r="H40" s="477"/>
      <c r="I40" s="477"/>
      <c r="J40" s="477"/>
      <c r="K40" s="477"/>
      <c r="L40" s="477"/>
    </row>
    <row r="41" spans="1:12" s="57" customFormat="1">
      <c r="A41" s="1021" t="s">
        <v>464</v>
      </c>
      <c r="B41" s="1020">
        <v>23.224805421363396</v>
      </c>
      <c r="C41" s="1020">
        <v>54990.741076221144</v>
      </c>
      <c r="D41" s="1030">
        <v>0.5</v>
      </c>
      <c r="E41" s="1032"/>
      <c r="F41" s="184">
        <v>3</v>
      </c>
      <c r="G41" s="1144" t="s">
        <v>1888</v>
      </c>
      <c r="H41" s="477"/>
      <c r="I41" s="477"/>
      <c r="J41" s="477"/>
      <c r="K41" s="477"/>
      <c r="L41" s="477"/>
    </row>
    <row r="42" spans="1:12" s="57" customFormat="1">
      <c r="A42" s="1021" t="s">
        <v>469</v>
      </c>
      <c r="B42" s="1020">
        <v>5.4468599033816423</v>
      </c>
      <c r="C42" s="1020">
        <v>4357.4879227053134</v>
      </c>
      <c r="D42" s="1030">
        <v>0.16666666666666666</v>
      </c>
      <c r="E42" s="1032"/>
      <c r="F42" s="184">
        <v>1</v>
      </c>
      <c r="G42" s="1144" t="s">
        <v>205</v>
      </c>
      <c r="H42" s="477"/>
      <c r="I42" s="477"/>
      <c r="J42" s="477"/>
      <c r="K42" s="477"/>
      <c r="L42" s="477"/>
    </row>
    <row r="43" spans="1:12" s="57" customFormat="1">
      <c r="A43" s="1021" t="s">
        <v>1898</v>
      </c>
      <c r="B43" s="1020">
        <v>49.021739130434781</v>
      </c>
      <c r="C43" s="1020">
        <v>37212.946859903379</v>
      </c>
      <c r="D43" s="1030">
        <v>0.33333333333333331</v>
      </c>
      <c r="E43" s="1032"/>
      <c r="F43" s="184">
        <v>2</v>
      </c>
      <c r="G43" s="1144" t="s">
        <v>204</v>
      </c>
      <c r="H43" s="477"/>
      <c r="I43" s="477"/>
      <c r="J43" s="477"/>
      <c r="K43" s="477"/>
      <c r="L43" s="477"/>
    </row>
    <row r="44" spans="1:12" s="57" customFormat="1">
      <c r="A44" s="1021" t="s">
        <v>142</v>
      </c>
      <c r="B44" s="1020">
        <v>13.390197262479871</v>
      </c>
      <c r="C44" s="1020">
        <v>95537.922705314006</v>
      </c>
      <c r="D44" s="1030">
        <v>0.33333333333333331</v>
      </c>
      <c r="E44" s="1032"/>
      <c r="F44" s="184">
        <v>2</v>
      </c>
      <c r="G44" s="1027"/>
      <c r="H44" s="477"/>
      <c r="I44" s="477"/>
      <c r="J44" s="477"/>
      <c r="K44" s="477"/>
      <c r="L44" s="477"/>
    </row>
    <row r="45" spans="1:12" s="57" customFormat="1">
      <c r="A45" s="1021" t="s">
        <v>1899</v>
      </c>
      <c r="B45" s="1020">
        <v>21.787439613526569</v>
      </c>
      <c r="C45" s="1020">
        <v>9412.173913043478</v>
      </c>
      <c r="D45" s="1030">
        <v>0.16666666666666666</v>
      </c>
      <c r="E45" s="1032"/>
      <c r="F45" s="184">
        <v>1</v>
      </c>
      <c r="G45" s="1027"/>
      <c r="H45" s="477"/>
      <c r="I45" s="477"/>
      <c r="J45" s="477"/>
      <c r="K45" s="477"/>
      <c r="L45" s="477"/>
    </row>
    <row r="46" spans="1:12" s="57" customFormat="1">
      <c r="A46" s="1021" t="s">
        <v>841</v>
      </c>
      <c r="B46" s="1020">
        <v>10.893719806763285</v>
      </c>
      <c r="C46" s="1020">
        <v>58826.086956521736</v>
      </c>
      <c r="D46" s="1030">
        <v>0.16666666666666666</v>
      </c>
      <c r="E46" s="1032"/>
      <c r="F46" s="184">
        <v>1</v>
      </c>
      <c r="G46" s="1027"/>
      <c r="H46" s="477"/>
      <c r="I46" s="477"/>
      <c r="J46" s="477"/>
      <c r="K46" s="477"/>
      <c r="L46" s="477"/>
    </row>
    <row r="47" spans="1:12" s="57" customFormat="1">
      <c r="A47" s="1021" t="s">
        <v>472</v>
      </c>
      <c r="B47" s="1020">
        <v>40.851449275362313</v>
      </c>
      <c r="C47" s="1020">
        <v>7353.2608695652161</v>
      </c>
      <c r="D47" s="1030">
        <v>0.33333333333333331</v>
      </c>
      <c r="E47" s="1032"/>
      <c r="F47" s="184">
        <v>2</v>
      </c>
      <c r="G47" s="1027"/>
      <c r="H47" s="477"/>
      <c r="I47" s="477"/>
      <c r="J47" s="477"/>
      <c r="K47" s="477"/>
      <c r="L47" s="477"/>
    </row>
    <row r="48" spans="1:12" s="57" customFormat="1">
      <c r="A48" s="1021" t="s">
        <v>1900</v>
      </c>
      <c r="B48" s="1020">
        <v>6.8085748792270531</v>
      </c>
      <c r="C48" s="1020">
        <v>10621.376811594202</v>
      </c>
      <c r="D48" s="1030">
        <v>0.33333333333333331</v>
      </c>
      <c r="E48" s="1032"/>
      <c r="F48" s="184">
        <v>2</v>
      </c>
      <c r="G48" s="1027"/>
      <c r="H48" s="477"/>
      <c r="I48" s="477"/>
      <c r="J48" s="477"/>
      <c r="K48" s="477"/>
      <c r="L48" s="477"/>
    </row>
    <row r="49" spans="1:12" s="57" customFormat="1">
      <c r="A49" s="1021" t="s">
        <v>1901</v>
      </c>
      <c r="B49" s="1020">
        <v>108.93719806763283</v>
      </c>
      <c r="C49" s="1020">
        <v>209704.10628019323</v>
      </c>
      <c r="D49" s="1030">
        <v>0.16666666666666666</v>
      </c>
      <c r="E49" s="1032"/>
      <c r="F49" s="184">
        <v>1</v>
      </c>
      <c r="G49" s="1027"/>
      <c r="H49" s="477"/>
      <c r="I49" s="477"/>
      <c r="J49" s="477"/>
      <c r="K49" s="477"/>
      <c r="L49" s="477"/>
    </row>
    <row r="50" spans="1:12" s="57" customFormat="1">
      <c r="A50" s="1021" t="s">
        <v>1902</v>
      </c>
      <c r="B50" s="1020">
        <v>4.7896433004562535</v>
      </c>
      <c r="C50" s="1020">
        <v>5179.6233393719804</v>
      </c>
      <c r="D50" s="1030">
        <v>1</v>
      </c>
      <c r="E50" s="1032"/>
      <c r="F50" s="184">
        <v>6</v>
      </c>
      <c r="G50" s="1027"/>
      <c r="H50" s="477"/>
      <c r="I50" s="477"/>
      <c r="J50" s="477"/>
      <c r="K50" s="477"/>
      <c r="L50" s="477"/>
    </row>
    <row r="51" spans="1:12" s="57" customFormat="1">
      <c r="A51" s="1021" t="s">
        <v>842</v>
      </c>
      <c r="B51" s="1020">
        <v>19.532099184782609</v>
      </c>
      <c r="C51" s="1020">
        <v>33900.631919283413</v>
      </c>
      <c r="D51" s="1030">
        <v>0.66666666666666663</v>
      </c>
      <c r="E51" s="1032"/>
      <c r="F51" s="184">
        <v>4</v>
      </c>
      <c r="G51" s="1027"/>
      <c r="H51" s="477"/>
      <c r="I51" s="477"/>
      <c r="J51" s="477"/>
      <c r="K51" s="477"/>
      <c r="L51" s="477"/>
    </row>
    <row r="52" spans="1:12" s="57" customFormat="1">
      <c r="A52" s="1021" t="s">
        <v>1903</v>
      </c>
      <c r="B52" s="1020">
        <v>8.0568136070853456</v>
      </c>
      <c r="C52" s="1020">
        <v>16039.867652979065</v>
      </c>
      <c r="D52" s="1030">
        <v>0.16666666666666666</v>
      </c>
      <c r="E52" s="1032"/>
      <c r="F52" s="184">
        <v>1</v>
      </c>
      <c r="G52" s="1027"/>
      <c r="H52" s="477"/>
      <c r="I52" s="477"/>
      <c r="J52" s="477"/>
      <c r="K52" s="477"/>
      <c r="L52" s="477"/>
    </row>
    <row r="53" spans="1:12" s="57" customFormat="1">
      <c r="A53" s="1021" t="s">
        <v>1887</v>
      </c>
      <c r="B53" s="1020">
        <v>3.000465573656363</v>
      </c>
      <c r="C53" s="1020">
        <v>3037.6328842940684</v>
      </c>
      <c r="D53" s="1030">
        <v>0.33333333333333331</v>
      </c>
      <c r="E53" s="1032"/>
      <c r="F53" s="184">
        <v>2</v>
      </c>
      <c r="G53" s="1027"/>
      <c r="H53" s="477"/>
      <c r="I53" s="477"/>
      <c r="J53" s="477"/>
      <c r="K53" s="477"/>
      <c r="L53" s="477"/>
    </row>
    <row r="54" spans="1:12" s="57" customFormat="1">
      <c r="A54" s="1021" t="s">
        <v>1904</v>
      </c>
      <c r="B54" s="1020">
        <v>6.7518367552334944</v>
      </c>
      <c r="C54" s="1020">
        <v>641.42449174718195</v>
      </c>
      <c r="D54" s="1030">
        <v>0.16666666666666666</v>
      </c>
      <c r="E54" s="1032"/>
      <c r="F54" s="184">
        <v>1</v>
      </c>
      <c r="G54" s="1027"/>
      <c r="H54" s="477"/>
      <c r="I54" s="477"/>
      <c r="J54" s="477"/>
      <c r="K54" s="477"/>
      <c r="L54" s="477"/>
    </row>
    <row r="55" spans="1:12" s="57" customFormat="1">
      <c r="A55" s="1021" t="s">
        <v>843</v>
      </c>
      <c r="B55" s="1020">
        <v>2.6099537037037037</v>
      </c>
      <c r="C55" s="1020">
        <v>3977.5694444444443</v>
      </c>
      <c r="D55" s="1030">
        <v>0.16666666666666666</v>
      </c>
      <c r="E55" s="1032"/>
      <c r="F55" s="184">
        <v>1</v>
      </c>
      <c r="G55" s="1027"/>
      <c r="H55" s="477"/>
      <c r="I55" s="477"/>
      <c r="J55" s="477"/>
      <c r="K55" s="477"/>
      <c r="L55" s="477"/>
    </row>
    <row r="56" spans="1:12" s="57" customFormat="1">
      <c r="A56" s="1021" t="s">
        <v>844</v>
      </c>
      <c r="B56" s="1020">
        <v>14.8653884863124</v>
      </c>
      <c r="C56" s="1020">
        <v>2372.2209641706922</v>
      </c>
      <c r="D56" s="1030">
        <v>0.33333333333333331</v>
      </c>
      <c r="E56" s="1032"/>
      <c r="F56" s="184">
        <v>2</v>
      </c>
      <c r="G56" s="1027"/>
      <c r="H56" s="477"/>
      <c r="I56" s="477"/>
      <c r="J56" s="477"/>
      <c r="K56" s="477"/>
      <c r="L56" s="477"/>
    </row>
    <row r="57" spans="1:12" s="57" customFormat="1">
      <c r="A57" s="1021" t="s">
        <v>1905</v>
      </c>
      <c r="B57" s="1020">
        <v>2.6666918276972624</v>
      </c>
      <c r="C57" s="1020">
        <v>20207.850241545893</v>
      </c>
      <c r="D57" s="1030">
        <v>0.16666666666666666</v>
      </c>
      <c r="E57" s="1032"/>
      <c r="F57" s="184">
        <v>1</v>
      </c>
      <c r="G57" s="1027"/>
      <c r="H57" s="477"/>
      <c r="I57" s="477"/>
      <c r="J57" s="477"/>
      <c r="K57" s="477"/>
      <c r="L57" s="477"/>
    </row>
    <row r="58" spans="1:12" s="57" customFormat="1">
      <c r="A58" s="1021" t="s">
        <v>1919</v>
      </c>
      <c r="B58" s="1020">
        <v>1.9574652777777777</v>
      </c>
      <c r="C58" s="1020">
        <v>48.936631944444443</v>
      </c>
      <c r="D58" s="1030">
        <v>0.16666666666666666</v>
      </c>
      <c r="E58" s="1032"/>
      <c r="F58" s="184">
        <v>1</v>
      </c>
      <c r="G58" s="1027"/>
      <c r="H58" s="477"/>
      <c r="I58" s="477"/>
      <c r="J58" s="477"/>
      <c r="K58" s="477"/>
      <c r="L58" s="477"/>
    </row>
    <row r="59" spans="1:12" s="57" customFormat="1">
      <c r="A59" s="1021" t="s">
        <v>1885</v>
      </c>
      <c r="B59" s="1020">
        <v>4.2149532710280377</v>
      </c>
      <c r="C59" s="1020">
        <v>1180.1869158878505</v>
      </c>
      <c r="D59" s="1030">
        <v>0.16666666666666666</v>
      </c>
      <c r="E59" s="1032"/>
      <c r="F59" s="184">
        <v>1</v>
      </c>
      <c r="G59" s="1027"/>
      <c r="H59" s="477"/>
      <c r="I59" s="477"/>
      <c r="J59" s="477"/>
      <c r="K59" s="477"/>
      <c r="L59" s="477"/>
    </row>
    <row r="60" spans="1:12" s="57" customFormat="1">
      <c r="A60" s="1021" t="s">
        <v>1906</v>
      </c>
      <c r="B60" s="1020">
        <v>5.2199074074074074</v>
      </c>
      <c r="C60" s="1020">
        <v>7955.1388888888887</v>
      </c>
      <c r="D60" s="1030">
        <v>0.16666666666666666</v>
      </c>
      <c r="E60" s="1032"/>
      <c r="F60" s="184">
        <v>1</v>
      </c>
      <c r="G60" s="1027"/>
      <c r="H60" s="477"/>
      <c r="I60" s="477"/>
      <c r="J60" s="477"/>
      <c r="K60" s="477"/>
      <c r="L60" s="477"/>
    </row>
    <row r="61" spans="1:12" s="57" customFormat="1">
      <c r="A61" s="1021" t="s">
        <v>1907</v>
      </c>
      <c r="B61" s="1020">
        <v>5.3333836553945249</v>
      </c>
      <c r="C61" s="1020">
        <v>240.00226449275362</v>
      </c>
      <c r="D61" s="1030">
        <v>0.16666666666666666</v>
      </c>
      <c r="E61" s="1032"/>
      <c r="F61" s="184">
        <v>1</v>
      </c>
      <c r="G61" s="1027"/>
      <c r="H61" s="477"/>
      <c r="I61" s="477"/>
      <c r="J61" s="477"/>
      <c r="K61" s="477"/>
      <c r="L61" s="477"/>
    </row>
    <row r="62" spans="1:12" s="57" customFormat="1">
      <c r="A62" s="1021" t="s">
        <v>1908</v>
      </c>
      <c r="B62" s="1020">
        <v>4.4113891404991943</v>
      </c>
      <c r="C62" s="1020">
        <v>1794.4140939512881</v>
      </c>
      <c r="D62" s="1030">
        <v>0.33333333333333331</v>
      </c>
      <c r="E62" s="1032"/>
      <c r="F62" s="184">
        <v>2</v>
      </c>
      <c r="G62" s="1027"/>
      <c r="H62" s="477"/>
      <c r="I62" s="477"/>
      <c r="J62" s="477"/>
      <c r="K62" s="477"/>
      <c r="L62" s="477"/>
    </row>
    <row r="63" spans="1:12" s="57" customFormat="1">
      <c r="A63" s="1021" t="s">
        <v>1909</v>
      </c>
      <c r="B63" s="1020">
        <v>2.6099537037037037</v>
      </c>
      <c r="C63" s="1020">
        <v>7686.3136574074078</v>
      </c>
      <c r="D63" s="1030">
        <v>0.16666666666666666</v>
      </c>
      <c r="E63" s="1032"/>
      <c r="F63" s="184">
        <v>1</v>
      </c>
      <c r="G63" s="1027"/>
      <c r="H63" s="477"/>
      <c r="I63" s="477"/>
      <c r="J63" s="477"/>
      <c r="K63" s="477"/>
      <c r="L63" s="477"/>
    </row>
    <row r="64" spans="1:12" s="57" customFormat="1">
      <c r="A64" s="1021" t="s">
        <v>1910</v>
      </c>
      <c r="B64" s="1020">
        <v>2.6099537037037037</v>
      </c>
      <c r="C64" s="1020">
        <v>52.199074074074076</v>
      </c>
      <c r="D64" s="1030">
        <v>0.16666666666666666</v>
      </c>
      <c r="E64" s="1032"/>
      <c r="F64" s="184">
        <v>1</v>
      </c>
      <c r="G64" s="1027"/>
      <c r="H64" s="477"/>
      <c r="I64" s="477"/>
      <c r="J64" s="477"/>
      <c r="K64" s="477"/>
      <c r="L64" s="477"/>
    </row>
    <row r="65" spans="1:12" s="57" customFormat="1">
      <c r="A65" s="1021" t="s">
        <v>840</v>
      </c>
      <c r="B65" s="1020">
        <v>5.2199074074074074</v>
      </c>
      <c r="C65" s="1020">
        <v>9709.0277777777774</v>
      </c>
      <c r="D65" s="1030">
        <v>0.16666666666666666</v>
      </c>
      <c r="E65" s="1032"/>
      <c r="F65" s="184">
        <v>1</v>
      </c>
      <c r="G65" s="1027"/>
      <c r="H65" s="477"/>
      <c r="I65" s="477"/>
      <c r="J65" s="477"/>
      <c r="K65" s="477"/>
      <c r="L65" s="477"/>
    </row>
    <row r="66" spans="1:12" s="57" customFormat="1">
      <c r="A66" s="1021" t="s">
        <v>1911</v>
      </c>
      <c r="B66" s="1020">
        <v>10.893719806763285</v>
      </c>
      <c r="C66" s="1020">
        <v>8714.9758454106268</v>
      </c>
      <c r="D66" s="1030">
        <v>0.16666666666666666</v>
      </c>
      <c r="E66" s="1032"/>
      <c r="F66" s="184">
        <v>1</v>
      </c>
      <c r="G66" s="1027"/>
      <c r="H66" s="477"/>
      <c r="I66" s="477"/>
      <c r="J66" s="477"/>
      <c r="K66" s="477"/>
      <c r="L66" s="477"/>
    </row>
    <row r="67" spans="1:12" s="57" customFormat="1">
      <c r="A67" s="1021" t="s">
        <v>465</v>
      </c>
      <c r="B67" s="1020">
        <v>10.439814814814815</v>
      </c>
      <c r="C67" s="1020">
        <v>208.7962962962963</v>
      </c>
      <c r="D67" s="1030">
        <v>0.16666666666666666</v>
      </c>
      <c r="E67" s="1032"/>
      <c r="F67" s="184">
        <v>1</v>
      </c>
      <c r="G67" s="1027"/>
      <c r="H67" s="477"/>
      <c r="I67" s="477"/>
      <c r="J67" s="477"/>
      <c r="K67" s="477"/>
      <c r="L67" s="477"/>
    </row>
    <row r="68" spans="1:12" s="57" customFormat="1">
      <c r="A68" s="1021" t="s">
        <v>1920</v>
      </c>
      <c r="B68" s="1020">
        <v>2.6666918276972624</v>
      </c>
      <c r="C68" s="1020">
        <v>120.00113224637681</v>
      </c>
      <c r="D68" s="1030">
        <v>0.16666666666666666</v>
      </c>
      <c r="E68" s="1032"/>
      <c r="F68" s="184">
        <v>1</v>
      </c>
      <c r="G68" s="1027"/>
      <c r="H68" s="477"/>
      <c r="I68" s="477"/>
      <c r="J68" s="477"/>
      <c r="K68" s="477"/>
      <c r="L68" s="477"/>
    </row>
    <row r="69" spans="1:12" s="57" customFormat="1">
      <c r="A69" s="1021" t="s">
        <v>7</v>
      </c>
      <c r="B69" s="1020">
        <v>13.352371846484168</v>
      </c>
      <c r="C69" s="1020">
        <v>26829.813430958133</v>
      </c>
      <c r="D69" s="1030">
        <v>0.5</v>
      </c>
      <c r="E69" s="1032"/>
      <c r="F69" s="184">
        <v>3</v>
      </c>
      <c r="G69" s="1027"/>
      <c r="H69" s="477"/>
      <c r="I69" s="477"/>
      <c r="J69" s="477"/>
      <c r="K69" s="477"/>
      <c r="L69" s="477"/>
    </row>
    <row r="70" spans="1:12" s="57" customFormat="1">
      <c r="A70" s="1021" t="s">
        <v>1886</v>
      </c>
      <c r="B70" s="1020">
        <v>11.014654819585422</v>
      </c>
      <c r="C70" s="1020">
        <v>9990.0547335990886</v>
      </c>
      <c r="D70" s="1030">
        <v>0.5</v>
      </c>
      <c r="E70" s="1032"/>
      <c r="F70" s="184">
        <v>3</v>
      </c>
      <c r="G70" s="1027"/>
      <c r="H70" s="477"/>
      <c r="I70" s="477"/>
      <c r="J70" s="477"/>
      <c r="K70" s="477"/>
      <c r="L70" s="477"/>
    </row>
    <row r="71" spans="1:12" s="57" customFormat="1">
      <c r="A71" s="1021" t="s">
        <v>1921</v>
      </c>
      <c r="B71" s="1020">
        <v>0.65248842592592593</v>
      </c>
      <c r="C71" s="1020">
        <v>212.05873842592592</v>
      </c>
      <c r="D71" s="1030">
        <v>0.16666666666666666</v>
      </c>
      <c r="E71" s="1033"/>
      <c r="F71" s="184">
        <v>1</v>
      </c>
      <c r="G71" s="1027"/>
      <c r="H71" s="477"/>
      <c r="I71" s="477"/>
      <c r="J71" s="477"/>
      <c r="K71" s="477"/>
      <c r="L71" s="477"/>
    </row>
    <row r="72" spans="1:12" s="57" customFormat="1">
      <c r="A72" s="1021" t="s">
        <v>203</v>
      </c>
      <c r="B72" s="1020">
        <v>5.3333836553945249</v>
      </c>
      <c r="C72" s="1020">
        <v>40415.700483091787</v>
      </c>
      <c r="D72" s="1030">
        <v>0.16666666666666666</v>
      </c>
      <c r="E72" s="1031" t="s">
        <v>462</v>
      </c>
      <c r="F72" s="184">
        <v>1</v>
      </c>
      <c r="G72" s="477"/>
      <c r="H72" s="477"/>
      <c r="I72" s="477"/>
      <c r="J72" s="477"/>
      <c r="K72" s="477"/>
      <c r="L72" s="477"/>
    </row>
    <row r="73" spans="1:12" s="57" customFormat="1">
      <c r="A73" s="1021" t="s">
        <v>1888</v>
      </c>
      <c r="B73" s="1020">
        <v>13.884949769924233</v>
      </c>
      <c r="C73" s="1020">
        <v>5831.7685829083139</v>
      </c>
      <c r="D73" s="1030">
        <v>0.5</v>
      </c>
      <c r="E73" s="1032"/>
      <c r="F73" s="184">
        <v>3</v>
      </c>
      <c r="G73" s="477"/>
      <c r="H73" s="477"/>
      <c r="I73" s="477"/>
      <c r="J73" s="477"/>
      <c r="K73" s="477"/>
      <c r="L73" s="477"/>
    </row>
    <row r="74" spans="1:12" s="57" customFormat="1">
      <c r="A74" s="1021" t="s">
        <v>1922</v>
      </c>
      <c r="B74" s="1020">
        <v>1.3049768518518519</v>
      </c>
      <c r="C74" s="1020">
        <v>26.099537037037038</v>
      </c>
      <c r="D74" s="1030">
        <v>0.16666666666666666</v>
      </c>
      <c r="E74" s="1033"/>
      <c r="F74" s="184">
        <v>1</v>
      </c>
      <c r="G74" s="477"/>
      <c r="H74" s="477"/>
      <c r="I74" s="477"/>
      <c r="J74" s="477"/>
      <c r="K74" s="477"/>
      <c r="L74" s="477"/>
    </row>
    <row r="75" spans="1:12" s="57" customFormat="1">
      <c r="A75" s="1021" t="s">
        <v>204</v>
      </c>
      <c r="B75" s="1020">
        <v>40.358581925411805</v>
      </c>
      <c r="C75" s="1020">
        <v>28046.240929475873</v>
      </c>
      <c r="D75" s="1030">
        <v>0.66666666666666663</v>
      </c>
      <c r="E75" s="1031" t="s">
        <v>1913</v>
      </c>
      <c r="F75" s="184">
        <v>4</v>
      </c>
      <c r="G75" s="477"/>
      <c r="H75" s="477"/>
      <c r="I75" s="477"/>
      <c r="J75" s="477"/>
      <c r="K75" s="477"/>
      <c r="L75" s="477"/>
    </row>
    <row r="76" spans="1:12" s="57" customFormat="1">
      <c r="A76" s="1021" t="s">
        <v>205</v>
      </c>
      <c r="B76" s="1020">
        <v>8.4036937493816577</v>
      </c>
      <c r="C76" s="1020">
        <v>2336.303125553869</v>
      </c>
      <c r="D76" s="1030">
        <v>0.5</v>
      </c>
      <c r="E76" s="1032"/>
      <c r="F76" s="184">
        <v>3</v>
      </c>
      <c r="G76" s="477"/>
      <c r="H76" s="477"/>
      <c r="I76" s="477"/>
      <c r="J76" s="477"/>
      <c r="K76" s="477"/>
      <c r="L76" s="477"/>
    </row>
    <row r="77" spans="1:12" s="57" customFormat="1">
      <c r="A77" s="1021" t="s">
        <v>1912</v>
      </c>
      <c r="B77" s="1020">
        <v>1.3049768518518519</v>
      </c>
      <c r="C77" s="1020">
        <v>2427.2569444444443</v>
      </c>
      <c r="D77" s="1030">
        <v>0.16666666666666666</v>
      </c>
      <c r="E77" s="1032"/>
      <c r="F77" s="184">
        <v>1</v>
      </c>
      <c r="G77" s="477"/>
      <c r="H77" s="477"/>
      <c r="I77" s="477"/>
      <c r="J77" s="477"/>
      <c r="K77" s="477"/>
      <c r="L77" s="477"/>
    </row>
    <row r="78" spans="1:12" s="57" customFormat="1">
      <c r="A78" s="1021" t="s">
        <v>1923</v>
      </c>
      <c r="B78" s="1020">
        <v>0.65248842592592593</v>
      </c>
      <c r="C78" s="1020">
        <v>994.39236111111109</v>
      </c>
      <c r="D78" s="1030">
        <v>0.16666666666666666</v>
      </c>
      <c r="E78" s="1032"/>
      <c r="F78" s="184">
        <v>1</v>
      </c>
      <c r="G78" s="477"/>
      <c r="H78" s="477"/>
      <c r="I78" s="477"/>
      <c r="J78" s="477"/>
      <c r="K78" s="477"/>
      <c r="L78" s="477"/>
    </row>
    <row r="79" spans="1:12" s="57" customFormat="1">
      <c r="A79" s="1021" t="s">
        <v>466</v>
      </c>
      <c r="B79" s="1020">
        <v>273.94288986015312</v>
      </c>
      <c r="C79" s="1020">
        <v>12327.430043706891</v>
      </c>
      <c r="D79" s="1030">
        <v>0.33333333333333331</v>
      </c>
      <c r="E79" s="1032"/>
      <c r="F79" s="184">
        <v>2</v>
      </c>
      <c r="G79" s="477"/>
      <c r="H79" s="477"/>
      <c r="I79" s="477"/>
      <c r="J79" s="477"/>
      <c r="K79" s="477"/>
      <c r="L79" s="477"/>
    </row>
    <row r="80" spans="1:12" s="57" customFormat="1">
      <c r="A80" s="1021" t="s">
        <v>470</v>
      </c>
      <c r="B80" s="1020">
        <v>4.2149532710280377</v>
      </c>
      <c r="C80" s="1020">
        <v>2360.3738317757011</v>
      </c>
      <c r="D80" s="1030">
        <v>0.16666666666666666</v>
      </c>
      <c r="E80" s="1033"/>
      <c r="F80" s="184">
        <v>1</v>
      </c>
      <c r="G80" s="477"/>
      <c r="H80" s="477"/>
      <c r="I80" s="477"/>
      <c r="J80" s="477"/>
      <c r="K80" s="477"/>
      <c r="L80" s="477"/>
    </row>
    <row r="81" spans="1:12" s="57" customFormat="1">
      <c r="B81" s="477"/>
      <c r="C81" s="477"/>
      <c r="D81" s="477"/>
      <c r="E81" s="477"/>
      <c r="F81" s="477"/>
      <c r="G81" s="477"/>
      <c r="H81" s="477"/>
      <c r="I81" s="477"/>
      <c r="J81" s="477"/>
      <c r="K81" s="477"/>
      <c r="L81" s="477"/>
    </row>
    <row r="82" spans="1:12" s="57" customFormat="1">
      <c r="B82" s="477"/>
      <c r="C82" s="477"/>
      <c r="D82" s="477"/>
      <c r="E82" s="477"/>
      <c r="F82" s="477"/>
      <c r="G82" s="477"/>
      <c r="H82" s="477"/>
      <c r="I82" s="477"/>
      <c r="J82" s="477"/>
      <c r="K82" s="477"/>
      <c r="L82" s="477"/>
    </row>
    <row r="83" spans="1:12" s="57" customFormat="1">
      <c r="B83" s="477"/>
      <c r="C83" s="477"/>
      <c r="D83" s="477"/>
      <c r="E83" s="477"/>
      <c r="F83" s="477"/>
      <c r="G83" s="477"/>
      <c r="H83" s="477"/>
      <c r="I83" s="477"/>
      <c r="J83" s="477"/>
      <c r="K83" s="477"/>
      <c r="L83" s="477"/>
    </row>
    <row r="84" spans="1:12" s="57" customFormat="1">
      <c r="B84" s="477"/>
      <c r="C84" s="477"/>
      <c r="D84" s="477"/>
      <c r="E84" s="477"/>
      <c r="F84" s="477"/>
      <c r="G84" s="477"/>
      <c r="H84" s="477"/>
      <c r="I84" s="477"/>
      <c r="J84" s="477"/>
      <c r="K84" s="477"/>
      <c r="L84" s="477"/>
    </row>
    <row r="85" spans="1:12" s="57" customFormat="1">
      <c r="B85" s="477"/>
      <c r="C85" s="477"/>
      <c r="D85" s="477"/>
      <c r="E85" s="477"/>
      <c r="F85" s="477"/>
      <c r="G85" s="477"/>
      <c r="H85" s="477"/>
      <c r="I85" s="477"/>
      <c r="J85" s="477"/>
      <c r="K85" s="477"/>
      <c r="L85" s="477"/>
    </row>
    <row r="86" spans="1:12" s="57" customFormat="1">
      <c r="B86" s="477"/>
      <c r="C86" s="477"/>
      <c r="D86" s="477"/>
      <c r="E86" s="477"/>
      <c r="F86" s="477"/>
      <c r="G86" s="477"/>
      <c r="H86" s="477"/>
      <c r="I86" s="477"/>
      <c r="J86" s="477"/>
      <c r="K86" s="477"/>
      <c r="L86" s="477"/>
    </row>
    <row r="87" spans="1:12" s="57" customFormat="1">
      <c r="A87" s="477"/>
      <c r="B87" s="477"/>
      <c r="C87" s="477"/>
      <c r="D87" s="477"/>
      <c r="E87" s="477"/>
      <c r="F87" s="477"/>
      <c r="G87" s="477"/>
      <c r="H87" s="477"/>
      <c r="I87" s="477"/>
      <c r="J87" s="477"/>
      <c r="K87" s="477"/>
      <c r="L87" s="477"/>
    </row>
    <row r="88" spans="1:12" s="57" customFormat="1">
      <c r="A88" s="477"/>
      <c r="B88" s="477"/>
      <c r="C88" s="477"/>
      <c r="D88" s="477"/>
      <c r="E88" s="477"/>
      <c r="F88" s="477"/>
      <c r="G88" s="477"/>
      <c r="H88" s="477"/>
      <c r="I88" s="477"/>
      <c r="J88" s="477"/>
      <c r="K88" s="477"/>
      <c r="L88" s="477"/>
    </row>
    <row r="89" spans="1:12" s="57" customFormat="1">
      <c r="A89" s="477"/>
      <c r="B89" s="477"/>
      <c r="C89" s="477"/>
      <c r="D89" s="477"/>
      <c r="E89" s="477"/>
      <c r="F89" s="477"/>
      <c r="G89" s="477"/>
      <c r="H89" s="477"/>
      <c r="I89" s="477"/>
      <c r="J89" s="477"/>
      <c r="K89" s="477"/>
      <c r="L89" s="477"/>
    </row>
    <row r="90" spans="1:12" s="57" customFormat="1">
      <c r="A90" s="477"/>
      <c r="B90" s="477"/>
      <c r="C90" s="477"/>
      <c r="D90" s="477"/>
      <c r="E90" s="477"/>
      <c r="F90" s="477"/>
      <c r="G90" s="477"/>
      <c r="H90" s="477"/>
      <c r="I90" s="477"/>
      <c r="J90" s="477"/>
      <c r="K90" s="477"/>
      <c r="L90" s="477"/>
    </row>
    <row r="91" spans="1:12" s="57" customFormat="1">
      <c r="A91" s="477"/>
      <c r="B91" s="477"/>
      <c r="C91" s="477"/>
      <c r="D91" s="477"/>
      <c r="E91" s="477"/>
      <c r="F91" s="477"/>
      <c r="G91" s="477"/>
      <c r="H91" s="477"/>
      <c r="I91" s="477"/>
      <c r="J91" s="477"/>
      <c r="K91" s="477"/>
      <c r="L91" s="477"/>
    </row>
    <row r="92" spans="1:12" s="57" customFormat="1">
      <c r="A92" s="477"/>
      <c r="B92" s="477"/>
      <c r="C92" s="477"/>
      <c r="D92" s="477"/>
      <c r="E92" s="477"/>
      <c r="F92" s="477"/>
      <c r="G92" s="477"/>
      <c r="H92" s="477"/>
      <c r="I92" s="477"/>
      <c r="J92" s="477"/>
      <c r="K92" s="477"/>
      <c r="L92" s="477"/>
    </row>
    <row r="93" spans="1:12" s="57" customFormat="1">
      <c r="A93" s="477"/>
      <c r="B93" s="477"/>
      <c r="C93" s="477"/>
      <c r="D93" s="477"/>
      <c r="E93" s="477"/>
      <c r="F93" s="477"/>
      <c r="G93" s="477"/>
      <c r="H93" s="477"/>
      <c r="I93" s="477"/>
      <c r="J93" s="477"/>
      <c r="K93" s="477"/>
      <c r="L93" s="477"/>
    </row>
    <row r="94" spans="1:12" s="57" customFormat="1">
      <c r="A94" s="477"/>
      <c r="B94" s="477"/>
      <c r="C94" s="477"/>
      <c r="D94" s="477"/>
      <c r="E94" s="477"/>
      <c r="F94" s="477"/>
      <c r="G94" s="477"/>
      <c r="H94" s="477"/>
      <c r="I94" s="477"/>
      <c r="J94" s="477"/>
      <c r="K94" s="477"/>
      <c r="L94" s="477"/>
    </row>
    <row r="95" spans="1:12" s="57" customFormat="1">
      <c r="A95" s="477"/>
      <c r="B95" s="477"/>
      <c r="C95" s="477"/>
      <c r="D95" s="477"/>
      <c r="E95" s="477"/>
      <c r="F95" s="477"/>
      <c r="G95" s="477"/>
      <c r="H95" s="477"/>
      <c r="I95" s="477"/>
      <c r="J95" s="477"/>
      <c r="K95" s="477"/>
      <c r="L95" s="477"/>
    </row>
    <row r="96" spans="1:12" s="57" customFormat="1">
      <c r="A96" s="477"/>
      <c r="B96" s="477"/>
      <c r="C96" s="477"/>
      <c r="D96" s="477"/>
      <c r="E96" s="477"/>
      <c r="F96" s="477"/>
      <c r="G96" s="477"/>
      <c r="H96" s="477"/>
      <c r="I96" s="477"/>
      <c r="J96" s="477"/>
      <c r="K96" s="477"/>
      <c r="L96" s="477"/>
    </row>
    <row r="97" spans="1:12" s="57" customFormat="1">
      <c r="A97" s="477"/>
      <c r="B97" s="477"/>
      <c r="C97" s="477"/>
      <c r="D97" s="477"/>
      <c r="E97" s="477"/>
      <c r="F97" s="477"/>
      <c r="G97" s="477"/>
      <c r="H97" s="477"/>
      <c r="I97" s="477"/>
      <c r="J97" s="477"/>
      <c r="K97" s="477"/>
      <c r="L97" s="477"/>
    </row>
    <row r="98" spans="1:12" s="57" customFormat="1">
      <c r="A98" s="477"/>
      <c r="B98" s="477"/>
      <c r="C98" s="477"/>
      <c r="D98" s="477"/>
      <c r="E98" s="477"/>
      <c r="F98" s="477"/>
      <c r="G98" s="477"/>
      <c r="H98" s="477"/>
      <c r="I98" s="477"/>
      <c r="J98" s="477"/>
      <c r="K98" s="477"/>
      <c r="L98" s="477"/>
    </row>
    <row r="99" spans="1:12" s="57" customFormat="1">
      <c r="A99" s="477"/>
      <c r="B99" s="477"/>
      <c r="C99" s="477"/>
      <c r="D99" s="477"/>
      <c r="E99" s="477"/>
      <c r="F99" s="477"/>
      <c r="G99" s="477"/>
      <c r="H99" s="477"/>
      <c r="I99" s="477"/>
      <c r="J99" s="477"/>
      <c r="K99" s="477"/>
      <c r="L99" s="477"/>
    </row>
    <row r="100" spans="1:12" s="57" customFormat="1">
      <c r="A100" s="477"/>
      <c r="B100" s="477"/>
      <c r="C100" s="477"/>
      <c r="D100" s="477"/>
      <c r="E100" s="477"/>
      <c r="F100" s="477"/>
      <c r="G100" s="477"/>
      <c r="H100" s="477"/>
      <c r="I100" s="477"/>
      <c r="J100" s="477"/>
      <c r="K100" s="477"/>
      <c r="L100" s="477"/>
    </row>
    <row r="101" spans="1:12" s="57" customFormat="1">
      <c r="A101" s="477"/>
      <c r="B101" s="477"/>
      <c r="C101" s="477"/>
      <c r="D101" s="477"/>
      <c r="E101" s="477"/>
      <c r="F101" s="477"/>
      <c r="G101" s="477"/>
      <c r="H101" s="477"/>
      <c r="I101" s="477"/>
      <c r="J101" s="477"/>
      <c r="K101" s="477"/>
      <c r="L101" s="477"/>
    </row>
    <row r="102" spans="1:12" s="57" customFormat="1">
      <c r="A102" s="477"/>
      <c r="B102" s="477"/>
      <c r="C102" s="477"/>
      <c r="D102" s="477"/>
      <c r="E102" s="477"/>
      <c r="F102" s="477"/>
      <c r="G102" s="477"/>
      <c r="H102" s="477"/>
      <c r="I102" s="477"/>
      <c r="J102" s="477"/>
      <c r="K102" s="477"/>
      <c r="L102" s="477"/>
    </row>
    <row r="103" spans="1:12" s="57" customFormat="1">
      <c r="A103" s="477"/>
      <c r="B103" s="477"/>
      <c r="C103" s="477"/>
      <c r="D103" s="477"/>
      <c r="E103" s="477"/>
      <c r="F103" s="477"/>
      <c r="G103" s="477"/>
      <c r="H103" s="477"/>
      <c r="I103" s="477"/>
      <c r="J103" s="477"/>
      <c r="K103" s="477"/>
      <c r="L103" s="477"/>
    </row>
    <row r="104" spans="1:12" s="57" customFormat="1">
      <c r="A104" s="477"/>
      <c r="B104" s="477"/>
      <c r="C104" s="477"/>
      <c r="D104" s="477"/>
      <c r="E104" s="477"/>
      <c r="F104" s="477"/>
      <c r="G104" s="477"/>
      <c r="H104" s="477"/>
      <c r="I104" s="477"/>
      <c r="J104" s="477"/>
      <c r="K104" s="477"/>
      <c r="L104" s="477"/>
    </row>
    <row r="105" spans="1:12" s="57" customFormat="1">
      <c r="A105" s="477"/>
      <c r="B105" s="477"/>
      <c r="C105" s="477"/>
      <c r="D105" s="477"/>
      <c r="E105" s="477"/>
      <c r="F105" s="477"/>
      <c r="G105" s="477"/>
      <c r="H105" s="477"/>
      <c r="I105" s="477"/>
      <c r="J105" s="477"/>
      <c r="K105" s="477"/>
      <c r="L105" s="477"/>
    </row>
    <row r="106" spans="1:12" s="57" customFormat="1">
      <c r="A106" s="477"/>
      <c r="B106" s="477"/>
      <c r="C106" s="477"/>
      <c r="D106" s="477"/>
      <c r="E106" s="477"/>
      <c r="F106" s="477"/>
      <c r="G106" s="477"/>
      <c r="H106" s="477"/>
      <c r="I106" s="477"/>
      <c r="J106" s="477"/>
      <c r="K106" s="477"/>
      <c r="L106" s="477"/>
    </row>
    <row r="107" spans="1:12" s="57" customFormat="1">
      <c r="A107" s="477"/>
      <c r="B107" s="477"/>
      <c r="C107" s="477"/>
      <c r="D107" s="477"/>
      <c r="E107" s="477"/>
      <c r="F107" s="477"/>
      <c r="G107" s="477"/>
      <c r="H107" s="477"/>
      <c r="I107" s="477"/>
      <c r="J107" s="477"/>
      <c r="K107" s="477"/>
      <c r="L107" s="477"/>
    </row>
    <row r="108" spans="1:12" s="57" customFormat="1">
      <c r="A108" s="477"/>
      <c r="B108" s="477"/>
      <c r="C108" s="477"/>
      <c r="D108" s="477"/>
      <c r="E108" s="477"/>
      <c r="F108" s="477"/>
      <c r="G108" s="477"/>
      <c r="H108" s="477"/>
      <c r="I108" s="477"/>
      <c r="J108" s="477"/>
      <c r="K108" s="477"/>
      <c r="L108" s="477"/>
    </row>
    <row r="109" spans="1:12" s="57" customFormat="1">
      <c r="A109" s="477"/>
      <c r="B109" s="477"/>
      <c r="C109" s="477"/>
      <c r="D109" s="477"/>
      <c r="E109" s="477"/>
      <c r="F109" s="477"/>
      <c r="G109" s="477"/>
      <c r="H109" s="477"/>
      <c r="I109" s="477"/>
      <c r="J109" s="477"/>
      <c r="K109" s="477"/>
      <c r="L109" s="477"/>
    </row>
    <row r="110" spans="1:12" s="57" customFormat="1">
      <c r="A110" s="477"/>
      <c r="B110" s="477"/>
      <c r="C110" s="477"/>
      <c r="D110" s="477"/>
      <c r="E110" s="477"/>
      <c r="F110" s="477"/>
      <c r="G110" s="477"/>
      <c r="H110" s="477"/>
      <c r="I110" s="477"/>
      <c r="J110" s="477"/>
      <c r="K110" s="477"/>
      <c r="L110" s="477"/>
    </row>
    <row r="111" spans="1:12" s="57" customFormat="1">
      <c r="A111" s="477"/>
      <c r="B111" s="477"/>
      <c r="C111" s="477"/>
      <c r="D111" s="477"/>
      <c r="E111" s="477"/>
      <c r="F111" s="477"/>
      <c r="G111" s="477"/>
      <c r="H111" s="477"/>
      <c r="I111" s="477"/>
      <c r="J111" s="477"/>
      <c r="K111" s="477"/>
      <c r="L111" s="477"/>
    </row>
    <row r="112" spans="1:12" s="57" customFormat="1">
      <c r="A112" s="477"/>
      <c r="B112" s="477"/>
      <c r="C112" s="477"/>
      <c r="D112" s="477"/>
      <c r="E112" s="477"/>
      <c r="F112" s="477"/>
      <c r="G112" s="477"/>
      <c r="H112" s="477"/>
      <c r="I112" s="477"/>
      <c r="J112" s="477"/>
      <c r="K112" s="477"/>
      <c r="L112" s="477"/>
    </row>
    <row r="113" spans="1:12" s="57" customFormat="1">
      <c r="A113" s="477"/>
      <c r="B113" s="477"/>
      <c r="C113" s="477"/>
      <c r="D113" s="477"/>
      <c r="E113" s="477"/>
      <c r="F113" s="477"/>
      <c r="G113" s="477"/>
      <c r="H113" s="477"/>
      <c r="I113" s="477"/>
      <c r="J113" s="477"/>
      <c r="K113" s="477"/>
      <c r="L113" s="477"/>
    </row>
    <row r="114" spans="1:12" s="57" customFormat="1">
      <c r="A114" s="477"/>
      <c r="B114" s="477"/>
      <c r="C114" s="477"/>
      <c r="D114" s="477"/>
      <c r="E114" s="477"/>
      <c r="F114" s="477"/>
      <c r="G114" s="477"/>
      <c r="H114" s="477"/>
      <c r="I114" s="477"/>
      <c r="J114" s="477"/>
      <c r="K114" s="477"/>
      <c r="L114" s="477"/>
    </row>
    <row r="115" spans="1:12" s="57" customFormat="1">
      <c r="A115" s="477"/>
      <c r="B115" s="477"/>
      <c r="C115" s="477"/>
      <c r="D115" s="477"/>
      <c r="E115" s="477"/>
      <c r="F115" s="477"/>
      <c r="G115" s="477"/>
      <c r="H115" s="477"/>
      <c r="I115" s="477"/>
      <c r="J115" s="477"/>
      <c r="K115" s="477"/>
      <c r="L115" s="477"/>
    </row>
    <row r="116" spans="1:12" s="57" customFormat="1">
      <c r="A116" s="477"/>
      <c r="B116" s="477"/>
      <c r="C116" s="477"/>
      <c r="D116" s="477"/>
      <c r="E116" s="477"/>
      <c r="F116" s="477"/>
      <c r="G116" s="477"/>
      <c r="H116" s="477"/>
      <c r="I116" s="477"/>
      <c r="J116" s="477"/>
      <c r="K116" s="477"/>
      <c r="L116" s="477"/>
    </row>
    <row r="117" spans="1:12" s="57" customFormat="1">
      <c r="A117" s="477"/>
      <c r="B117" s="477"/>
      <c r="C117" s="477"/>
      <c r="D117" s="477"/>
      <c r="E117" s="477"/>
      <c r="F117" s="477"/>
      <c r="G117" s="477"/>
      <c r="H117" s="477"/>
      <c r="I117" s="477"/>
      <c r="J117" s="477"/>
      <c r="K117" s="477"/>
      <c r="L117" s="477"/>
    </row>
    <row r="118" spans="1:12" s="57" customFormat="1">
      <c r="A118" s="477"/>
      <c r="B118" s="477"/>
      <c r="C118" s="477"/>
      <c r="D118" s="477"/>
      <c r="E118" s="477"/>
      <c r="F118" s="477"/>
      <c r="G118" s="477"/>
      <c r="H118" s="477"/>
      <c r="I118" s="477"/>
      <c r="J118" s="477"/>
      <c r="K118" s="477"/>
      <c r="L118" s="477"/>
    </row>
    <row r="119" spans="1:12" s="57" customFormat="1">
      <c r="A119" s="477"/>
      <c r="B119" s="477"/>
      <c r="C119" s="477"/>
      <c r="D119" s="477"/>
      <c r="E119" s="477"/>
      <c r="F119" s="477"/>
      <c r="G119" s="477"/>
      <c r="H119" s="477"/>
      <c r="I119" s="477"/>
      <c r="J119" s="477"/>
      <c r="K119" s="477"/>
      <c r="L119" s="477"/>
    </row>
    <row r="120" spans="1:12" s="57" customFormat="1">
      <c r="A120" s="477"/>
      <c r="B120" s="477"/>
      <c r="C120" s="477"/>
      <c r="D120" s="477"/>
      <c r="E120" s="477"/>
      <c r="F120" s="477"/>
      <c r="G120" s="477"/>
      <c r="H120" s="477"/>
      <c r="I120" s="477"/>
      <c r="J120" s="477"/>
      <c r="K120" s="477"/>
      <c r="L120" s="477"/>
    </row>
    <row r="121" spans="1:12" s="57" customFormat="1">
      <c r="A121" s="477"/>
      <c r="B121" s="477"/>
      <c r="C121" s="477"/>
      <c r="D121" s="477"/>
      <c r="E121" s="477"/>
      <c r="F121" s="477"/>
      <c r="G121" s="477"/>
      <c r="H121" s="477"/>
      <c r="I121" s="477"/>
      <c r="J121" s="477"/>
      <c r="K121" s="477"/>
      <c r="L121" s="477"/>
    </row>
    <row r="122" spans="1:12" s="57" customFormat="1">
      <c r="A122" s="477"/>
      <c r="B122" s="477"/>
      <c r="C122" s="477"/>
      <c r="D122" s="477"/>
      <c r="E122" s="477"/>
      <c r="F122" s="477"/>
      <c r="G122" s="477"/>
      <c r="H122" s="477"/>
      <c r="I122" s="477"/>
      <c r="J122" s="477"/>
      <c r="K122" s="477"/>
      <c r="L122" s="477"/>
    </row>
    <row r="123" spans="1:12" s="57" customFormat="1">
      <c r="A123" s="477"/>
      <c r="B123" s="477"/>
      <c r="C123" s="477"/>
      <c r="D123" s="477"/>
      <c r="E123" s="477"/>
      <c r="F123" s="477"/>
      <c r="G123" s="477"/>
      <c r="H123" s="477"/>
      <c r="I123" s="477"/>
      <c r="J123" s="477"/>
      <c r="K123" s="477"/>
      <c r="L123" s="477"/>
    </row>
    <row r="124" spans="1:12" s="57" customFormat="1">
      <c r="A124" s="477"/>
      <c r="B124" s="477"/>
      <c r="C124" s="477"/>
      <c r="D124" s="477"/>
      <c r="E124" s="477"/>
      <c r="F124" s="477"/>
      <c r="G124" s="477"/>
      <c r="H124" s="477"/>
      <c r="I124" s="477"/>
      <c r="J124" s="477"/>
      <c r="K124" s="477"/>
      <c r="L124" s="477"/>
    </row>
    <row r="125" spans="1:12" s="57" customFormat="1">
      <c r="A125" s="477"/>
      <c r="B125" s="477"/>
      <c r="C125" s="477"/>
      <c r="D125" s="477"/>
      <c r="E125" s="477"/>
      <c r="F125" s="477"/>
      <c r="G125" s="477"/>
      <c r="H125" s="477"/>
      <c r="I125" s="477"/>
      <c r="J125" s="477"/>
      <c r="K125" s="477"/>
      <c r="L125" s="477"/>
    </row>
    <row r="126" spans="1:12" s="57" customFormat="1">
      <c r="A126" s="477"/>
      <c r="B126" s="477"/>
      <c r="C126" s="477"/>
      <c r="D126" s="477"/>
      <c r="E126" s="477"/>
      <c r="F126" s="477"/>
      <c r="G126" s="477"/>
      <c r="H126" s="477"/>
      <c r="I126" s="477"/>
      <c r="J126" s="477"/>
      <c r="K126" s="477"/>
      <c r="L126" s="477"/>
    </row>
    <row r="127" spans="1:12" s="57" customFormat="1">
      <c r="A127" s="477"/>
      <c r="B127" s="477"/>
      <c r="C127" s="477"/>
      <c r="D127" s="477"/>
      <c r="E127" s="477"/>
      <c r="F127" s="477"/>
      <c r="G127" s="477"/>
      <c r="H127" s="477"/>
      <c r="I127" s="477"/>
      <c r="J127" s="477"/>
      <c r="K127" s="477"/>
      <c r="L127" s="477"/>
    </row>
    <row r="128" spans="1:12" s="57" customFormat="1">
      <c r="A128" s="477"/>
      <c r="B128" s="477"/>
      <c r="C128" s="477"/>
      <c r="D128" s="477"/>
      <c r="E128" s="477"/>
      <c r="F128" s="477"/>
      <c r="G128" s="477"/>
      <c r="H128" s="477"/>
      <c r="I128" s="477"/>
      <c r="J128" s="477"/>
      <c r="K128" s="477"/>
      <c r="L128" s="477"/>
    </row>
    <row r="129" spans="1:12" s="57" customFormat="1">
      <c r="A129" s="477"/>
      <c r="B129" s="477"/>
      <c r="C129" s="477"/>
      <c r="D129" s="477"/>
      <c r="E129" s="477"/>
      <c r="F129" s="477"/>
      <c r="G129" s="477"/>
      <c r="H129" s="477"/>
      <c r="I129" s="477"/>
      <c r="J129" s="477"/>
      <c r="K129" s="477"/>
      <c r="L129" s="477"/>
    </row>
    <row r="130" spans="1:12" s="57" customFormat="1">
      <c r="A130" s="477"/>
      <c r="B130" s="477"/>
      <c r="C130" s="477"/>
      <c r="D130" s="477"/>
      <c r="E130" s="477"/>
      <c r="F130" s="477"/>
      <c r="G130" s="477"/>
      <c r="H130" s="477"/>
      <c r="I130" s="477"/>
      <c r="J130" s="477"/>
      <c r="K130" s="477"/>
      <c r="L130" s="477"/>
    </row>
    <row r="131" spans="1:12" s="57" customFormat="1">
      <c r="A131" s="477"/>
      <c r="B131" s="477"/>
      <c r="C131" s="477"/>
      <c r="D131" s="477"/>
      <c r="E131" s="477"/>
      <c r="F131" s="477"/>
      <c r="G131" s="477"/>
      <c r="H131" s="477"/>
      <c r="I131" s="477"/>
      <c r="J131" s="477"/>
      <c r="K131" s="477"/>
      <c r="L131" s="477"/>
    </row>
    <row r="132" spans="1:12" s="57" customFormat="1">
      <c r="A132" s="477"/>
      <c r="B132" s="477"/>
      <c r="C132" s="477"/>
      <c r="D132" s="477"/>
      <c r="E132" s="477"/>
      <c r="F132" s="477"/>
      <c r="G132" s="477"/>
      <c r="H132" s="477"/>
      <c r="I132" s="477"/>
      <c r="J132" s="477"/>
      <c r="K132" s="477"/>
      <c r="L132" s="477"/>
    </row>
    <row r="133" spans="1:12" s="57" customFormat="1">
      <c r="A133" s="477"/>
      <c r="B133" s="477"/>
      <c r="C133" s="477"/>
      <c r="D133" s="477"/>
      <c r="E133" s="477"/>
      <c r="F133" s="477"/>
      <c r="G133" s="477"/>
      <c r="H133" s="477"/>
      <c r="I133" s="477"/>
      <c r="J133" s="477"/>
      <c r="K133" s="477"/>
      <c r="L133" s="477"/>
    </row>
    <row r="134" spans="1:12" s="57" customFormat="1">
      <c r="A134" s="477"/>
      <c r="B134" s="477"/>
      <c r="C134" s="477"/>
      <c r="D134" s="477"/>
      <c r="E134" s="477"/>
      <c r="F134" s="477"/>
      <c r="G134" s="477"/>
      <c r="H134" s="477"/>
      <c r="I134" s="477"/>
      <c r="J134" s="477"/>
      <c r="K134" s="477"/>
      <c r="L134" s="477"/>
    </row>
    <row r="135" spans="1:12" s="57" customFormat="1">
      <c r="A135" s="477"/>
      <c r="B135" s="477"/>
      <c r="C135" s="477"/>
      <c r="D135" s="477"/>
      <c r="E135" s="477"/>
      <c r="F135" s="477"/>
      <c r="G135" s="477"/>
      <c r="H135" s="477"/>
      <c r="I135" s="477"/>
      <c r="J135" s="477"/>
      <c r="K135" s="477"/>
      <c r="L135" s="477"/>
    </row>
    <row r="136" spans="1:12" s="57" customFormat="1">
      <c r="A136" s="477"/>
      <c r="B136" s="477"/>
      <c r="C136" s="477"/>
      <c r="D136" s="477"/>
      <c r="E136" s="477"/>
      <c r="F136" s="477"/>
      <c r="G136" s="477"/>
      <c r="H136" s="477"/>
      <c r="I136" s="477"/>
      <c r="J136" s="477"/>
      <c r="K136" s="477"/>
      <c r="L136" s="477"/>
    </row>
    <row r="137" spans="1:12" s="57" customFormat="1">
      <c r="A137" s="477"/>
      <c r="B137" s="477"/>
      <c r="C137" s="477"/>
      <c r="D137" s="477"/>
      <c r="E137" s="477"/>
      <c r="F137" s="477"/>
      <c r="G137" s="477"/>
      <c r="H137" s="477"/>
      <c r="I137" s="477"/>
      <c r="J137" s="477"/>
      <c r="K137" s="477"/>
      <c r="L137" s="477"/>
    </row>
    <row r="138" spans="1:12">
      <c r="A138" s="477"/>
      <c r="B138" s="477"/>
      <c r="C138" s="477"/>
      <c r="D138" s="477"/>
      <c r="E138" s="477"/>
      <c r="F138" s="477"/>
      <c r="G138" s="477"/>
      <c r="H138" s="477"/>
      <c r="I138" s="477"/>
      <c r="J138" s="477"/>
      <c r="K138" s="477"/>
      <c r="L138" s="477"/>
    </row>
    <row r="139" spans="1:12">
      <c r="A139" s="477"/>
      <c r="B139" s="477"/>
      <c r="C139" s="477"/>
      <c r="D139" s="477"/>
      <c r="E139" s="477"/>
      <c r="F139" s="477"/>
      <c r="G139" s="477"/>
      <c r="H139" s="477"/>
      <c r="I139" s="477"/>
      <c r="J139" s="477"/>
      <c r="K139" s="477"/>
      <c r="L139" s="477"/>
    </row>
    <row r="140" spans="1:12">
      <c r="A140" s="477"/>
      <c r="B140" s="477"/>
      <c r="C140" s="477"/>
      <c r="D140" s="477"/>
      <c r="E140" s="477"/>
      <c r="F140" s="477"/>
      <c r="G140" s="477"/>
      <c r="H140" s="477"/>
      <c r="I140" s="477"/>
      <c r="J140" s="477"/>
      <c r="K140" s="477"/>
      <c r="L140" s="477"/>
    </row>
    <row r="141" spans="1:12">
      <c r="A141" s="477"/>
      <c r="B141" s="477"/>
      <c r="C141" s="477"/>
      <c r="D141" s="477"/>
      <c r="E141" s="477"/>
      <c r="F141" s="477"/>
      <c r="G141" s="477"/>
      <c r="H141" s="477"/>
      <c r="I141" s="477"/>
      <c r="J141" s="477"/>
      <c r="K141" s="477"/>
      <c r="L141" s="477"/>
    </row>
    <row r="142" spans="1:12">
      <c r="A142" s="477"/>
      <c r="B142" s="477"/>
      <c r="C142" s="477"/>
      <c r="D142" s="477"/>
      <c r="E142" s="477"/>
      <c r="F142" s="477"/>
      <c r="G142" s="477"/>
      <c r="H142" s="477"/>
      <c r="I142" s="477"/>
      <c r="J142" s="477"/>
      <c r="K142" s="477"/>
      <c r="L142" s="477"/>
    </row>
    <row r="143" spans="1:12">
      <c r="A143" s="477"/>
      <c r="B143" s="477"/>
      <c r="C143" s="477"/>
      <c r="D143" s="477"/>
      <c r="E143" s="477"/>
      <c r="F143" s="477"/>
      <c r="G143" s="477"/>
      <c r="H143" s="477"/>
      <c r="I143" s="477"/>
      <c r="J143" s="477"/>
      <c r="K143" s="477"/>
      <c r="L143" s="477"/>
    </row>
    <row r="144" spans="1:12">
      <c r="A144" s="477"/>
      <c r="B144" s="477"/>
      <c r="C144" s="477"/>
      <c r="D144" s="477"/>
      <c r="E144" s="477"/>
      <c r="F144" s="477"/>
      <c r="G144" s="477"/>
      <c r="H144" s="477"/>
      <c r="I144" s="477"/>
      <c r="J144" s="477"/>
      <c r="K144" s="477"/>
      <c r="L144" s="477"/>
    </row>
    <row r="145" spans="1:12">
      <c r="A145" s="477"/>
      <c r="B145" s="477"/>
      <c r="C145" s="477"/>
      <c r="D145" s="477"/>
      <c r="E145" s="477"/>
      <c r="F145" s="477"/>
      <c r="G145" s="477"/>
      <c r="H145" s="477"/>
      <c r="I145" s="477"/>
      <c r="J145" s="477"/>
      <c r="K145" s="477"/>
      <c r="L145" s="477"/>
    </row>
    <row r="146" spans="1:12">
      <c r="A146" s="477"/>
      <c r="B146" s="477"/>
      <c r="C146" s="477"/>
      <c r="D146" s="477"/>
      <c r="E146" s="477"/>
      <c r="F146" s="477"/>
      <c r="G146" s="477"/>
      <c r="H146" s="477"/>
      <c r="I146" s="477"/>
      <c r="J146" s="477"/>
      <c r="K146" s="477"/>
      <c r="L146" s="477"/>
    </row>
    <row r="147" spans="1:12">
      <c r="A147" s="477"/>
      <c r="B147" s="477"/>
      <c r="C147" s="477"/>
      <c r="D147" s="477"/>
      <c r="E147" s="477"/>
      <c r="F147" s="477"/>
      <c r="G147" s="477"/>
      <c r="H147" s="477"/>
      <c r="I147" s="477"/>
      <c r="J147" s="477"/>
      <c r="K147" s="477"/>
      <c r="L147" s="477"/>
    </row>
    <row r="148" spans="1:12">
      <c r="A148" s="477"/>
      <c r="B148" s="477"/>
      <c r="C148" s="477"/>
      <c r="D148" s="477"/>
      <c r="E148" s="477"/>
      <c r="F148" s="477"/>
      <c r="G148" s="477"/>
      <c r="H148" s="477"/>
      <c r="I148" s="477"/>
      <c r="J148" s="477"/>
      <c r="K148" s="477"/>
      <c r="L148" s="477"/>
    </row>
    <row r="149" spans="1:12">
      <c r="A149" s="477"/>
      <c r="B149" s="477"/>
      <c r="C149" s="477"/>
      <c r="D149" s="477"/>
      <c r="E149" s="477"/>
      <c r="F149" s="477"/>
      <c r="G149" s="477"/>
      <c r="H149" s="477"/>
      <c r="I149" s="477"/>
      <c r="J149" s="477"/>
      <c r="K149" s="477"/>
      <c r="L149" s="477"/>
    </row>
    <row r="150" spans="1:12">
      <c r="A150" s="477"/>
      <c r="B150" s="477"/>
      <c r="C150" s="477"/>
      <c r="D150" s="477"/>
      <c r="E150" s="477"/>
      <c r="F150" s="477"/>
      <c r="G150" s="477"/>
      <c r="H150" s="477"/>
      <c r="I150" s="477"/>
      <c r="J150" s="477"/>
      <c r="K150" s="477"/>
      <c r="L150" s="477"/>
    </row>
    <row r="151" spans="1:12">
      <c r="A151" s="477"/>
      <c r="B151" s="477"/>
      <c r="C151" s="477"/>
      <c r="D151" s="477"/>
      <c r="E151" s="477"/>
      <c r="F151" s="477"/>
      <c r="G151" s="477"/>
      <c r="H151" s="477"/>
      <c r="I151" s="477"/>
      <c r="J151" s="477"/>
      <c r="K151" s="477"/>
      <c r="L151" s="477"/>
    </row>
    <row r="152" spans="1:12">
      <c r="A152" s="477"/>
      <c r="B152" s="477"/>
      <c r="C152" s="477"/>
      <c r="D152" s="477"/>
      <c r="E152" s="477"/>
      <c r="F152" s="477"/>
      <c r="G152" s="477"/>
      <c r="H152" s="477"/>
      <c r="I152" s="477"/>
      <c r="J152" s="477"/>
      <c r="K152" s="477"/>
      <c r="L152" s="477"/>
    </row>
    <row r="153" spans="1:12">
      <c r="A153" s="477"/>
      <c r="B153" s="477"/>
      <c r="C153" s="477"/>
      <c r="D153" s="477"/>
      <c r="E153" s="477"/>
      <c r="F153" s="477"/>
      <c r="G153" s="477"/>
      <c r="H153" s="477"/>
      <c r="I153" s="477"/>
      <c r="J153" s="477"/>
      <c r="K153" s="477"/>
      <c r="L153" s="477"/>
    </row>
    <row r="154" spans="1:12">
      <c r="A154" s="477"/>
      <c r="B154" s="477"/>
      <c r="C154" s="477"/>
      <c r="D154" s="477"/>
      <c r="E154" s="477"/>
      <c r="F154" s="477"/>
      <c r="G154" s="477"/>
      <c r="H154" s="477"/>
      <c r="I154" s="477"/>
      <c r="J154" s="477"/>
      <c r="K154" s="477"/>
      <c r="L154" s="477"/>
    </row>
    <row r="155" spans="1:12">
      <c r="A155" s="477"/>
      <c r="B155" s="477"/>
      <c r="C155" s="477"/>
      <c r="D155" s="477"/>
      <c r="E155" s="477"/>
      <c r="F155" s="477"/>
      <c r="G155" s="477"/>
      <c r="H155" s="477"/>
      <c r="I155" s="477"/>
      <c r="J155" s="477"/>
      <c r="K155" s="477"/>
      <c r="L155" s="477"/>
    </row>
    <row r="156" spans="1:12">
      <c r="A156" s="477"/>
      <c r="B156" s="477"/>
      <c r="C156" s="477"/>
      <c r="D156" s="477"/>
      <c r="E156" s="477"/>
      <c r="F156" s="477"/>
      <c r="G156" s="477"/>
      <c r="H156" s="477"/>
      <c r="I156" s="477"/>
      <c r="J156" s="477"/>
      <c r="K156" s="477"/>
      <c r="L156" s="477"/>
    </row>
    <row r="157" spans="1:12">
      <c r="A157" s="477"/>
      <c r="B157" s="477"/>
      <c r="C157" s="477"/>
      <c r="D157" s="477"/>
      <c r="E157" s="477"/>
      <c r="F157" s="477"/>
      <c r="G157" s="477"/>
      <c r="H157" s="477"/>
      <c r="I157" s="477"/>
      <c r="J157" s="477"/>
      <c r="K157" s="477"/>
      <c r="L157" s="477"/>
    </row>
    <row r="158" spans="1:12">
      <c r="A158" s="477"/>
      <c r="B158" s="477"/>
      <c r="C158" s="477"/>
      <c r="D158" s="477"/>
      <c r="E158" s="477"/>
      <c r="F158" s="477"/>
      <c r="G158" s="477"/>
      <c r="H158" s="477"/>
      <c r="I158" s="477"/>
      <c r="J158" s="477"/>
      <c r="K158" s="477"/>
      <c r="L158" s="477"/>
    </row>
    <row r="159" spans="1:12">
      <c r="A159" s="477"/>
      <c r="B159" s="477"/>
      <c r="C159" s="477"/>
      <c r="D159" s="477"/>
      <c r="E159" s="477"/>
      <c r="F159" s="477"/>
      <c r="G159" s="477"/>
      <c r="H159" s="477"/>
      <c r="I159" s="477"/>
      <c r="J159" s="477"/>
      <c r="K159" s="477"/>
      <c r="L159" s="477"/>
    </row>
    <row r="160" spans="1:12">
      <c r="A160" s="477"/>
      <c r="B160" s="477"/>
      <c r="C160" s="477"/>
      <c r="D160" s="477"/>
      <c r="E160" s="477"/>
      <c r="F160" s="477"/>
      <c r="G160" s="477"/>
      <c r="H160" s="477"/>
      <c r="I160" s="477"/>
      <c r="J160" s="477"/>
      <c r="K160" s="477"/>
      <c r="L160" s="477"/>
    </row>
    <row r="161" spans="1:12">
      <c r="A161" s="477"/>
      <c r="B161" s="477"/>
      <c r="C161" s="477"/>
      <c r="D161" s="477"/>
      <c r="E161" s="477"/>
      <c r="F161" s="477"/>
      <c r="G161" s="477"/>
      <c r="H161" s="477"/>
      <c r="I161" s="477"/>
      <c r="J161" s="477"/>
      <c r="K161" s="477"/>
      <c r="L161" s="477"/>
    </row>
    <row r="162" spans="1:12">
      <c r="A162" s="477"/>
      <c r="B162" s="477"/>
      <c r="C162" s="477"/>
      <c r="D162" s="477"/>
      <c r="E162" s="477"/>
      <c r="F162" s="477"/>
      <c r="G162" s="477"/>
      <c r="H162" s="477"/>
      <c r="I162" s="477"/>
      <c r="J162" s="477"/>
      <c r="K162" s="477"/>
      <c r="L162" s="477"/>
    </row>
    <row r="163" spans="1:12">
      <c r="A163" s="477"/>
      <c r="B163" s="477"/>
      <c r="C163" s="477"/>
      <c r="D163" s="477"/>
      <c r="E163" s="477"/>
      <c r="F163" s="477"/>
      <c r="G163" s="477"/>
      <c r="H163" s="477"/>
      <c r="I163" s="477"/>
      <c r="J163" s="477"/>
      <c r="K163" s="477"/>
      <c r="L163" s="477"/>
    </row>
    <row r="164" spans="1:12">
      <c r="A164" s="477"/>
      <c r="B164" s="477"/>
      <c r="C164" s="477"/>
      <c r="D164" s="477"/>
      <c r="E164" s="477"/>
      <c r="F164" s="477"/>
      <c r="G164" s="477"/>
      <c r="H164" s="477"/>
      <c r="I164" s="477"/>
      <c r="J164" s="477"/>
      <c r="K164" s="477"/>
      <c r="L164" s="477"/>
    </row>
    <row r="165" spans="1:12">
      <c r="A165" s="477"/>
      <c r="B165" s="477"/>
      <c r="C165" s="477"/>
      <c r="D165" s="477"/>
      <c r="E165" s="477"/>
      <c r="F165" s="477"/>
      <c r="G165" s="477"/>
      <c r="H165" s="477"/>
      <c r="I165" s="477"/>
      <c r="J165" s="477"/>
      <c r="K165" s="477"/>
      <c r="L165" s="477"/>
    </row>
    <row r="166" spans="1:12">
      <c r="A166" s="477"/>
      <c r="B166" s="477"/>
      <c r="C166" s="477"/>
      <c r="D166" s="477"/>
      <c r="E166" s="477"/>
      <c r="F166" s="477"/>
      <c r="G166" s="477"/>
      <c r="H166" s="477"/>
      <c r="I166" s="477"/>
      <c r="J166" s="477"/>
      <c r="K166" s="477"/>
      <c r="L166" s="477"/>
    </row>
    <row r="167" spans="1:12">
      <c r="A167" s="477"/>
      <c r="B167" s="477"/>
      <c r="C167" s="477"/>
      <c r="D167" s="477"/>
      <c r="E167" s="477"/>
      <c r="F167" s="477"/>
      <c r="G167" s="477"/>
      <c r="H167" s="477"/>
      <c r="I167" s="477"/>
      <c r="J167" s="477"/>
      <c r="K167" s="477"/>
      <c r="L167" s="477"/>
    </row>
    <row r="168" spans="1:12">
      <c r="A168" s="477"/>
      <c r="B168" s="477"/>
      <c r="C168" s="477"/>
      <c r="D168" s="477"/>
      <c r="E168" s="477"/>
      <c r="F168" s="477"/>
      <c r="G168" s="477"/>
      <c r="H168" s="477"/>
      <c r="I168" s="477"/>
      <c r="J168" s="477"/>
      <c r="K168" s="477"/>
      <c r="L168" s="477"/>
    </row>
    <row r="169" spans="1:12">
      <c r="A169" s="477"/>
      <c r="B169" s="477"/>
      <c r="C169" s="477"/>
      <c r="D169" s="477"/>
      <c r="E169" s="477"/>
      <c r="F169" s="477"/>
      <c r="G169" s="477"/>
      <c r="H169" s="477"/>
      <c r="I169" s="477"/>
      <c r="J169" s="477"/>
      <c r="K169" s="477"/>
      <c r="L169" s="477"/>
    </row>
    <row r="170" spans="1:12">
      <c r="A170" s="477"/>
      <c r="B170" s="477"/>
      <c r="C170" s="477"/>
      <c r="D170" s="477"/>
      <c r="E170" s="477"/>
      <c r="F170" s="477"/>
      <c r="G170" s="477"/>
      <c r="H170" s="477"/>
      <c r="I170" s="477"/>
      <c r="J170" s="477"/>
      <c r="K170" s="477"/>
      <c r="L170" s="477"/>
    </row>
    <row r="171" spans="1:12">
      <c r="A171" s="477"/>
      <c r="B171" s="477"/>
      <c r="C171" s="477"/>
      <c r="D171" s="477"/>
      <c r="E171" s="477"/>
      <c r="F171" s="477"/>
      <c r="G171" s="477"/>
      <c r="H171" s="477"/>
      <c r="I171" s="477"/>
      <c r="J171" s="477"/>
      <c r="K171" s="477"/>
      <c r="L171" s="477"/>
    </row>
    <row r="172" spans="1:12">
      <c r="A172" s="477"/>
      <c r="B172" s="477"/>
      <c r="C172" s="477"/>
      <c r="D172" s="477"/>
      <c r="E172" s="477"/>
      <c r="F172" s="477"/>
      <c r="G172" s="477"/>
      <c r="H172" s="477"/>
      <c r="I172" s="477"/>
      <c r="J172" s="477"/>
      <c r="K172" s="477"/>
      <c r="L172" s="477"/>
    </row>
    <row r="173" spans="1:12">
      <c r="A173" s="477"/>
      <c r="B173" s="477"/>
      <c r="C173" s="477"/>
      <c r="D173" s="477"/>
      <c r="E173" s="477"/>
      <c r="F173" s="477"/>
      <c r="G173" s="477"/>
      <c r="H173" s="477"/>
      <c r="I173" s="477"/>
      <c r="J173" s="477"/>
      <c r="K173" s="477"/>
      <c r="L173" s="477"/>
    </row>
    <row r="174" spans="1:12">
      <c r="A174" s="477"/>
      <c r="B174" s="477"/>
      <c r="C174" s="477"/>
      <c r="D174" s="477"/>
      <c r="E174" s="477"/>
      <c r="F174" s="477"/>
      <c r="G174" s="477"/>
      <c r="H174" s="477"/>
      <c r="I174" s="477"/>
      <c r="J174" s="477"/>
      <c r="K174" s="477"/>
      <c r="L174" s="477"/>
    </row>
    <row r="175" spans="1:12">
      <c r="A175" s="477"/>
      <c r="B175" s="477"/>
      <c r="C175" s="477"/>
      <c r="D175" s="477"/>
      <c r="E175" s="477"/>
      <c r="F175" s="477"/>
      <c r="G175" s="477"/>
      <c r="H175" s="477"/>
      <c r="I175" s="477"/>
      <c r="J175" s="477"/>
      <c r="K175" s="477"/>
      <c r="L175" s="477"/>
    </row>
    <row r="176" spans="1:12">
      <c r="A176" s="477"/>
      <c r="B176" s="477"/>
      <c r="C176" s="477"/>
      <c r="D176" s="477"/>
      <c r="E176" s="477"/>
      <c r="F176" s="477"/>
      <c r="G176" s="477"/>
      <c r="H176" s="477"/>
      <c r="I176" s="477"/>
      <c r="J176" s="477"/>
      <c r="K176" s="477"/>
      <c r="L176" s="477"/>
    </row>
    <row r="177" spans="1:12">
      <c r="A177" s="477"/>
      <c r="B177" s="477"/>
      <c r="C177" s="477"/>
      <c r="D177" s="477"/>
      <c r="E177" s="477"/>
      <c r="F177" s="477"/>
      <c r="G177" s="477"/>
      <c r="H177" s="477"/>
      <c r="I177" s="477"/>
      <c r="J177" s="477"/>
      <c r="K177" s="477"/>
      <c r="L177" s="477"/>
    </row>
    <row r="178" spans="1:12">
      <c r="A178" s="477"/>
      <c r="B178" s="477"/>
      <c r="C178" s="477"/>
      <c r="D178" s="477"/>
      <c r="E178" s="477"/>
      <c r="F178" s="477"/>
      <c r="G178" s="477"/>
      <c r="H178" s="477"/>
      <c r="I178" s="477"/>
      <c r="J178" s="477"/>
      <c r="K178" s="477"/>
      <c r="L178" s="477"/>
    </row>
    <row r="179" spans="1:12">
      <c r="A179" s="477"/>
      <c r="B179" s="477"/>
      <c r="C179" s="477"/>
      <c r="D179" s="477"/>
      <c r="E179" s="477"/>
      <c r="F179" s="477"/>
      <c r="G179" s="477"/>
      <c r="H179" s="477"/>
      <c r="I179" s="477"/>
      <c r="J179" s="477"/>
      <c r="K179" s="477"/>
      <c r="L179" s="477"/>
    </row>
    <row r="180" spans="1:12">
      <c r="A180" s="477"/>
      <c r="B180" s="477"/>
      <c r="C180" s="477"/>
      <c r="D180" s="477"/>
      <c r="E180" s="477"/>
      <c r="F180" s="477"/>
      <c r="G180" s="477"/>
      <c r="H180" s="477"/>
      <c r="I180" s="477"/>
      <c r="J180" s="477"/>
      <c r="K180" s="477"/>
      <c r="L180" s="477"/>
    </row>
    <row r="181" spans="1:12">
      <c r="A181" s="477"/>
      <c r="B181" s="477"/>
      <c r="C181" s="477"/>
      <c r="D181" s="477"/>
      <c r="E181" s="477"/>
      <c r="F181" s="477"/>
      <c r="G181" s="477"/>
      <c r="H181" s="477"/>
      <c r="I181" s="477"/>
      <c r="J181" s="477"/>
      <c r="K181" s="477"/>
      <c r="L181" s="477"/>
    </row>
    <row r="182" spans="1:12">
      <c r="A182" s="477"/>
      <c r="B182" s="477"/>
      <c r="C182" s="477"/>
      <c r="D182" s="477"/>
      <c r="E182" s="477"/>
      <c r="F182" s="477"/>
      <c r="G182" s="477"/>
      <c r="H182" s="477"/>
      <c r="I182" s="477"/>
      <c r="J182" s="477"/>
      <c r="K182" s="477"/>
      <c r="L182" s="477"/>
    </row>
    <row r="183" spans="1:12">
      <c r="A183" s="477"/>
      <c r="B183" s="477"/>
      <c r="C183" s="477"/>
      <c r="D183" s="477"/>
      <c r="E183" s="477"/>
      <c r="F183" s="477"/>
      <c r="G183" s="477"/>
      <c r="H183" s="477"/>
      <c r="I183" s="477"/>
      <c r="J183" s="477"/>
      <c r="K183" s="477"/>
      <c r="L183" s="477"/>
    </row>
    <row r="184" spans="1:12">
      <c r="A184" s="477"/>
      <c r="B184" s="477"/>
      <c r="C184" s="477"/>
      <c r="D184" s="477"/>
      <c r="E184" s="477"/>
      <c r="F184" s="477"/>
      <c r="G184" s="477"/>
      <c r="H184" s="477"/>
      <c r="I184" s="477"/>
      <c r="J184" s="477"/>
      <c r="K184" s="477"/>
      <c r="L184" s="477"/>
    </row>
    <row r="185" spans="1:12">
      <c r="A185" s="477"/>
      <c r="B185" s="477"/>
      <c r="C185" s="477"/>
      <c r="D185" s="477"/>
      <c r="E185" s="477"/>
      <c r="F185" s="477"/>
      <c r="G185" s="477"/>
      <c r="H185" s="477"/>
      <c r="I185" s="477"/>
      <c r="J185" s="477"/>
      <c r="K185" s="477"/>
      <c r="L185" s="477"/>
    </row>
    <row r="186" spans="1:12">
      <c r="A186" s="477"/>
      <c r="B186" s="477"/>
      <c r="C186" s="477"/>
      <c r="D186" s="477"/>
      <c r="E186" s="477"/>
      <c r="F186" s="477"/>
      <c r="G186" s="477"/>
      <c r="H186" s="477"/>
      <c r="I186" s="477"/>
      <c r="J186" s="477"/>
      <c r="K186" s="477"/>
      <c r="L186" s="477"/>
    </row>
    <row r="187" spans="1:12">
      <c r="A187" s="477"/>
      <c r="B187" s="477"/>
      <c r="C187" s="477"/>
      <c r="D187" s="477"/>
      <c r="E187" s="477"/>
      <c r="F187" s="477"/>
      <c r="G187" s="477"/>
      <c r="H187" s="477"/>
      <c r="I187" s="477"/>
      <c r="J187" s="477"/>
      <c r="K187" s="477"/>
      <c r="L187" s="477"/>
    </row>
    <row r="188" spans="1:12">
      <c r="A188" s="477"/>
      <c r="B188" s="477"/>
      <c r="C188" s="477"/>
      <c r="D188" s="477"/>
      <c r="E188" s="477"/>
      <c r="F188" s="477"/>
      <c r="G188" s="477"/>
      <c r="H188" s="477"/>
      <c r="I188" s="477"/>
      <c r="J188" s="477"/>
      <c r="K188" s="477"/>
      <c r="L188" s="477"/>
    </row>
    <row r="189" spans="1:12">
      <c r="A189" s="477"/>
      <c r="B189" s="477"/>
      <c r="C189" s="477"/>
      <c r="D189" s="477"/>
      <c r="E189" s="477"/>
      <c r="F189" s="477"/>
      <c r="G189" s="477"/>
      <c r="H189" s="477"/>
      <c r="I189" s="477"/>
      <c r="J189" s="477"/>
      <c r="K189" s="477"/>
      <c r="L189" s="477"/>
    </row>
    <row r="190" spans="1:12">
      <c r="A190" s="477"/>
      <c r="B190" s="477"/>
      <c r="C190" s="477"/>
      <c r="D190" s="477"/>
      <c r="E190" s="477"/>
      <c r="F190" s="477"/>
      <c r="G190" s="477"/>
      <c r="H190" s="477"/>
      <c r="I190" s="477"/>
      <c r="J190" s="477"/>
      <c r="K190" s="477"/>
      <c r="L190" s="477"/>
    </row>
    <row r="191" spans="1:12">
      <c r="A191" s="477"/>
      <c r="B191" s="477"/>
      <c r="C191" s="477"/>
      <c r="D191" s="477"/>
      <c r="E191" s="477"/>
      <c r="F191" s="477"/>
      <c r="G191" s="477"/>
      <c r="H191" s="477"/>
      <c r="I191" s="477"/>
      <c r="J191" s="477"/>
      <c r="K191" s="477"/>
      <c r="L191" s="477"/>
    </row>
    <row r="192" spans="1:12">
      <c r="A192" s="477"/>
      <c r="B192" s="477"/>
      <c r="C192" s="477"/>
      <c r="D192" s="477"/>
      <c r="E192" s="477"/>
      <c r="F192" s="477"/>
      <c r="G192" s="477"/>
      <c r="H192" s="477"/>
      <c r="I192" s="477"/>
      <c r="J192" s="477"/>
      <c r="K192" s="477"/>
      <c r="L192" s="477"/>
    </row>
    <row r="193" spans="1:12">
      <c r="A193" s="477"/>
      <c r="B193" s="477"/>
      <c r="C193" s="477"/>
      <c r="D193" s="477"/>
      <c r="E193" s="477"/>
      <c r="F193" s="477"/>
      <c r="G193" s="477"/>
      <c r="H193" s="477"/>
      <c r="I193" s="477"/>
      <c r="J193" s="477"/>
      <c r="K193" s="477"/>
      <c r="L193" s="477"/>
    </row>
    <row r="194" spans="1:12">
      <c r="A194" s="477"/>
      <c r="B194" s="477"/>
      <c r="C194" s="477"/>
      <c r="D194" s="477"/>
      <c r="E194" s="477"/>
      <c r="F194" s="477"/>
      <c r="G194" s="477"/>
      <c r="H194" s="477"/>
      <c r="I194" s="477"/>
      <c r="J194" s="477"/>
      <c r="K194" s="477"/>
      <c r="L194" s="477"/>
    </row>
    <row r="195" spans="1:12">
      <c r="A195" s="477"/>
      <c r="B195" s="477"/>
      <c r="C195" s="477"/>
      <c r="D195" s="477"/>
      <c r="E195" s="477"/>
      <c r="F195" s="477"/>
      <c r="G195" s="477"/>
      <c r="H195" s="477"/>
      <c r="I195" s="477"/>
      <c r="J195" s="477"/>
      <c r="K195" s="477"/>
      <c r="L195" s="477"/>
    </row>
    <row r="196" spans="1:12">
      <c r="A196" s="477"/>
      <c r="B196" s="477"/>
      <c r="C196" s="477"/>
      <c r="D196" s="477"/>
      <c r="E196" s="477"/>
      <c r="F196" s="477"/>
      <c r="G196" s="477"/>
      <c r="H196" s="477"/>
      <c r="I196" s="477"/>
      <c r="J196" s="477"/>
      <c r="K196" s="477"/>
      <c r="L196" s="477"/>
    </row>
    <row r="197" spans="1:12">
      <c r="A197" s="477"/>
      <c r="B197" s="477"/>
      <c r="C197" s="477"/>
      <c r="D197" s="477"/>
      <c r="E197" s="477"/>
      <c r="F197" s="477"/>
      <c r="G197" s="477"/>
      <c r="H197" s="477"/>
      <c r="I197" s="477"/>
      <c r="J197" s="477"/>
      <c r="K197" s="477"/>
      <c r="L197" s="477"/>
    </row>
    <row r="198" spans="1:12">
      <c r="A198" s="477"/>
      <c r="B198" s="477"/>
      <c r="C198" s="477"/>
      <c r="D198" s="477"/>
      <c r="E198" s="477"/>
      <c r="F198" s="477"/>
      <c r="G198" s="477"/>
      <c r="H198" s="477"/>
      <c r="I198" s="477"/>
      <c r="J198" s="477"/>
      <c r="K198" s="477"/>
      <c r="L198" s="477"/>
    </row>
    <row r="199" spans="1:12">
      <c r="A199" s="477"/>
      <c r="B199" s="477"/>
      <c r="C199" s="477"/>
      <c r="D199" s="477"/>
      <c r="E199" s="477"/>
      <c r="F199" s="477"/>
      <c r="G199" s="477"/>
      <c r="H199" s="477"/>
      <c r="I199" s="477"/>
      <c r="J199" s="477"/>
      <c r="K199" s="477"/>
      <c r="L199" s="477"/>
    </row>
    <row r="200" spans="1:12">
      <c r="A200" s="477"/>
      <c r="B200" s="477"/>
      <c r="C200" s="477"/>
      <c r="D200" s="477"/>
      <c r="E200" s="477"/>
      <c r="F200" s="477"/>
      <c r="G200" s="477"/>
      <c r="H200" s="477"/>
      <c r="I200" s="477"/>
      <c r="J200" s="477"/>
      <c r="K200" s="477"/>
      <c r="L200" s="477"/>
    </row>
    <row r="201" spans="1:12">
      <c r="A201" s="477"/>
      <c r="B201" s="477"/>
      <c r="C201" s="477"/>
      <c r="D201" s="477"/>
      <c r="E201" s="477"/>
      <c r="F201" s="477"/>
      <c r="G201" s="477"/>
      <c r="H201" s="477"/>
      <c r="I201" s="477"/>
      <c r="J201" s="477"/>
      <c r="K201" s="477"/>
      <c r="L201" s="477"/>
    </row>
  </sheetData>
  <sortState xmlns:xlrd2="http://schemas.microsoft.com/office/spreadsheetml/2017/richdata2" ref="D13:K44">
    <sortCondition ref="D13:D44"/>
  </sortState>
  <mergeCells count="8">
    <mergeCell ref="L2:M2"/>
    <mergeCell ref="J2:K2"/>
    <mergeCell ref="B22:F22"/>
    <mergeCell ref="B2:C2"/>
    <mergeCell ref="D2:E2"/>
    <mergeCell ref="F2:G2"/>
    <mergeCell ref="H2:I2"/>
    <mergeCell ref="B20:C20"/>
  </mergeCells>
  <phoneticPr fontId="7" type="noConversion"/>
  <pageMargins left="0.25" right="0.25" top="0.75" bottom="0.5" header="0.5" footer="0.5"/>
  <pageSetup orientation="landscape" horizontalDpi="4294967294" r:id="rId1"/>
  <headerFooter alignWithMargins="0">
    <oddHeader>&amp;A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F79"/>
  <sheetViews>
    <sheetView workbookViewId="0">
      <selection activeCell="D14" sqref="D14"/>
    </sheetView>
  </sheetViews>
  <sheetFormatPr defaultRowHeight="12.5"/>
  <cols>
    <col min="1" max="1" width="56.453125" bestFit="1" customWidth="1"/>
    <col min="2" max="2" width="31.90625" bestFit="1" customWidth="1"/>
  </cols>
  <sheetData>
    <row r="1" spans="1:2" ht="15">
      <c r="A1" s="1152" t="s">
        <v>1806</v>
      </c>
      <c r="B1" s="1152"/>
    </row>
    <row r="2" spans="1:2" ht="13">
      <c r="A2" s="1157" t="s">
        <v>491</v>
      </c>
      <c r="B2" s="1157"/>
    </row>
    <row r="3" spans="1:2" ht="15">
      <c r="A3" s="323" t="s">
        <v>838</v>
      </c>
      <c r="B3" s="324" t="s">
        <v>8</v>
      </c>
    </row>
    <row r="4" spans="1:2" ht="14">
      <c r="A4" s="1153" t="s">
        <v>809</v>
      </c>
      <c r="B4" s="1153"/>
    </row>
    <row r="5" spans="1:2" ht="14.25" customHeight="1">
      <c r="A5" s="325" t="s">
        <v>488</v>
      </c>
      <c r="B5" s="326">
        <v>26.4</v>
      </c>
    </row>
    <row r="6" spans="1:2" ht="14">
      <c r="A6" s="325" t="s">
        <v>489</v>
      </c>
      <c r="B6" s="326">
        <v>14.6</v>
      </c>
    </row>
    <row r="7" spans="1:2" ht="14">
      <c r="A7" s="226" t="s">
        <v>9</v>
      </c>
      <c r="B7" s="326">
        <v>54.3</v>
      </c>
    </row>
    <row r="8" spans="1:2" ht="14">
      <c r="A8" s="1153" t="s">
        <v>127</v>
      </c>
      <c r="B8" s="1153"/>
    </row>
    <row r="9" spans="1:2" ht="14">
      <c r="A9" s="226" t="s">
        <v>487</v>
      </c>
      <c r="B9" s="53">
        <v>65.599999999999994</v>
      </c>
    </row>
    <row r="10" spans="1:2" ht="14">
      <c r="A10" s="226" t="s">
        <v>484</v>
      </c>
      <c r="B10" s="327">
        <v>71.400000000000006</v>
      </c>
    </row>
    <row r="11" spans="1:2" ht="14">
      <c r="A11" s="226" t="s">
        <v>485</v>
      </c>
      <c r="B11" s="327">
        <v>59.8</v>
      </c>
    </row>
    <row r="12" spans="1:2" ht="14">
      <c r="A12" s="226" t="s">
        <v>486</v>
      </c>
      <c r="B12" s="327">
        <v>111.7</v>
      </c>
    </row>
    <row r="13" spans="1:2" ht="14">
      <c r="A13" s="226" t="s">
        <v>482</v>
      </c>
      <c r="B13" s="327">
        <v>128.80000000000001</v>
      </c>
    </row>
    <row r="14" spans="1:2" ht="14">
      <c r="A14" s="226" t="s">
        <v>483</v>
      </c>
      <c r="B14" s="327">
        <v>94.5</v>
      </c>
    </row>
    <row r="15" spans="1:2" ht="14">
      <c r="A15" s="226" t="s">
        <v>475</v>
      </c>
      <c r="B15" s="327">
        <v>166</v>
      </c>
    </row>
    <row r="16" spans="1:2" ht="14">
      <c r="A16" s="226" t="s">
        <v>477</v>
      </c>
      <c r="B16" s="327">
        <v>32.1</v>
      </c>
    </row>
    <row r="17" spans="1:2" ht="14">
      <c r="A17" s="226" t="s">
        <v>497</v>
      </c>
      <c r="B17" s="327">
        <v>59.7</v>
      </c>
    </row>
    <row r="18" spans="1:2" ht="14">
      <c r="A18" s="226" t="s">
        <v>478</v>
      </c>
      <c r="B18" s="326">
        <v>108</v>
      </c>
    </row>
    <row r="19" spans="1:2" ht="14">
      <c r="A19" s="1153" t="s">
        <v>128</v>
      </c>
      <c r="B19" s="1154"/>
    </row>
    <row r="20" spans="1:2" ht="14">
      <c r="A20" s="226" t="s">
        <v>479</v>
      </c>
      <c r="B20" s="848">
        <v>153</v>
      </c>
    </row>
    <row r="21" spans="1:2" ht="14">
      <c r="A21" s="226" t="s">
        <v>492</v>
      </c>
      <c r="B21" s="848">
        <v>103</v>
      </c>
    </row>
    <row r="22" spans="1:2" ht="14">
      <c r="A22" s="226" t="s">
        <v>480</v>
      </c>
      <c r="B22" s="848">
        <v>316</v>
      </c>
    </row>
    <row r="23" spans="1:2" ht="14">
      <c r="A23" s="226" t="s">
        <v>481</v>
      </c>
      <c r="B23" s="848">
        <v>752</v>
      </c>
    </row>
    <row r="24" spans="1:2" ht="14">
      <c r="A24" s="226" t="s">
        <v>473</v>
      </c>
      <c r="B24" s="848">
        <v>782</v>
      </c>
    </row>
    <row r="25" spans="1:2" ht="14">
      <c r="A25" s="226" t="s">
        <v>474</v>
      </c>
      <c r="B25" s="848">
        <v>721</v>
      </c>
    </row>
    <row r="26" spans="1:2" ht="14">
      <c r="A26" s="226" t="s">
        <v>493</v>
      </c>
      <c r="B26" s="848">
        <v>869</v>
      </c>
    </row>
    <row r="27" spans="1:2" ht="14">
      <c r="A27" s="226" t="s">
        <v>494</v>
      </c>
      <c r="B27" s="848">
        <v>950</v>
      </c>
    </row>
    <row r="28" spans="1:2" ht="14">
      <c r="A28" s="226" t="s">
        <v>495</v>
      </c>
      <c r="B28" s="848">
        <v>788</v>
      </c>
    </row>
    <row r="29" spans="1:2" ht="14">
      <c r="A29" s="1153" t="s">
        <v>810</v>
      </c>
      <c r="B29" s="1154"/>
    </row>
    <row r="30" spans="1:2" ht="14">
      <c r="A30" s="226" t="s">
        <v>151</v>
      </c>
      <c r="B30" s="1008">
        <v>1.86</v>
      </c>
    </row>
    <row r="31" spans="1:2" ht="14">
      <c r="A31" s="226" t="s">
        <v>498</v>
      </c>
      <c r="B31" s="1008">
        <v>1.1399999999999999</v>
      </c>
    </row>
    <row r="32" spans="1:2" ht="14">
      <c r="A32" s="1153" t="s">
        <v>129</v>
      </c>
      <c r="B32" s="1154"/>
    </row>
    <row r="33" spans="1:2" ht="14">
      <c r="A33" s="226" t="s">
        <v>125</v>
      </c>
      <c r="B33" s="326">
        <v>8.9</v>
      </c>
    </row>
    <row r="34" spans="1:2" ht="14">
      <c r="A34" s="226" t="s">
        <v>496</v>
      </c>
      <c r="B34" s="326">
        <v>9.5</v>
      </c>
    </row>
    <row r="35" spans="1:2" ht="14">
      <c r="A35" s="226" t="s">
        <v>126</v>
      </c>
      <c r="B35" s="327">
        <v>39.799999999999997</v>
      </c>
    </row>
    <row r="36" spans="1:2" ht="14">
      <c r="A36" s="1153" t="s">
        <v>811</v>
      </c>
      <c r="B36" s="1153"/>
    </row>
    <row r="37" spans="1:2" ht="14">
      <c r="A37" s="275" t="s">
        <v>812</v>
      </c>
      <c r="B37" s="327">
        <v>8.98</v>
      </c>
    </row>
    <row r="38" spans="1:2" ht="14">
      <c r="A38" s="275" t="s">
        <v>813</v>
      </c>
      <c r="B38" s="327">
        <v>5.84</v>
      </c>
    </row>
    <row r="39" spans="1:2" ht="14">
      <c r="A39" s="275" t="s">
        <v>815</v>
      </c>
      <c r="B39" s="327">
        <v>7.4</v>
      </c>
    </row>
    <row r="40" spans="1:2" ht="14">
      <c r="A40" s="275" t="s">
        <v>814</v>
      </c>
      <c r="B40" s="327">
        <v>5.84</v>
      </c>
    </row>
    <row r="41" spans="1:2" ht="14">
      <c r="A41" s="1153" t="s">
        <v>156</v>
      </c>
      <c r="B41" s="1153"/>
    </row>
    <row r="42" spans="1:2" ht="14">
      <c r="A42" s="275" t="s">
        <v>812</v>
      </c>
      <c r="B42" s="1008">
        <v>8.2799999999999994</v>
      </c>
    </row>
    <row r="43" spans="1:2" ht="14">
      <c r="A43" s="275" t="s">
        <v>1879</v>
      </c>
      <c r="B43" s="1008">
        <v>9.06</v>
      </c>
    </row>
    <row r="44" spans="1:2" ht="14">
      <c r="A44" s="275" t="s">
        <v>815</v>
      </c>
      <c r="B44" s="1008">
        <v>8.49</v>
      </c>
    </row>
    <row r="45" spans="1:2" ht="14">
      <c r="A45" s="275" t="s">
        <v>1880</v>
      </c>
      <c r="B45" s="1008">
        <v>8.98</v>
      </c>
    </row>
    <row r="46" spans="1:2" ht="14">
      <c r="A46" s="1158" t="s">
        <v>816</v>
      </c>
      <c r="B46" s="1159"/>
    </row>
    <row r="47" spans="1:2" ht="14">
      <c r="A47" s="275" t="s">
        <v>817</v>
      </c>
      <c r="B47" s="463">
        <v>0.40799999999999997</v>
      </c>
    </row>
    <row r="48" spans="1:2" ht="14">
      <c r="A48" s="275" t="s">
        <v>818</v>
      </c>
      <c r="B48" s="463">
        <v>0.70399999999999996</v>
      </c>
    </row>
    <row r="49" spans="1:6" ht="14">
      <c r="A49" s="275" t="s">
        <v>819</v>
      </c>
      <c r="B49" s="463">
        <v>0.33500000000000002</v>
      </c>
    </row>
    <row r="50" spans="1:6" ht="14">
      <c r="A50" s="275" t="s">
        <v>820</v>
      </c>
      <c r="B50" s="463">
        <v>0.39700000000000002</v>
      </c>
    </row>
    <row r="51" spans="1:6" ht="14">
      <c r="A51" s="1153" t="s">
        <v>130</v>
      </c>
      <c r="B51" s="1153"/>
    </row>
    <row r="52" spans="1:6">
      <c r="A52" s="1155" t="s">
        <v>1881</v>
      </c>
      <c r="B52" s="1021" t="s">
        <v>202</v>
      </c>
    </row>
    <row r="53" spans="1:6">
      <c r="A53" s="1156"/>
      <c r="B53" s="1021" t="s">
        <v>135</v>
      </c>
    </row>
    <row r="54" spans="1:6">
      <c r="A54" s="1156"/>
      <c r="B54" s="1021" t="s">
        <v>134</v>
      </c>
    </row>
    <row r="55" spans="1:6">
      <c r="A55" s="1156"/>
      <c r="B55" s="1021" t="s">
        <v>465</v>
      </c>
    </row>
    <row r="56" spans="1:6">
      <c r="A56" s="1156"/>
      <c r="B56" s="1021" t="s">
        <v>467</v>
      </c>
    </row>
    <row r="57" spans="1:6">
      <c r="A57" s="1156"/>
      <c r="B57" s="1021" t="s">
        <v>463</v>
      </c>
    </row>
    <row r="58" spans="1:6">
      <c r="A58" s="1156"/>
      <c r="B58" s="1021" t="s">
        <v>464</v>
      </c>
    </row>
    <row r="59" spans="1:6">
      <c r="A59" s="1156"/>
      <c r="B59" s="1021" t="s">
        <v>1902</v>
      </c>
      <c r="E59" s="57"/>
      <c r="F59" s="57"/>
    </row>
    <row r="60" spans="1:6">
      <c r="A60" s="1156"/>
      <c r="B60" s="1021" t="s">
        <v>842</v>
      </c>
      <c r="D60" s="57"/>
      <c r="E60" s="316"/>
      <c r="F60" s="57"/>
    </row>
    <row r="61" spans="1:6">
      <c r="A61" s="1156"/>
      <c r="B61" s="1021" t="s">
        <v>7</v>
      </c>
      <c r="D61" s="57"/>
      <c r="E61" s="316"/>
      <c r="F61" s="57"/>
    </row>
    <row r="62" spans="1:6">
      <c r="A62" s="1156"/>
      <c r="B62" s="1021" t="s">
        <v>1886</v>
      </c>
      <c r="D62" s="57"/>
      <c r="E62" s="316"/>
      <c r="F62" s="57"/>
    </row>
    <row r="63" spans="1:6">
      <c r="A63" s="1156"/>
      <c r="B63" s="1021" t="s">
        <v>1888</v>
      </c>
      <c r="D63" s="57"/>
      <c r="E63" s="316"/>
      <c r="F63" s="57"/>
    </row>
    <row r="64" spans="1:6">
      <c r="A64" s="1156"/>
      <c r="B64" s="1021" t="s">
        <v>205</v>
      </c>
      <c r="D64" s="57"/>
      <c r="E64" s="316"/>
      <c r="F64" s="57"/>
    </row>
    <row r="65" spans="1:6">
      <c r="A65" s="1156"/>
      <c r="B65" s="1021" t="s">
        <v>204</v>
      </c>
      <c r="D65" s="57"/>
      <c r="E65" s="316"/>
      <c r="F65" s="57"/>
    </row>
    <row r="66" spans="1:6" ht="14">
      <c r="A66" s="1153" t="s">
        <v>846</v>
      </c>
      <c r="B66" s="1153"/>
      <c r="D66" s="57"/>
    </row>
    <row r="67" spans="1:6" ht="14">
      <c r="A67" s="328" t="s">
        <v>202</v>
      </c>
      <c r="B67" s="490" t="s">
        <v>1926</v>
      </c>
      <c r="C67" s="1026"/>
    </row>
    <row r="68" spans="1:6" ht="14">
      <c r="A68" s="328" t="s">
        <v>202</v>
      </c>
      <c r="B68" s="491" t="s">
        <v>1925</v>
      </c>
      <c r="C68" s="1026"/>
    </row>
    <row r="69" spans="1:6" ht="14">
      <c r="A69" s="492"/>
      <c r="B69" s="493"/>
    </row>
    <row r="70" spans="1:6" ht="14">
      <c r="A70" s="1158" t="s">
        <v>837</v>
      </c>
      <c r="B70" s="1159"/>
    </row>
    <row r="71" spans="1:6" ht="14">
      <c r="A71" s="471" t="s">
        <v>828</v>
      </c>
      <c r="B71" s="488">
        <v>94110</v>
      </c>
    </row>
    <row r="72" spans="1:6" ht="14">
      <c r="A72" s="471" t="s">
        <v>829</v>
      </c>
      <c r="B72" s="488">
        <v>80203</v>
      </c>
    </row>
    <row r="73" spans="1:6" ht="14">
      <c r="A73" s="471" t="s">
        <v>830</v>
      </c>
      <c r="B73" s="488">
        <v>13907</v>
      </c>
    </row>
    <row r="74" spans="1:6" ht="14">
      <c r="A74" s="471" t="s">
        <v>831</v>
      </c>
      <c r="B74" s="488">
        <v>14387</v>
      </c>
    </row>
    <row r="75" spans="1:6" ht="14">
      <c r="A75" s="471" t="s">
        <v>832</v>
      </c>
      <c r="B75" s="488">
        <v>7622</v>
      </c>
    </row>
    <row r="76" spans="1:6" ht="14">
      <c r="A76" s="471" t="s">
        <v>833</v>
      </c>
      <c r="B76" s="488">
        <v>6765</v>
      </c>
    </row>
    <row r="77" spans="1:6" ht="14">
      <c r="A77" s="471" t="s">
        <v>834</v>
      </c>
      <c r="B77" s="489">
        <v>2103350</v>
      </c>
    </row>
    <row r="78" spans="1:6" ht="14">
      <c r="A78" s="471" t="s">
        <v>835</v>
      </c>
      <c r="B78" s="489">
        <v>1611815</v>
      </c>
    </row>
    <row r="79" spans="1:6" ht="14">
      <c r="A79" s="471" t="s">
        <v>836</v>
      </c>
      <c r="B79" s="489">
        <v>491535</v>
      </c>
    </row>
  </sheetData>
  <mergeCells count="14">
    <mergeCell ref="A70:B70"/>
    <mergeCell ref="A66:B66"/>
    <mergeCell ref="A29:B29"/>
    <mergeCell ref="A32:B32"/>
    <mergeCell ref="A51:B51"/>
    <mergeCell ref="A1:B1"/>
    <mergeCell ref="A4:B4"/>
    <mergeCell ref="A8:B8"/>
    <mergeCell ref="A19:B19"/>
    <mergeCell ref="A52:A65"/>
    <mergeCell ref="A2:B2"/>
    <mergeCell ref="A36:B36"/>
    <mergeCell ref="A41:B41"/>
    <mergeCell ref="A46:B46"/>
  </mergeCells>
  <phoneticPr fontId="7" type="noConversion"/>
  <pageMargins left="0.5" right="0.5" top="1" bottom="1" header="0.5" footer="0.5"/>
  <pageSetup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pageSetUpPr fitToPage="1"/>
  </sheetPr>
  <dimension ref="A1:V58"/>
  <sheetViews>
    <sheetView topLeftCell="A25" zoomScale="80" zoomScaleNormal="80" workbookViewId="0">
      <selection activeCell="I15" sqref="I15"/>
    </sheetView>
  </sheetViews>
  <sheetFormatPr defaultColWidth="17.54296875" defaultRowHeight="12.5"/>
  <cols>
    <col min="1" max="1" width="17.08984375" customWidth="1"/>
    <col min="2" max="2" width="27.54296875" bestFit="1" customWidth="1"/>
    <col min="3" max="3" width="9" customWidth="1"/>
    <col min="4" max="4" width="9" bestFit="1" customWidth="1"/>
    <col min="5" max="5" width="9.08984375" bestFit="1" customWidth="1"/>
    <col min="6" max="6" width="9" bestFit="1" customWidth="1"/>
    <col min="7" max="7" width="9.54296875" bestFit="1" customWidth="1"/>
    <col min="8" max="8" width="9.08984375" bestFit="1" customWidth="1"/>
    <col min="9" max="9" width="8.81640625" bestFit="1" customWidth="1"/>
    <col min="10" max="11" width="8.54296875" bestFit="1" customWidth="1"/>
    <col min="12" max="12" width="8.08984375" customWidth="1"/>
    <col min="13" max="13" width="9.54296875" bestFit="1" customWidth="1"/>
    <col min="14" max="14" width="9.08984375" bestFit="1" customWidth="1"/>
    <col min="15" max="15" width="11" bestFit="1" customWidth="1"/>
    <col min="16" max="16" width="9.08984375" bestFit="1" customWidth="1"/>
    <col min="17" max="17" width="9" customWidth="1"/>
    <col min="18" max="18" width="9.453125" bestFit="1" customWidth="1"/>
    <col min="19" max="19" width="10.08984375" bestFit="1" customWidth="1"/>
    <col min="20" max="20" width="8" bestFit="1" customWidth="1"/>
    <col min="21" max="21" width="12" customWidth="1"/>
    <col min="22" max="22" width="4.453125" bestFit="1" customWidth="1"/>
  </cols>
  <sheetData>
    <row r="1" spans="1:22" ht="13">
      <c r="A1" s="1217" t="s">
        <v>183</v>
      </c>
      <c r="B1" s="1217"/>
      <c r="C1" s="1217"/>
      <c r="D1" s="1217"/>
      <c r="E1" s="1217"/>
      <c r="F1" s="1217"/>
      <c r="G1" s="1217"/>
      <c r="H1" s="1217"/>
      <c r="I1" s="1217"/>
      <c r="J1" s="1217"/>
      <c r="K1" s="1217"/>
      <c r="L1" s="1217"/>
      <c r="M1" s="1217"/>
      <c r="N1" s="1217"/>
      <c r="O1" s="1217"/>
      <c r="P1" s="1217"/>
      <c r="Q1" s="1217"/>
      <c r="R1" s="1217"/>
      <c r="S1" s="1217"/>
    </row>
    <row r="2" spans="1:22" ht="13">
      <c r="A2" s="95" t="s">
        <v>11</v>
      </c>
      <c r="B2" s="95" t="s">
        <v>182</v>
      </c>
      <c r="C2" s="604">
        <v>41296</v>
      </c>
      <c r="D2" s="593">
        <v>41324</v>
      </c>
      <c r="E2" s="604">
        <v>41358</v>
      </c>
      <c r="F2" s="604">
        <v>41386</v>
      </c>
      <c r="G2" s="604">
        <v>41414</v>
      </c>
      <c r="H2" s="604">
        <v>41442</v>
      </c>
      <c r="I2" s="616">
        <v>41463</v>
      </c>
      <c r="J2" s="604">
        <v>41477</v>
      </c>
      <c r="K2" s="617">
        <v>41491</v>
      </c>
      <c r="L2" s="604">
        <v>41512</v>
      </c>
      <c r="M2" s="593">
        <v>41526</v>
      </c>
      <c r="N2" s="815">
        <v>41540</v>
      </c>
      <c r="O2" s="594">
        <v>41558</v>
      </c>
      <c r="P2" s="617">
        <v>41568</v>
      </c>
      <c r="Q2" s="593">
        <v>41596</v>
      </c>
      <c r="R2" s="617">
        <v>41624</v>
      </c>
      <c r="S2" s="620" t="s">
        <v>17</v>
      </c>
      <c r="T2" s="621" t="s">
        <v>455</v>
      </c>
      <c r="U2" s="106"/>
      <c r="V2" s="583"/>
    </row>
    <row r="3" spans="1:22" ht="13">
      <c r="A3" s="1226" t="s">
        <v>216</v>
      </c>
      <c r="B3" s="597" t="s">
        <v>201</v>
      </c>
      <c r="C3" s="184">
        <v>3154</v>
      </c>
      <c r="D3" s="184">
        <v>2634</v>
      </c>
      <c r="E3" s="184">
        <v>2870</v>
      </c>
      <c r="F3" s="184">
        <v>843</v>
      </c>
      <c r="G3" s="184">
        <v>965</v>
      </c>
      <c r="H3" s="184">
        <v>654</v>
      </c>
      <c r="I3" s="184">
        <v>1118</v>
      </c>
      <c r="J3" s="614">
        <v>1188</v>
      </c>
      <c r="K3" s="614">
        <v>1078</v>
      </c>
      <c r="L3" s="614">
        <v>769</v>
      </c>
      <c r="M3" s="107">
        <v>592</v>
      </c>
      <c r="N3" s="1071">
        <v>610</v>
      </c>
      <c r="O3" s="184"/>
      <c r="P3" s="614">
        <v>406</v>
      </c>
      <c r="Q3" s="107">
        <v>683</v>
      </c>
      <c r="R3" s="614">
        <v>693</v>
      </c>
      <c r="S3" s="622">
        <f t="shared" ref="S3:S33" si="0">AVERAGE(C3:R3)</f>
        <v>1217.1333333333334</v>
      </c>
      <c r="T3" s="622">
        <f t="shared" ref="T3:T33" si="1">MEDIAN(C3:R3)</f>
        <v>843</v>
      </c>
      <c r="U3" s="106"/>
      <c r="V3" s="583"/>
    </row>
    <row r="4" spans="1:22" ht="13">
      <c r="A4" s="1230"/>
      <c r="B4" s="598" t="s">
        <v>185</v>
      </c>
      <c r="C4" s="184">
        <v>2637</v>
      </c>
      <c r="D4" s="184">
        <v>2411</v>
      </c>
      <c r="E4" s="184">
        <v>2087</v>
      </c>
      <c r="F4" s="184">
        <v>544</v>
      </c>
      <c r="G4" s="184">
        <v>240</v>
      </c>
      <c r="H4" s="184">
        <v>456</v>
      </c>
      <c r="I4" s="184">
        <v>342</v>
      </c>
      <c r="J4" s="614">
        <v>509</v>
      </c>
      <c r="K4" s="614">
        <v>327</v>
      </c>
      <c r="L4" s="614">
        <v>254</v>
      </c>
      <c r="M4" s="107">
        <v>415</v>
      </c>
      <c r="N4" s="1071">
        <v>207</v>
      </c>
      <c r="O4" s="184"/>
      <c r="P4" s="614">
        <v>250</v>
      </c>
      <c r="Q4" s="107">
        <v>514</v>
      </c>
      <c r="R4" s="614">
        <v>472</v>
      </c>
      <c r="S4" s="622">
        <f t="shared" si="0"/>
        <v>777.66666666666663</v>
      </c>
      <c r="T4" s="622">
        <f t="shared" si="1"/>
        <v>456</v>
      </c>
      <c r="U4" s="106"/>
      <c r="V4" s="583"/>
    </row>
    <row r="5" spans="1:22" ht="13">
      <c r="A5" s="1230"/>
      <c r="B5" s="589" t="s">
        <v>245</v>
      </c>
      <c r="C5" s="184">
        <v>64</v>
      </c>
      <c r="D5" s="184">
        <v>43</v>
      </c>
      <c r="E5" s="184">
        <v>49</v>
      </c>
      <c r="F5" s="184">
        <v>33</v>
      </c>
      <c r="G5" s="184">
        <v>46</v>
      </c>
      <c r="H5" s="184">
        <v>63</v>
      </c>
      <c r="I5" s="184">
        <v>602</v>
      </c>
      <c r="J5" s="614">
        <v>480</v>
      </c>
      <c r="K5" s="614">
        <v>206</v>
      </c>
      <c r="L5" s="614">
        <v>52</v>
      </c>
      <c r="M5" s="107">
        <v>43</v>
      </c>
      <c r="N5" s="1071">
        <v>27</v>
      </c>
      <c r="O5" s="184"/>
      <c r="P5" s="614">
        <v>6</v>
      </c>
      <c r="Q5" s="107">
        <v>26</v>
      </c>
      <c r="R5" s="614">
        <v>5</v>
      </c>
      <c r="S5" s="622">
        <f t="shared" si="0"/>
        <v>116.33333333333333</v>
      </c>
      <c r="T5" s="622">
        <f t="shared" si="1"/>
        <v>46</v>
      </c>
      <c r="U5" s="106"/>
      <c r="V5" s="583"/>
    </row>
    <row r="6" spans="1:22" ht="13">
      <c r="A6" s="1230"/>
      <c r="B6" s="597" t="s">
        <v>179</v>
      </c>
      <c r="C6" s="184">
        <v>63</v>
      </c>
      <c r="D6" s="184">
        <v>79</v>
      </c>
      <c r="E6" s="184">
        <v>70</v>
      </c>
      <c r="F6" s="184">
        <v>16</v>
      </c>
      <c r="G6" s="184">
        <v>34</v>
      </c>
      <c r="H6" s="184">
        <v>46</v>
      </c>
      <c r="I6" s="184">
        <v>68</v>
      </c>
      <c r="J6" s="614">
        <v>37</v>
      </c>
      <c r="K6" s="614">
        <v>68</v>
      </c>
      <c r="L6" s="614">
        <v>64</v>
      </c>
      <c r="M6" s="107">
        <v>49</v>
      </c>
      <c r="N6" s="1071">
        <v>50</v>
      </c>
      <c r="O6" s="184"/>
      <c r="P6" s="614">
        <v>2</v>
      </c>
      <c r="Q6" s="107">
        <v>17</v>
      </c>
      <c r="R6" s="614">
        <v>20</v>
      </c>
      <c r="S6" s="622">
        <f t="shared" si="0"/>
        <v>45.533333333333331</v>
      </c>
      <c r="T6" s="622">
        <f t="shared" si="1"/>
        <v>49</v>
      </c>
      <c r="U6" s="106"/>
      <c r="V6" s="583"/>
    </row>
    <row r="7" spans="1:22" ht="13">
      <c r="A7" s="1230"/>
      <c r="B7" s="599" t="s">
        <v>180</v>
      </c>
      <c r="C7" s="184">
        <v>39</v>
      </c>
      <c r="D7" s="184">
        <v>13</v>
      </c>
      <c r="E7" s="184">
        <v>29</v>
      </c>
      <c r="F7" s="184">
        <v>2</v>
      </c>
      <c r="G7" s="184">
        <v>3</v>
      </c>
      <c r="H7" s="184">
        <v>22</v>
      </c>
      <c r="I7" s="184">
        <v>6</v>
      </c>
      <c r="J7" s="1072">
        <v>9</v>
      </c>
      <c r="K7" s="1072">
        <v>28</v>
      </c>
      <c r="L7" s="1072">
        <v>12</v>
      </c>
      <c r="M7" s="1073">
        <v>15</v>
      </c>
      <c r="N7" s="1074">
        <v>13</v>
      </c>
      <c r="O7" s="184"/>
      <c r="P7" s="1072">
        <v>2</v>
      </c>
      <c r="Q7" s="1073">
        <v>11</v>
      </c>
      <c r="R7" s="1072">
        <v>3</v>
      </c>
      <c r="S7" s="622">
        <f t="shared" si="0"/>
        <v>13.8</v>
      </c>
      <c r="T7" s="622">
        <f t="shared" si="1"/>
        <v>12</v>
      </c>
      <c r="U7" s="106"/>
      <c r="V7" s="583"/>
    </row>
    <row r="8" spans="1:22" ht="13">
      <c r="A8" s="1231"/>
      <c r="B8" s="599" t="s">
        <v>184</v>
      </c>
      <c r="C8" s="184">
        <v>5.8</v>
      </c>
      <c r="D8" s="184">
        <v>6.6</v>
      </c>
      <c r="E8" s="184">
        <v>12.4</v>
      </c>
      <c r="F8" s="184">
        <v>8</v>
      </c>
      <c r="G8" s="184">
        <v>14.6</v>
      </c>
      <c r="H8" s="184">
        <v>12</v>
      </c>
      <c r="I8" s="615">
        <v>17.2</v>
      </c>
      <c r="J8" s="614">
        <v>12.6</v>
      </c>
      <c r="K8" s="614">
        <v>14.5</v>
      </c>
      <c r="L8" s="614">
        <v>38.799999999999997</v>
      </c>
      <c r="M8" s="107">
        <v>13</v>
      </c>
      <c r="N8" s="1071">
        <v>17.600000000000001</v>
      </c>
      <c r="O8" s="184"/>
      <c r="P8" s="614">
        <v>4</v>
      </c>
      <c r="Q8" s="107">
        <v>4.8</v>
      </c>
      <c r="R8" s="614">
        <v>4.5999999999999996</v>
      </c>
      <c r="S8" s="622">
        <f t="shared" si="0"/>
        <v>12.433333333333334</v>
      </c>
      <c r="T8" s="622">
        <f t="shared" si="1"/>
        <v>12.4</v>
      </c>
      <c r="U8" s="106"/>
      <c r="V8" s="583"/>
    </row>
    <row r="9" spans="1:22" ht="13">
      <c r="A9" s="1232" t="s">
        <v>217</v>
      </c>
      <c r="B9" s="600" t="s">
        <v>201</v>
      </c>
      <c r="C9" s="619">
        <v>1207</v>
      </c>
      <c r="D9" s="871">
        <v>947</v>
      </c>
      <c r="E9" s="871">
        <v>684</v>
      </c>
      <c r="F9" s="619">
        <v>446</v>
      </c>
      <c r="G9" s="871">
        <v>529</v>
      </c>
      <c r="H9" s="871">
        <v>512</v>
      </c>
      <c r="I9" s="871">
        <v>896</v>
      </c>
      <c r="J9" s="871">
        <v>577</v>
      </c>
      <c r="K9" s="871">
        <v>1049</v>
      </c>
      <c r="L9" s="871">
        <v>1250</v>
      </c>
      <c r="M9" s="1075">
        <v>962</v>
      </c>
      <c r="N9" s="1076">
        <v>712</v>
      </c>
      <c r="O9" s="619"/>
      <c r="P9" s="871">
        <v>367</v>
      </c>
      <c r="Q9" s="1075">
        <v>398</v>
      </c>
      <c r="R9" s="871">
        <v>735</v>
      </c>
      <c r="S9" s="622">
        <f t="shared" si="0"/>
        <v>751.4</v>
      </c>
      <c r="T9" s="622">
        <f t="shared" si="1"/>
        <v>712</v>
      </c>
      <c r="U9" s="106"/>
      <c r="V9" s="583"/>
    </row>
    <row r="10" spans="1:22" ht="13">
      <c r="A10" s="1233"/>
      <c r="B10" s="601" t="s">
        <v>185</v>
      </c>
      <c r="C10" s="619">
        <v>766</v>
      </c>
      <c r="D10" s="871">
        <v>784</v>
      </c>
      <c r="E10" s="871">
        <v>452</v>
      </c>
      <c r="F10" s="619">
        <v>253</v>
      </c>
      <c r="G10" s="871">
        <v>268</v>
      </c>
      <c r="H10" s="871">
        <v>297</v>
      </c>
      <c r="I10" s="871">
        <v>673</v>
      </c>
      <c r="J10" s="871">
        <v>16</v>
      </c>
      <c r="K10" s="871">
        <v>557</v>
      </c>
      <c r="L10" s="871">
        <v>685</v>
      </c>
      <c r="M10" s="1075">
        <v>851</v>
      </c>
      <c r="N10" s="1076">
        <v>323</v>
      </c>
      <c r="O10" s="619"/>
      <c r="P10" s="871">
        <v>108</v>
      </c>
      <c r="Q10" s="1075">
        <v>174</v>
      </c>
      <c r="R10" s="871">
        <v>492</v>
      </c>
      <c r="S10" s="622">
        <f t="shared" si="0"/>
        <v>446.6</v>
      </c>
      <c r="T10" s="622">
        <f t="shared" si="1"/>
        <v>452</v>
      </c>
      <c r="U10" s="106"/>
      <c r="V10" s="583"/>
    </row>
    <row r="11" spans="1:22" ht="13">
      <c r="A11" s="1233"/>
      <c r="B11" s="596" t="s">
        <v>245</v>
      </c>
      <c r="C11" s="619">
        <v>34</v>
      </c>
      <c r="D11" s="871">
        <v>27</v>
      </c>
      <c r="E11" s="871">
        <v>29</v>
      </c>
      <c r="F11" s="619">
        <v>10</v>
      </c>
      <c r="G11" s="871">
        <v>50</v>
      </c>
      <c r="H11" s="871">
        <v>50</v>
      </c>
      <c r="I11" s="871">
        <v>36</v>
      </c>
      <c r="J11" s="871">
        <v>27</v>
      </c>
      <c r="K11" s="871">
        <v>53</v>
      </c>
      <c r="L11" s="871">
        <v>55</v>
      </c>
      <c r="M11" s="1075">
        <v>53</v>
      </c>
      <c r="N11" s="1076">
        <v>31</v>
      </c>
      <c r="O11" s="619"/>
      <c r="P11" s="871">
        <v>5</v>
      </c>
      <c r="Q11" s="1075">
        <v>47</v>
      </c>
      <c r="R11" s="871">
        <v>13</v>
      </c>
      <c r="S11" s="622">
        <f t="shared" si="0"/>
        <v>34.666666666666664</v>
      </c>
      <c r="T11" s="622">
        <f t="shared" si="1"/>
        <v>34</v>
      </c>
      <c r="U11" s="106"/>
      <c r="V11" s="583"/>
    </row>
    <row r="12" spans="1:22" ht="13">
      <c r="A12" s="1233"/>
      <c r="B12" s="600" t="s">
        <v>179</v>
      </c>
      <c r="C12" s="619">
        <v>72</v>
      </c>
      <c r="D12" s="871">
        <v>38</v>
      </c>
      <c r="E12" s="871">
        <v>5</v>
      </c>
      <c r="F12" s="619">
        <v>2</v>
      </c>
      <c r="G12" s="871">
        <v>19</v>
      </c>
      <c r="H12" s="871">
        <v>12</v>
      </c>
      <c r="I12" s="871">
        <v>10</v>
      </c>
      <c r="J12" s="871">
        <v>13</v>
      </c>
      <c r="K12" s="871">
        <v>28</v>
      </c>
      <c r="L12" s="871">
        <v>16</v>
      </c>
      <c r="M12" s="1075">
        <v>11</v>
      </c>
      <c r="N12" s="1076">
        <v>57</v>
      </c>
      <c r="O12" s="619"/>
      <c r="P12" s="871">
        <v>2</v>
      </c>
      <c r="Q12" s="1075">
        <v>20</v>
      </c>
      <c r="R12" s="871">
        <v>9</v>
      </c>
      <c r="S12" s="622">
        <f t="shared" si="0"/>
        <v>20.933333333333334</v>
      </c>
      <c r="T12" s="622">
        <f t="shared" si="1"/>
        <v>13</v>
      </c>
      <c r="U12" s="106"/>
      <c r="V12" s="583"/>
    </row>
    <row r="13" spans="1:22" ht="13">
      <c r="A13" s="1233"/>
      <c r="B13" s="602" t="s">
        <v>180</v>
      </c>
      <c r="C13" s="619">
        <v>33</v>
      </c>
      <c r="D13" s="1077">
        <v>2</v>
      </c>
      <c r="E13" s="1077">
        <v>6</v>
      </c>
      <c r="F13" s="619">
        <v>2</v>
      </c>
      <c r="G13" s="1077">
        <v>3</v>
      </c>
      <c r="H13" s="1077">
        <v>8</v>
      </c>
      <c r="I13" s="1077">
        <v>11</v>
      </c>
      <c r="J13" s="1077">
        <v>2</v>
      </c>
      <c r="K13" s="1077">
        <v>7</v>
      </c>
      <c r="L13" s="1077">
        <v>2</v>
      </c>
      <c r="M13" s="1078">
        <v>2</v>
      </c>
      <c r="N13" s="1079">
        <v>15</v>
      </c>
      <c r="O13" s="619"/>
      <c r="P13" s="1077">
        <v>2</v>
      </c>
      <c r="Q13" s="1078">
        <v>11</v>
      </c>
      <c r="R13" s="818">
        <v>2</v>
      </c>
      <c r="S13" s="622">
        <f t="shared" si="0"/>
        <v>7.2</v>
      </c>
      <c r="T13" s="622">
        <f t="shared" si="1"/>
        <v>3</v>
      </c>
      <c r="U13" s="106"/>
      <c r="V13" s="583"/>
    </row>
    <row r="14" spans="1:22" ht="13">
      <c r="A14" s="1234"/>
      <c r="B14" s="602" t="s">
        <v>184</v>
      </c>
      <c r="C14" s="619">
        <v>27.2</v>
      </c>
      <c r="D14" s="871">
        <v>57</v>
      </c>
      <c r="E14" s="871">
        <v>6.4</v>
      </c>
      <c r="F14" s="619">
        <v>6.8</v>
      </c>
      <c r="G14" s="871">
        <v>15</v>
      </c>
      <c r="H14" s="619">
        <v>4</v>
      </c>
      <c r="I14" s="871">
        <v>7.4</v>
      </c>
      <c r="J14" s="871">
        <v>6.1</v>
      </c>
      <c r="K14" s="871">
        <v>16.399999999999999</v>
      </c>
      <c r="L14" s="871">
        <v>24.8</v>
      </c>
      <c r="M14" s="1075">
        <v>20.2</v>
      </c>
      <c r="N14" s="1076">
        <v>20.399999999999999</v>
      </c>
      <c r="O14" s="619"/>
      <c r="P14" s="871">
        <v>4</v>
      </c>
      <c r="Q14" s="1075">
        <v>4</v>
      </c>
      <c r="R14" s="818">
        <v>4</v>
      </c>
      <c r="S14" s="622">
        <f t="shared" si="0"/>
        <v>14.913333333333334</v>
      </c>
      <c r="T14" s="622">
        <f t="shared" si="1"/>
        <v>7.4</v>
      </c>
      <c r="U14" s="106"/>
      <c r="V14" s="583"/>
    </row>
    <row r="15" spans="1:22" ht="13">
      <c r="A15" s="1226" t="s">
        <v>1804</v>
      </c>
      <c r="B15" s="603" t="s">
        <v>181</v>
      </c>
      <c r="C15" s="184">
        <v>1.2</v>
      </c>
      <c r="D15" s="184">
        <v>0.1</v>
      </c>
      <c r="E15" s="184">
        <f>(21.5+18.9)/2</f>
        <v>20.2</v>
      </c>
      <c r="F15" s="184">
        <f>(8.3+8)/2</f>
        <v>8.15</v>
      </c>
      <c r="G15" s="184">
        <f>(1.5+0.9)/2</f>
        <v>1.2</v>
      </c>
      <c r="H15" s="184">
        <v>3.7</v>
      </c>
      <c r="I15" s="184">
        <f>(30.1+32.7)/2</f>
        <v>31.400000000000002</v>
      </c>
      <c r="J15" s="184">
        <f>(36.3+30.7)/2</f>
        <v>33.5</v>
      </c>
      <c r="K15" s="330">
        <f>(25.1+28)/2</f>
        <v>26.55</v>
      </c>
      <c r="L15" s="330">
        <v>8.1999999999999993</v>
      </c>
      <c r="M15" s="107">
        <v>54.3</v>
      </c>
      <c r="N15" s="1080">
        <v>4.5999999999999996</v>
      </c>
      <c r="O15" s="184">
        <v>12.3</v>
      </c>
      <c r="P15" s="330">
        <v>11.7</v>
      </c>
      <c r="Q15" s="459">
        <v>1.5</v>
      </c>
      <c r="R15" s="330">
        <v>2.8</v>
      </c>
      <c r="S15" s="622">
        <f t="shared" si="0"/>
        <v>13.8375</v>
      </c>
      <c r="T15" s="622">
        <f t="shared" si="1"/>
        <v>8.1750000000000007</v>
      </c>
      <c r="U15" s="106"/>
      <c r="V15" s="583"/>
    </row>
    <row r="16" spans="1:22" ht="13">
      <c r="A16" s="1227"/>
      <c r="B16" s="597" t="s">
        <v>201</v>
      </c>
      <c r="C16" s="184">
        <v>611</v>
      </c>
      <c r="D16" s="184">
        <v>578</v>
      </c>
      <c r="E16" s="184">
        <v>703</v>
      </c>
      <c r="F16" s="184">
        <v>511</v>
      </c>
      <c r="G16" s="184">
        <v>838</v>
      </c>
      <c r="H16" s="184">
        <v>701</v>
      </c>
      <c r="I16" s="184">
        <v>902</v>
      </c>
      <c r="J16" s="614">
        <v>808</v>
      </c>
      <c r="K16" s="614">
        <v>1272</v>
      </c>
      <c r="L16" s="614">
        <v>883</v>
      </c>
      <c r="M16" s="107">
        <v>864</v>
      </c>
      <c r="N16" s="1071">
        <v>968</v>
      </c>
      <c r="O16" s="614">
        <v>715</v>
      </c>
      <c r="P16" s="614">
        <v>602</v>
      </c>
      <c r="Q16" s="107">
        <v>774</v>
      </c>
      <c r="R16" s="614">
        <v>746</v>
      </c>
      <c r="S16" s="622">
        <f t="shared" si="0"/>
        <v>779.75</v>
      </c>
      <c r="T16" s="622">
        <f t="shared" si="1"/>
        <v>760</v>
      </c>
      <c r="U16" s="106"/>
      <c r="V16" s="583"/>
    </row>
    <row r="17" spans="1:22" ht="13">
      <c r="A17" s="1230"/>
      <c r="B17" s="598" t="s">
        <v>185</v>
      </c>
      <c r="C17" s="184">
        <v>183</v>
      </c>
      <c r="D17" s="184">
        <v>279</v>
      </c>
      <c r="E17" s="184">
        <v>174</v>
      </c>
      <c r="F17" s="184">
        <v>40</v>
      </c>
      <c r="G17" s="184">
        <v>293</v>
      </c>
      <c r="H17" s="184">
        <v>151</v>
      </c>
      <c r="I17" s="184">
        <v>159</v>
      </c>
      <c r="J17" s="614">
        <v>44</v>
      </c>
      <c r="K17" s="614">
        <v>36</v>
      </c>
      <c r="L17" s="614">
        <v>57</v>
      </c>
      <c r="M17" s="107">
        <v>75</v>
      </c>
      <c r="N17" s="1071">
        <v>209</v>
      </c>
      <c r="O17" s="614">
        <v>173</v>
      </c>
      <c r="P17" s="614">
        <v>225</v>
      </c>
      <c r="Q17" s="107">
        <v>316</v>
      </c>
      <c r="R17" s="614">
        <v>426</v>
      </c>
      <c r="S17" s="622">
        <f t="shared" si="0"/>
        <v>177.5</v>
      </c>
      <c r="T17" s="622">
        <f t="shared" si="1"/>
        <v>173.5</v>
      </c>
      <c r="U17" s="106"/>
      <c r="V17" s="583"/>
    </row>
    <row r="18" spans="1:22" ht="13">
      <c r="A18" s="1230"/>
      <c r="B18" s="804" t="s">
        <v>245</v>
      </c>
      <c r="C18" s="184"/>
      <c r="D18" s="184"/>
      <c r="E18" s="184"/>
      <c r="F18" s="184"/>
      <c r="G18" s="184"/>
      <c r="H18" s="184"/>
      <c r="I18" s="184"/>
      <c r="J18" s="614"/>
      <c r="K18" s="614"/>
      <c r="L18" s="614">
        <v>223</v>
      </c>
      <c r="M18" s="107">
        <v>57</v>
      </c>
      <c r="N18" s="1071">
        <v>49</v>
      </c>
      <c r="O18" s="614">
        <v>34</v>
      </c>
      <c r="P18" s="614">
        <v>32</v>
      </c>
      <c r="Q18" s="107">
        <v>143</v>
      </c>
      <c r="R18" s="614">
        <v>40</v>
      </c>
      <c r="S18" s="622">
        <f t="shared" si="0"/>
        <v>82.571428571428569</v>
      </c>
      <c r="T18" s="622">
        <f t="shared" si="1"/>
        <v>49</v>
      </c>
      <c r="U18" s="106"/>
      <c r="V18" s="583"/>
    </row>
    <row r="19" spans="1:22" ht="13">
      <c r="A19" s="1230"/>
      <c r="B19" s="597" t="s">
        <v>179</v>
      </c>
      <c r="C19" s="184">
        <v>22</v>
      </c>
      <c r="D19" s="184">
        <v>15</v>
      </c>
      <c r="E19" s="184">
        <v>25</v>
      </c>
      <c r="F19" s="184">
        <v>14</v>
      </c>
      <c r="G19" s="184">
        <v>35</v>
      </c>
      <c r="H19" s="184">
        <v>61</v>
      </c>
      <c r="I19" s="184">
        <v>132</v>
      </c>
      <c r="J19" s="614">
        <v>86</v>
      </c>
      <c r="K19" s="614">
        <v>128</v>
      </c>
      <c r="L19" s="614">
        <v>123</v>
      </c>
      <c r="M19" s="107">
        <v>138</v>
      </c>
      <c r="N19" s="1071">
        <v>166</v>
      </c>
      <c r="O19" s="614">
        <v>53</v>
      </c>
      <c r="P19" s="614">
        <v>26</v>
      </c>
      <c r="Q19" s="107">
        <v>47</v>
      </c>
      <c r="R19" s="614">
        <v>16</v>
      </c>
      <c r="S19" s="622">
        <f t="shared" si="0"/>
        <v>67.9375</v>
      </c>
      <c r="T19" s="622">
        <f t="shared" si="1"/>
        <v>50</v>
      </c>
      <c r="U19" s="106"/>
      <c r="V19" s="583"/>
    </row>
    <row r="20" spans="1:22" ht="13">
      <c r="A20" s="1230"/>
      <c r="B20" s="599" t="s">
        <v>180</v>
      </c>
      <c r="C20" s="184">
        <v>13</v>
      </c>
      <c r="D20" s="184">
        <v>3</v>
      </c>
      <c r="E20" s="184">
        <v>4</v>
      </c>
      <c r="F20" s="184">
        <v>3</v>
      </c>
      <c r="G20" s="184">
        <v>10</v>
      </c>
      <c r="H20" s="184">
        <v>27</v>
      </c>
      <c r="I20" s="184">
        <v>61</v>
      </c>
      <c r="J20" s="1072">
        <v>25</v>
      </c>
      <c r="K20" s="1072">
        <v>88</v>
      </c>
      <c r="L20" s="1072">
        <v>99</v>
      </c>
      <c r="M20" s="1073">
        <v>60</v>
      </c>
      <c r="N20" s="1074">
        <v>30</v>
      </c>
      <c r="O20" s="1072">
        <v>26</v>
      </c>
      <c r="P20" s="1072">
        <v>3</v>
      </c>
      <c r="Q20" s="1073">
        <v>18</v>
      </c>
      <c r="R20" s="1072">
        <v>5</v>
      </c>
      <c r="S20" s="622">
        <f t="shared" si="0"/>
        <v>29.6875</v>
      </c>
      <c r="T20" s="622">
        <f t="shared" si="1"/>
        <v>21.5</v>
      </c>
      <c r="U20" s="181"/>
      <c r="V20" s="583"/>
    </row>
    <row r="21" spans="1:22" ht="13">
      <c r="A21" s="1231"/>
      <c r="B21" s="599" t="s">
        <v>184</v>
      </c>
      <c r="C21" s="184">
        <v>4</v>
      </c>
      <c r="D21" s="184">
        <v>4</v>
      </c>
      <c r="E21" s="184">
        <v>7.4</v>
      </c>
      <c r="F21" s="184">
        <v>4.5999999999999996</v>
      </c>
      <c r="G21" s="184">
        <v>4.8</v>
      </c>
      <c r="H21" s="184">
        <v>4</v>
      </c>
      <c r="I21" s="184">
        <v>8.1999999999999993</v>
      </c>
      <c r="J21" s="614">
        <v>9</v>
      </c>
      <c r="K21" s="614">
        <v>7</v>
      </c>
      <c r="L21" s="614">
        <v>5.8</v>
      </c>
      <c r="M21" s="107">
        <v>14.8</v>
      </c>
      <c r="N21" s="1071">
        <v>6.6</v>
      </c>
      <c r="O21" s="614">
        <v>10.199999999999999</v>
      </c>
      <c r="P21" s="614">
        <v>10</v>
      </c>
      <c r="Q21" s="107">
        <v>5.6</v>
      </c>
      <c r="R21" s="614">
        <v>4</v>
      </c>
      <c r="S21" s="622">
        <f t="shared" si="0"/>
        <v>6.8749999999999991</v>
      </c>
      <c r="T21" s="622">
        <f t="shared" si="1"/>
        <v>6.1999999999999993</v>
      </c>
      <c r="U21" s="181"/>
      <c r="V21" s="585"/>
    </row>
    <row r="22" spans="1:22" ht="13">
      <c r="A22" s="1232" t="s">
        <v>1805</v>
      </c>
      <c r="B22" s="600" t="s">
        <v>201</v>
      </c>
      <c r="C22" s="619">
        <v>736</v>
      </c>
      <c r="D22" s="619">
        <v>808</v>
      </c>
      <c r="E22" s="619">
        <v>673</v>
      </c>
      <c r="F22" s="619">
        <v>495</v>
      </c>
      <c r="G22" s="619">
        <v>760</v>
      </c>
      <c r="H22" s="619">
        <v>637</v>
      </c>
      <c r="I22" s="619">
        <v>713</v>
      </c>
      <c r="J22" s="871">
        <v>1049</v>
      </c>
      <c r="K22" s="871">
        <v>978</v>
      </c>
      <c r="L22" s="871">
        <v>861</v>
      </c>
      <c r="M22" s="1075">
        <v>453</v>
      </c>
      <c r="N22" s="1076">
        <v>676</v>
      </c>
      <c r="O22" s="871">
        <v>723</v>
      </c>
      <c r="P22" s="871">
        <v>633</v>
      </c>
      <c r="Q22" s="1075">
        <v>625</v>
      </c>
      <c r="R22" s="871">
        <v>748</v>
      </c>
      <c r="S22" s="622">
        <f t="shared" si="0"/>
        <v>723</v>
      </c>
      <c r="T22" s="622">
        <f t="shared" si="1"/>
        <v>718</v>
      </c>
      <c r="U22" s="181"/>
      <c r="V22" s="585"/>
    </row>
    <row r="23" spans="1:22" ht="13">
      <c r="A23" s="1235"/>
      <c r="B23" s="601" t="s">
        <v>185</v>
      </c>
      <c r="C23" s="619">
        <v>156</v>
      </c>
      <c r="D23" s="619">
        <v>156</v>
      </c>
      <c r="E23" s="619">
        <v>181</v>
      </c>
      <c r="F23" s="619">
        <v>37</v>
      </c>
      <c r="G23" s="619">
        <v>129</v>
      </c>
      <c r="H23" s="619">
        <v>154</v>
      </c>
      <c r="I23" s="619">
        <v>158</v>
      </c>
      <c r="J23" s="871">
        <v>67</v>
      </c>
      <c r="K23" s="871">
        <v>38</v>
      </c>
      <c r="L23" s="871">
        <v>72</v>
      </c>
      <c r="M23" s="1075">
        <v>88</v>
      </c>
      <c r="N23" s="1076">
        <v>228</v>
      </c>
      <c r="O23" s="871">
        <v>168</v>
      </c>
      <c r="P23" s="871">
        <v>231</v>
      </c>
      <c r="Q23" s="1075">
        <v>298</v>
      </c>
      <c r="R23" s="871">
        <v>394</v>
      </c>
      <c r="S23" s="622">
        <f t="shared" si="0"/>
        <v>159.6875</v>
      </c>
      <c r="T23" s="622">
        <f t="shared" si="1"/>
        <v>156</v>
      </c>
      <c r="U23" s="181"/>
      <c r="V23" s="585"/>
    </row>
    <row r="24" spans="1:22" ht="13">
      <c r="A24" s="1235"/>
      <c r="B24" s="596" t="s">
        <v>245</v>
      </c>
      <c r="C24" s="619"/>
      <c r="D24" s="619"/>
      <c r="E24" s="619"/>
      <c r="F24" s="619"/>
      <c r="G24" s="619"/>
      <c r="H24" s="619"/>
      <c r="I24" s="619"/>
      <c r="J24" s="871"/>
      <c r="K24" s="871"/>
      <c r="L24" s="871">
        <v>291</v>
      </c>
      <c r="M24" s="1075">
        <v>115</v>
      </c>
      <c r="N24" s="1076">
        <v>54</v>
      </c>
      <c r="O24" s="871">
        <v>34</v>
      </c>
      <c r="P24" s="871">
        <v>36</v>
      </c>
      <c r="Q24" s="1075">
        <v>176</v>
      </c>
      <c r="R24" s="871">
        <v>190</v>
      </c>
      <c r="S24" s="622">
        <f t="shared" si="0"/>
        <v>128</v>
      </c>
      <c r="T24" s="622">
        <f t="shared" si="1"/>
        <v>115</v>
      </c>
      <c r="U24" s="181"/>
      <c r="V24" s="585"/>
    </row>
    <row r="25" spans="1:22" ht="13">
      <c r="A25" s="1233"/>
      <c r="B25" s="600" t="s">
        <v>179</v>
      </c>
      <c r="C25" s="619">
        <v>29</v>
      </c>
      <c r="D25" s="619">
        <v>21</v>
      </c>
      <c r="E25" s="619">
        <v>27</v>
      </c>
      <c r="F25" s="619">
        <v>24</v>
      </c>
      <c r="G25" s="619">
        <v>56</v>
      </c>
      <c r="H25" s="619">
        <v>45</v>
      </c>
      <c r="I25" s="619">
        <v>56</v>
      </c>
      <c r="J25" s="871">
        <v>65</v>
      </c>
      <c r="K25" s="871">
        <v>123</v>
      </c>
      <c r="L25" s="871">
        <v>151</v>
      </c>
      <c r="M25" s="1075">
        <v>112</v>
      </c>
      <c r="N25" s="1076">
        <v>60</v>
      </c>
      <c r="O25" s="871">
        <v>52</v>
      </c>
      <c r="P25" s="871">
        <v>34</v>
      </c>
      <c r="Q25" s="1075">
        <v>42</v>
      </c>
      <c r="R25" s="871">
        <v>113</v>
      </c>
      <c r="S25" s="622">
        <f t="shared" si="0"/>
        <v>63.125</v>
      </c>
      <c r="T25" s="622">
        <f t="shared" si="1"/>
        <v>54</v>
      </c>
      <c r="U25" s="181"/>
      <c r="V25" s="585"/>
    </row>
    <row r="26" spans="1:22" ht="13">
      <c r="A26" s="1233"/>
      <c r="B26" s="602" t="s">
        <v>180</v>
      </c>
      <c r="C26" s="619">
        <v>21</v>
      </c>
      <c r="D26" s="619">
        <v>9</v>
      </c>
      <c r="E26" s="619">
        <v>3</v>
      </c>
      <c r="F26" s="619">
        <v>2</v>
      </c>
      <c r="G26" s="619">
        <v>38</v>
      </c>
      <c r="H26" s="619">
        <v>32</v>
      </c>
      <c r="I26" s="619">
        <v>33</v>
      </c>
      <c r="J26" s="1077">
        <v>38</v>
      </c>
      <c r="K26" s="1077">
        <v>97</v>
      </c>
      <c r="L26" s="1077">
        <v>108</v>
      </c>
      <c r="M26" s="1078">
        <v>48</v>
      </c>
      <c r="N26" s="1079">
        <v>29</v>
      </c>
      <c r="O26" s="1077">
        <v>16</v>
      </c>
      <c r="P26" s="1077">
        <v>2</v>
      </c>
      <c r="Q26" s="1078">
        <v>16</v>
      </c>
      <c r="R26" s="1077">
        <v>9</v>
      </c>
      <c r="S26" s="622">
        <f t="shared" si="0"/>
        <v>31.3125</v>
      </c>
      <c r="T26" s="622">
        <f t="shared" si="1"/>
        <v>25</v>
      </c>
      <c r="U26" s="106"/>
      <c r="V26" s="585"/>
    </row>
    <row r="27" spans="1:22" ht="13">
      <c r="A27" s="1234"/>
      <c r="B27" s="602" t="s">
        <v>184</v>
      </c>
      <c r="C27" s="619">
        <v>4</v>
      </c>
      <c r="D27" s="619">
        <v>4</v>
      </c>
      <c r="E27" s="619">
        <v>7.6</v>
      </c>
      <c r="F27" s="619">
        <v>8.1999999999999993</v>
      </c>
      <c r="G27" s="619">
        <v>5.6</v>
      </c>
      <c r="H27" s="619">
        <v>5.6</v>
      </c>
      <c r="I27" s="619">
        <v>4.5999999999999996</v>
      </c>
      <c r="J27" s="871">
        <v>9.8000000000000007</v>
      </c>
      <c r="K27" s="871">
        <v>9.6</v>
      </c>
      <c r="L27" s="871">
        <v>10.6</v>
      </c>
      <c r="M27" s="1075">
        <v>23</v>
      </c>
      <c r="N27" s="1076">
        <v>4.5999999999999996</v>
      </c>
      <c r="O27" s="871">
        <v>39.799999999999997</v>
      </c>
      <c r="P27" s="871">
        <v>9.4</v>
      </c>
      <c r="Q27" s="1075">
        <v>13.4</v>
      </c>
      <c r="R27" s="871">
        <v>67.400000000000006</v>
      </c>
      <c r="S27" s="622">
        <f t="shared" si="0"/>
        <v>14.200000000000001</v>
      </c>
      <c r="T27" s="622">
        <f t="shared" si="1"/>
        <v>8.8000000000000007</v>
      </c>
      <c r="U27" s="106"/>
      <c r="V27" s="585"/>
    </row>
    <row r="28" spans="1:22" ht="13">
      <c r="A28" s="1226" t="s">
        <v>218</v>
      </c>
      <c r="B28" s="597" t="s">
        <v>201</v>
      </c>
      <c r="C28" s="184">
        <v>1050</v>
      </c>
      <c r="D28" s="184">
        <v>713</v>
      </c>
      <c r="E28" s="184">
        <v>621</v>
      </c>
      <c r="F28" s="184">
        <v>450</v>
      </c>
      <c r="G28" s="184">
        <v>865</v>
      </c>
      <c r="H28" s="184">
        <v>697</v>
      </c>
      <c r="I28" s="184">
        <v>1064</v>
      </c>
      <c r="J28" s="614">
        <v>793</v>
      </c>
      <c r="K28" s="614">
        <v>2241</v>
      </c>
      <c r="L28" s="614">
        <v>1141</v>
      </c>
      <c r="M28" s="107">
        <v>607</v>
      </c>
      <c r="N28" s="1071">
        <v>635</v>
      </c>
      <c r="O28" s="184"/>
      <c r="P28" s="614">
        <v>791</v>
      </c>
      <c r="Q28" s="107">
        <v>642</v>
      </c>
      <c r="R28" s="614">
        <v>685</v>
      </c>
      <c r="S28" s="622">
        <f t="shared" si="0"/>
        <v>866.33333333333337</v>
      </c>
      <c r="T28" s="622">
        <f t="shared" si="1"/>
        <v>713</v>
      </c>
      <c r="U28" s="106"/>
      <c r="V28" s="583"/>
    </row>
    <row r="29" spans="1:22" ht="13">
      <c r="A29" s="1227"/>
      <c r="B29" s="598" t="s">
        <v>185</v>
      </c>
      <c r="C29" s="184">
        <v>167</v>
      </c>
      <c r="D29" s="184">
        <v>261</v>
      </c>
      <c r="E29" s="184">
        <v>168</v>
      </c>
      <c r="F29" s="184">
        <v>21</v>
      </c>
      <c r="G29" s="184">
        <v>289</v>
      </c>
      <c r="H29" s="184">
        <v>161</v>
      </c>
      <c r="I29" s="184">
        <v>188</v>
      </c>
      <c r="J29" s="614">
        <v>51</v>
      </c>
      <c r="K29" s="614">
        <v>29</v>
      </c>
      <c r="L29" s="614">
        <v>80</v>
      </c>
      <c r="M29" s="107">
        <v>80</v>
      </c>
      <c r="N29" s="1071">
        <v>215</v>
      </c>
      <c r="O29" s="184"/>
      <c r="P29" s="614">
        <v>237</v>
      </c>
      <c r="Q29" s="107">
        <v>324</v>
      </c>
      <c r="R29" s="614">
        <v>427</v>
      </c>
      <c r="S29" s="622">
        <f t="shared" si="0"/>
        <v>179.86666666666667</v>
      </c>
      <c r="T29" s="622">
        <f t="shared" si="1"/>
        <v>168</v>
      </c>
      <c r="U29" s="106"/>
      <c r="V29" s="583"/>
    </row>
    <row r="30" spans="1:22" ht="13">
      <c r="A30" s="1227"/>
      <c r="B30" s="589" t="s">
        <v>245</v>
      </c>
      <c r="C30" s="184">
        <v>288</v>
      </c>
      <c r="D30" s="184">
        <v>60</v>
      </c>
      <c r="E30" s="184">
        <v>50</v>
      </c>
      <c r="F30" s="184">
        <v>11</v>
      </c>
      <c r="G30" s="184">
        <v>86</v>
      </c>
      <c r="H30" s="184">
        <v>181</v>
      </c>
      <c r="I30" s="184">
        <v>602</v>
      </c>
      <c r="J30" s="614">
        <v>47</v>
      </c>
      <c r="K30" s="614">
        <v>56</v>
      </c>
      <c r="L30" s="614">
        <v>225</v>
      </c>
      <c r="M30" s="107">
        <v>66</v>
      </c>
      <c r="N30" s="1071">
        <v>62</v>
      </c>
      <c r="O30" s="184"/>
      <c r="P30" s="614">
        <v>39</v>
      </c>
      <c r="Q30" s="107">
        <v>106</v>
      </c>
      <c r="R30" s="614">
        <v>60</v>
      </c>
      <c r="S30" s="622">
        <f t="shared" si="0"/>
        <v>129.26666666666668</v>
      </c>
      <c r="T30" s="622">
        <f t="shared" si="1"/>
        <v>62</v>
      </c>
      <c r="U30" s="106"/>
      <c r="V30" s="583"/>
    </row>
    <row r="31" spans="1:22" ht="13">
      <c r="A31" s="1228"/>
      <c r="B31" s="597" t="s">
        <v>179</v>
      </c>
      <c r="C31" s="184">
        <v>74</v>
      </c>
      <c r="D31" s="184">
        <v>39</v>
      </c>
      <c r="E31" s="184">
        <v>27</v>
      </c>
      <c r="F31" s="184">
        <v>17</v>
      </c>
      <c r="G31" s="184">
        <v>30</v>
      </c>
      <c r="H31" s="184">
        <v>60</v>
      </c>
      <c r="I31" s="184">
        <v>185</v>
      </c>
      <c r="J31" s="614">
        <v>58</v>
      </c>
      <c r="K31" s="614">
        <v>259</v>
      </c>
      <c r="L31" s="614">
        <v>147</v>
      </c>
      <c r="M31" s="107">
        <v>120</v>
      </c>
      <c r="N31" s="1071">
        <v>61</v>
      </c>
      <c r="O31" s="184"/>
      <c r="P31" s="614">
        <v>51</v>
      </c>
      <c r="Q31" s="107">
        <v>25</v>
      </c>
      <c r="R31" s="614">
        <v>15</v>
      </c>
      <c r="S31" s="622">
        <f t="shared" si="0"/>
        <v>77.86666666666666</v>
      </c>
      <c r="T31" s="622">
        <f t="shared" si="1"/>
        <v>58</v>
      </c>
      <c r="U31" s="106"/>
      <c r="V31" s="583"/>
    </row>
    <row r="32" spans="1:22" ht="13">
      <c r="A32" s="1228"/>
      <c r="B32" s="599" t="s">
        <v>180</v>
      </c>
      <c r="C32" s="184">
        <v>29</v>
      </c>
      <c r="D32" s="184">
        <v>13</v>
      </c>
      <c r="E32" s="184">
        <v>5</v>
      </c>
      <c r="F32" s="184">
        <v>2</v>
      </c>
      <c r="G32" s="184">
        <v>10</v>
      </c>
      <c r="H32" s="184">
        <v>33</v>
      </c>
      <c r="I32" s="184">
        <v>27</v>
      </c>
      <c r="J32" s="1072">
        <v>22</v>
      </c>
      <c r="K32" s="1072">
        <v>83</v>
      </c>
      <c r="L32" s="1072">
        <v>96</v>
      </c>
      <c r="M32" s="1073">
        <v>51</v>
      </c>
      <c r="N32" s="1074">
        <v>25</v>
      </c>
      <c r="O32" s="184"/>
      <c r="P32" s="1072">
        <v>2</v>
      </c>
      <c r="Q32" s="1073">
        <v>16</v>
      </c>
      <c r="R32" s="1072">
        <v>6</v>
      </c>
      <c r="S32" s="622">
        <f t="shared" si="0"/>
        <v>28</v>
      </c>
      <c r="T32" s="622">
        <f t="shared" si="1"/>
        <v>22</v>
      </c>
      <c r="U32" s="106"/>
      <c r="V32" s="583"/>
    </row>
    <row r="33" spans="1:22" ht="13">
      <c r="A33" s="1228"/>
      <c r="B33" s="599" t="s">
        <v>184</v>
      </c>
      <c r="C33" s="51">
        <v>7.6</v>
      </c>
      <c r="D33" s="51">
        <v>7</v>
      </c>
      <c r="E33" s="51">
        <v>8.1999999999999993</v>
      </c>
      <c r="F33" s="51">
        <v>5.6</v>
      </c>
      <c r="G33" s="51">
        <v>5.4</v>
      </c>
      <c r="H33" s="51">
        <v>9.1999999999999993</v>
      </c>
      <c r="I33" s="51">
        <v>21.6</v>
      </c>
      <c r="J33" s="606">
        <v>11.6</v>
      </c>
      <c r="K33" s="606">
        <v>15.4</v>
      </c>
      <c r="L33" s="606">
        <v>17.8</v>
      </c>
      <c r="M33" s="108">
        <v>18</v>
      </c>
      <c r="N33" s="716">
        <v>10.4</v>
      </c>
      <c r="O33" s="51"/>
      <c r="P33" s="606">
        <v>19.8</v>
      </c>
      <c r="Q33" s="108">
        <v>4</v>
      </c>
      <c r="R33" s="606">
        <v>4</v>
      </c>
      <c r="S33" s="622">
        <f t="shared" si="0"/>
        <v>11.04</v>
      </c>
      <c r="T33" s="622">
        <f t="shared" si="1"/>
        <v>9.1999999999999993</v>
      </c>
      <c r="U33" s="106"/>
      <c r="V33" s="583"/>
    </row>
    <row r="34" spans="1:22" ht="13">
      <c r="A34" s="1229"/>
      <c r="B34" s="598" t="s">
        <v>788</v>
      </c>
      <c r="C34" s="184">
        <v>1</v>
      </c>
      <c r="D34" s="184">
        <v>1</v>
      </c>
      <c r="E34" s="184">
        <v>41</v>
      </c>
      <c r="F34" s="184">
        <v>1</v>
      </c>
      <c r="G34" s="184">
        <v>1</v>
      </c>
      <c r="H34" s="184">
        <v>3</v>
      </c>
      <c r="I34" s="184"/>
      <c r="J34" s="184">
        <v>16</v>
      </c>
      <c r="K34" s="184"/>
      <c r="L34" s="184">
        <v>5</v>
      </c>
      <c r="M34" s="184"/>
      <c r="N34" s="184">
        <v>1</v>
      </c>
      <c r="O34" s="184"/>
      <c r="P34" s="184">
        <v>5</v>
      </c>
      <c r="Q34" s="184">
        <v>1</v>
      </c>
      <c r="R34" s="184">
        <v>1</v>
      </c>
      <c r="S34" s="582">
        <f>GEOMEAN(C34:R34)</f>
        <v>2.4603511292024818</v>
      </c>
      <c r="T34" s="582"/>
      <c r="U34" s="106"/>
      <c r="V34" s="583"/>
    </row>
    <row r="35" spans="1:22">
      <c r="A35" s="99"/>
      <c r="B35" s="100"/>
      <c r="C35" s="100"/>
      <c r="D35" s="99"/>
      <c r="E35" s="99"/>
      <c r="F35" s="99"/>
      <c r="G35" s="102"/>
      <c r="H35" s="92"/>
      <c r="S35" s="17" t="s">
        <v>1810</v>
      </c>
      <c r="V35" s="583"/>
    </row>
    <row r="36" spans="1:22">
      <c r="A36" s="99"/>
      <c r="B36" s="100"/>
      <c r="C36" s="100"/>
      <c r="D36" s="103"/>
      <c r="E36" s="99"/>
      <c r="F36" s="87"/>
      <c r="G36" s="101"/>
      <c r="H36" s="88"/>
    </row>
    <row r="37" spans="1:22">
      <c r="A37" s="99"/>
      <c r="B37" s="100"/>
      <c r="C37" s="100"/>
      <c r="D37" s="96"/>
      <c r="E37" s="99"/>
      <c r="F37" s="104"/>
      <c r="G37" s="97"/>
      <c r="H37" s="97"/>
    </row>
    <row r="38" spans="1:22">
      <c r="A38" s="99"/>
      <c r="B38" s="100"/>
      <c r="C38" s="17"/>
      <c r="D38" s="106"/>
      <c r="E38" s="84"/>
      <c r="F38" s="84"/>
      <c r="G38" s="17"/>
      <c r="H38" s="17"/>
      <c r="I38" s="17"/>
      <c r="J38" s="17"/>
      <c r="K38" s="85"/>
      <c r="L38" s="85"/>
    </row>
    <row r="39" spans="1:22">
      <c r="A39" s="99"/>
      <c r="B39" s="100"/>
      <c r="C39" s="17"/>
      <c r="D39" s="106"/>
      <c r="E39" s="84"/>
      <c r="F39" s="84"/>
      <c r="G39" s="17"/>
      <c r="H39" s="17"/>
      <c r="I39" s="17"/>
      <c r="J39" s="17"/>
      <c r="K39" s="85"/>
      <c r="L39" s="85"/>
    </row>
    <row r="40" spans="1:22">
      <c r="A40" s="99"/>
      <c r="B40" s="100"/>
      <c r="C40" s="17"/>
      <c r="D40" s="106"/>
      <c r="E40" s="84"/>
      <c r="F40" s="84"/>
      <c r="G40" s="17"/>
      <c r="H40" s="17"/>
      <c r="I40" s="17"/>
      <c r="J40" s="17"/>
      <c r="K40" s="92"/>
      <c r="L40" s="92"/>
    </row>
    <row r="41" spans="1:22">
      <c r="A41" s="99"/>
      <c r="B41" s="100"/>
      <c r="C41" s="17"/>
      <c r="D41" s="106"/>
      <c r="E41" s="84"/>
      <c r="F41" s="84"/>
      <c r="G41" s="89"/>
      <c r="H41" s="17"/>
      <c r="I41" s="87"/>
      <c r="J41" s="87"/>
      <c r="K41" s="88"/>
      <c r="L41" s="88"/>
    </row>
    <row r="42" spans="1:22">
      <c r="A42" s="17"/>
      <c r="B42" s="100"/>
      <c r="C42" s="17"/>
      <c r="D42" s="106"/>
      <c r="E42" s="84"/>
      <c r="F42" s="84"/>
      <c r="G42" s="17"/>
      <c r="H42" s="17"/>
      <c r="I42" s="17"/>
      <c r="J42" s="17"/>
      <c r="K42" s="85"/>
      <c r="L42" s="85"/>
    </row>
    <row r="43" spans="1:22">
      <c r="A43" s="17"/>
      <c r="B43" s="100"/>
      <c r="C43" s="17"/>
      <c r="D43" s="106"/>
      <c r="E43" s="84"/>
      <c r="F43" s="84"/>
      <c r="G43" s="17"/>
      <c r="H43" s="17"/>
      <c r="I43" s="17"/>
      <c r="J43" s="17"/>
      <c r="K43" s="85"/>
      <c r="L43" s="85"/>
    </row>
    <row r="44" spans="1:22">
      <c r="A44" s="17"/>
      <c r="B44" s="100"/>
      <c r="C44" s="17"/>
      <c r="D44" s="106"/>
      <c r="E44" s="84"/>
      <c r="F44" s="84"/>
      <c r="G44" s="17"/>
      <c r="H44" s="17"/>
      <c r="I44" s="17"/>
      <c r="J44" s="17"/>
      <c r="K44" s="92"/>
      <c r="L44" s="92"/>
    </row>
    <row r="45" spans="1:22">
      <c r="A45" s="17"/>
      <c r="B45" s="100"/>
      <c r="C45" s="17"/>
      <c r="D45" s="106"/>
      <c r="E45" s="84"/>
      <c r="F45" s="84"/>
      <c r="G45" s="89"/>
      <c r="H45" s="17"/>
      <c r="I45" s="87"/>
      <c r="J45" s="87"/>
      <c r="K45" s="88"/>
      <c r="L45" s="88"/>
    </row>
    <row r="46" spans="1:22">
      <c r="A46" s="99"/>
      <c r="B46" s="100"/>
      <c r="C46" s="17"/>
      <c r="D46" s="106"/>
      <c r="E46" s="84"/>
      <c r="F46" s="84"/>
      <c r="G46" s="96"/>
      <c r="H46" s="17"/>
      <c r="I46" s="90"/>
      <c r="J46" s="90"/>
      <c r="K46" s="97"/>
      <c r="L46" s="97"/>
    </row>
    <row r="47" spans="1:22">
      <c r="A47" s="99"/>
      <c r="B47" s="100"/>
      <c r="C47" s="17"/>
      <c r="D47" s="106"/>
      <c r="E47" s="84"/>
      <c r="F47" s="84"/>
      <c r="G47" s="17"/>
      <c r="H47" s="17"/>
      <c r="I47" s="17"/>
      <c r="J47" s="17"/>
      <c r="K47" s="85"/>
      <c r="L47" s="85"/>
    </row>
    <row r="48" spans="1:22">
      <c r="A48" s="99"/>
      <c r="B48" s="100"/>
      <c r="C48" s="17"/>
      <c r="D48" s="106"/>
      <c r="E48" s="84"/>
      <c r="F48" s="84"/>
      <c r="G48" s="17"/>
      <c r="H48" s="17"/>
      <c r="I48" s="17"/>
      <c r="J48" s="17"/>
      <c r="K48" s="85"/>
      <c r="L48" s="85"/>
    </row>
    <row r="49" spans="1:12">
      <c r="A49" s="99"/>
      <c r="B49" s="100"/>
      <c r="C49" s="17"/>
      <c r="D49" s="106"/>
      <c r="E49" s="84"/>
      <c r="F49" s="84"/>
      <c r="G49" s="17"/>
      <c r="H49" s="17"/>
      <c r="I49" s="17"/>
      <c r="J49" s="17"/>
      <c r="K49" s="92"/>
      <c r="L49" s="92"/>
    </row>
    <row r="50" spans="1:12">
      <c r="A50" s="99"/>
      <c r="B50" s="100"/>
      <c r="C50" s="17"/>
      <c r="D50" s="106"/>
      <c r="E50" s="84"/>
      <c r="F50" s="84"/>
      <c r="G50" s="89"/>
      <c r="H50" s="17"/>
      <c r="I50" s="87"/>
      <c r="J50" s="87"/>
      <c r="K50" s="88"/>
      <c r="L50" s="88"/>
    </row>
    <row r="51" spans="1:12">
      <c r="C51" s="17"/>
      <c r="D51" s="106"/>
      <c r="E51" s="84"/>
      <c r="F51" s="84"/>
      <c r="G51" s="17"/>
      <c r="H51" s="17"/>
      <c r="I51" s="17"/>
      <c r="J51" s="17"/>
      <c r="K51" s="85"/>
      <c r="L51" s="85"/>
    </row>
    <row r="52" spans="1:12">
      <c r="C52" s="17"/>
      <c r="D52" s="106"/>
      <c r="E52" s="84"/>
      <c r="F52" s="84"/>
      <c r="G52" s="17"/>
      <c r="H52" s="17"/>
      <c r="I52" s="17"/>
      <c r="J52" s="17"/>
      <c r="K52" s="85"/>
      <c r="L52" s="85"/>
    </row>
    <row r="53" spans="1:12">
      <c r="C53" s="17"/>
      <c r="D53" s="106"/>
      <c r="E53" s="84"/>
      <c r="F53" s="84"/>
      <c r="G53" s="17"/>
      <c r="H53" s="17"/>
      <c r="I53" s="17"/>
      <c r="J53" s="17"/>
      <c r="K53" s="92"/>
      <c r="L53" s="92"/>
    </row>
    <row r="54" spans="1:12">
      <c r="C54" s="17"/>
      <c r="D54" s="106"/>
      <c r="E54" s="84"/>
      <c r="F54" s="84"/>
      <c r="G54" s="89"/>
      <c r="H54" s="17"/>
      <c r="I54" s="87"/>
      <c r="J54" s="87"/>
      <c r="K54" s="88"/>
      <c r="L54" s="88"/>
    </row>
    <row r="55" spans="1:12">
      <c r="C55" s="17"/>
      <c r="D55" s="106"/>
      <c r="E55" s="84"/>
      <c r="F55" s="84"/>
      <c r="G55" s="17"/>
      <c r="H55" s="17"/>
      <c r="I55" s="17"/>
      <c r="J55" s="17"/>
      <c r="K55" s="85"/>
      <c r="L55" s="85"/>
    </row>
    <row r="56" spans="1:12">
      <c r="C56" s="17"/>
      <c r="D56" s="106"/>
      <c r="E56" s="84"/>
      <c r="F56" s="84"/>
      <c r="G56" s="17"/>
      <c r="H56" s="17"/>
      <c r="I56" s="17"/>
      <c r="J56" s="17"/>
      <c r="K56" s="85"/>
      <c r="L56" s="85"/>
    </row>
    <row r="57" spans="1:12">
      <c r="C57" s="17"/>
      <c r="D57" s="106"/>
      <c r="E57" s="84"/>
      <c r="F57" s="84"/>
      <c r="G57" s="17"/>
      <c r="H57" s="17"/>
      <c r="I57" s="17"/>
      <c r="J57" s="17"/>
      <c r="K57" s="92"/>
      <c r="L57" s="92"/>
    </row>
    <row r="58" spans="1:12">
      <c r="C58" s="17"/>
      <c r="D58" s="106"/>
      <c r="E58" s="84"/>
      <c r="F58" s="84"/>
      <c r="G58" s="89"/>
      <c r="H58" s="17"/>
      <c r="I58" s="87"/>
      <c r="J58" s="87"/>
      <c r="K58" s="88"/>
      <c r="L58" s="88"/>
    </row>
  </sheetData>
  <mergeCells count="6">
    <mergeCell ref="A28:A34"/>
    <mergeCell ref="A1:S1"/>
    <mergeCell ref="A3:A8"/>
    <mergeCell ref="A9:A14"/>
    <mergeCell ref="A15:A21"/>
    <mergeCell ref="A22:A27"/>
  </mergeCells>
  <pageMargins left="0.7" right="0.7" top="0.75" bottom="0.75" header="0.3" footer="0.3"/>
  <pageSetup scale="88"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sheetPr>
  <dimension ref="A1:K38"/>
  <sheetViews>
    <sheetView workbookViewId="0">
      <selection activeCell="F40" sqref="F40"/>
    </sheetView>
  </sheetViews>
  <sheetFormatPr defaultRowHeight="12.5"/>
  <cols>
    <col min="1" max="1" width="15.6328125" bestFit="1" customWidth="1"/>
    <col min="2" max="2" width="25.54296875" bestFit="1" customWidth="1"/>
    <col min="3" max="3" width="22.36328125" bestFit="1" customWidth="1"/>
    <col min="4" max="4" width="8.08984375" bestFit="1" customWidth="1"/>
    <col min="5" max="5" width="4.90625" bestFit="1" customWidth="1"/>
    <col min="6" max="6" width="4.54296875" bestFit="1" customWidth="1"/>
    <col min="7" max="7" width="9.453125" customWidth="1"/>
    <col min="8" max="9" width="11.36328125" bestFit="1" customWidth="1"/>
    <col min="10" max="10" width="10.36328125" bestFit="1" customWidth="1"/>
    <col min="11" max="11" width="10.08984375" bestFit="1" customWidth="1"/>
  </cols>
  <sheetData>
    <row r="1" spans="1:11" ht="13">
      <c r="A1" s="91" t="s">
        <v>752</v>
      </c>
      <c r="B1" s="59" t="s">
        <v>10</v>
      </c>
      <c r="C1" s="59" t="s">
        <v>851</v>
      </c>
      <c r="D1" s="607" t="s">
        <v>1077</v>
      </c>
      <c r="E1" s="607" t="s">
        <v>1078</v>
      </c>
      <c r="F1" s="53"/>
      <c r="G1" s="608">
        <v>41361</v>
      </c>
      <c r="H1" s="609">
        <v>41417</v>
      </c>
      <c r="I1" s="609">
        <v>41480</v>
      </c>
      <c r="J1" s="609">
        <v>41543</v>
      </c>
      <c r="K1" s="609">
        <v>41603</v>
      </c>
    </row>
    <row r="2" spans="1:11">
      <c r="A2" s="1236" t="s">
        <v>1049</v>
      </c>
      <c r="B2" s="611" t="s">
        <v>206</v>
      </c>
      <c r="C2" s="612" t="s">
        <v>1070</v>
      </c>
      <c r="D2" s="614">
        <v>6</v>
      </c>
      <c r="E2" s="614">
        <v>42</v>
      </c>
      <c r="F2" s="595" t="s">
        <v>1071</v>
      </c>
      <c r="G2" s="771">
        <v>12421</v>
      </c>
      <c r="H2" s="772">
        <v>6513</v>
      </c>
      <c r="I2" s="772">
        <v>5382</v>
      </c>
      <c r="J2" s="773">
        <v>5355</v>
      </c>
      <c r="K2" s="776">
        <v>8464</v>
      </c>
    </row>
    <row r="3" spans="1:11">
      <c r="A3" s="1237"/>
      <c r="B3" s="595" t="s">
        <v>185</v>
      </c>
      <c r="C3" s="595" t="s">
        <v>563</v>
      </c>
      <c r="D3" s="614">
        <v>2</v>
      </c>
      <c r="E3" s="614">
        <v>14</v>
      </c>
      <c r="F3" s="613" t="s">
        <v>1071</v>
      </c>
      <c r="G3" s="771">
        <v>10427</v>
      </c>
      <c r="H3" s="772">
        <v>5433</v>
      </c>
      <c r="I3" s="772">
        <v>4513</v>
      </c>
      <c r="J3" s="773">
        <v>3588</v>
      </c>
      <c r="K3" s="776">
        <v>6824</v>
      </c>
    </row>
    <row r="4" spans="1:11">
      <c r="A4" s="1237"/>
      <c r="B4" s="595" t="s">
        <v>245</v>
      </c>
      <c r="C4" s="595" t="s">
        <v>1072</v>
      </c>
      <c r="D4" s="330">
        <v>3</v>
      </c>
      <c r="E4" s="330">
        <v>21</v>
      </c>
      <c r="F4" s="595" t="s">
        <v>1071</v>
      </c>
      <c r="G4" s="771">
        <v>32</v>
      </c>
      <c r="H4" s="772">
        <v>49</v>
      </c>
      <c r="I4" s="772">
        <v>37</v>
      </c>
      <c r="J4" s="773">
        <v>217</v>
      </c>
      <c r="K4" s="776">
        <v>130</v>
      </c>
    </row>
    <row r="5" spans="1:11">
      <c r="A5" s="1238"/>
      <c r="B5" s="595" t="s">
        <v>179</v>
      </c>
      <c r="C5" s="612" t="s">
        <v>1073</v>
      </c>
      <c r="D5" s="614">
        <v>2</v>
      </c>
      <c r="E5" s="614">
        <v>14</v>
      </c>
      <c r="F5" s="613" t="s">
        <v>1071</v>
      </c>
      <c r="G5" s="771">
        <v>103</v>
      </c>
      <c r="H5" s="772">
        <v>158</v>
      </c>
      <c r="I5" s="772">
        <v>479</v>
      </c>
      <c r="J5" s="773">
        <v>67</v>
      </c>
      <c r="K5" s="776">
        <v>178</v>
      </c>
    </row>
    <row r="6" spans="1:11">
      <c r="A6" s="1236" t="s">
        <v>1074</v>
      </c>
      <c r="B6" s="611" t="s">
        <v>206</v>
      </c>
      <c r="C6" s="612" t="s">
        <v>1070</v>
      </c>
      <c r="D6" s="614">
        <v>6</v>
      </c>
      <c r="E6" s="614">
        <v>42</v>
      </c>
      <c r="F6" s="595" t="s">
        <v>1071</v>
      </c>
      <c r="G6" s="771">
        <v>3104</v>
      </c>
      <c r="H6" s="772">
        <v>2554</v>
      </c>
      <c r="I6" s="772">
        <v>2532</v>
      </c>
      <c r="J6" s="773">
        <v>5288</v>
      </c>
      <c r="K6" s="776">
        <v>5801</v>
      </c>
    </row>
    <row r="7" spans="1:11">
      <c r="A7" s="1237"/>
      <c r="B7" s="595" t="s">
        <v>185</v>
      </c>
      <c r="C7" s="595" t="s">
        <v>563</v>
      </c>
      <c r="D7" s="614">
        <v>2</v>
      </c>
      <c r="E7" s="614">
        <v>14</v>
      </c>
      <c r="F7" s="613" t="s">
        <v>1071</v>
      </c>
      <c r="G7" s="771">
        <v>1781</v>
      </c>
      <c r="H7" s="772">
        <v>1062</v>
      </c>
      <c r="I7" s="772">
        <v>999</v>
      </c>
      <c r="J7" s="773">
        <v>2770</v>
      </c>
      <c r="K7" s="776">
        <v>1055</v>
      </c>
    </row>
    <row r="8" spans="1:11">
      <c r="A8" s="1237"/>
      <c r="B8" s="595" t="s">
        <v>245</v>
      </c>
      <c r="C8" s="595" t="s">
        <v>1072</v>
      </c>
      <c r="D8" s="330">
        <v>3</v>
      </c>
      <c r="E8" s="330">
        <v>21</v>
      </c>
      <c r="F8" s="595" t="s">
        <v>1071</v>
      </c>
      <c r="G8" s="771">
        <v>29</v>
      </c>
      <c r="H8" s="772">
        <v>385</v>
      </c>
      <c r="I8" s="772">
        <v>173</v>
      </c>
      <c r="J8" s="773">
        <v>745</v>
      </c>
      <c r="K8" s="776">
        <v>3294</v>
      </c>
    </row>
    <row r="9" spans="1:11">
      <c r="A9" s="1238"/>
      <c r="B9" s="595" t="s">
        <v>179</v>
      </c>
      <c r="C9" s="612" t="s">
        <v>1073</v>
      </c>
      <c r="D9" s="614">
        <v>2</v>
      </c>
      <c r="E9" s="614">
        <v>14</v>
      </c>
      <c r="F9" s="613" t="s">
        <v>1071</v>
      </c>
      <c r="G9" s="771">
        <v>106</v>
      </c>
      <c r="H9" s="772">
        <v>134</v>
      </c>
      <c r="I9" s="772">
        <v>147</v>
      </c>
      <c r="J9" s="773">
        <v>116</v>
      </c>
      <c r="K9" s="776">
        <v>225</v>
      </c>
    </row>
    <row r="10" spans="1:11">
      <c r="A10" s="1236" t="s">
        <v>1075</v>
      </c>
      <c r="B10" s="611" t="s">
        <v>206</v>
      </c>
      <c r="C10" s="612" t="s">
        <v>1070</v>
      </c>
      <c r="D10" s="614">
        <v>6</v>
      </c>
      <c r="E10" s="614">
        <v>42</v>
      </c>
      <c r="F10" s="595" t="s">
        <v>1071</v>
      </c>
      <c r="G10" s="771">
        <v>22097</v>
      </c>
      <c r="H10" s="772">
        <v>13393</v>
      </c>
      <c r="I10" s="772">
        <v>22973</v>
      </c>
      <c r="J10" s="773">
        <v>11867</v>
      </c>
      <c r="K10" s="776">
        <v>20678</v>
      </c>
    </row>
    <row r="11" spans="1:11">
      <c r="A11" s="1237"/>
      <c r="B11" s="595" t="s">
        <v>185</v>
      </c>
      <c r="C11" s="595" t="s">
        <v>563</v>
      </c>
      <c r="D11" s="614">
        <v>2</v>
      </c>
      <c r="E11" s="614">
        <v>14</v>
      </c>
      <c r="F11" s="613" t="s">
        <v>1071</v>
      </c>
      <c r="G11" s="771">
        <v>17003</v>
      </c>
      <c r="H11" s="772">
        <v>11980</v>
      </c>
      <c r="I11" s="772">
        <v>19058</v>
      </c>
      <c r="J11" s="773">
        <v>7568</v>
      </c>
      <c r="K11" s="776">
        <v>17195</v>
      </c>
    </row>
    <row r="12" spans="1:11">
      <c r="A12" s="1237"/>
      <c r="B12" s="595" t="s">
        <v>245</v>
      </c>
      <c r="C12" s="595" t="s">
        <v>1072</v>
      </c>
      <c r="D12" s="330">
        <v>3</v>
      </c>
      <c r="E12" s="330">
        <v>21</v>
      </c>
      <c r="F12" s="595" t="s">
        <v>1071</v>
      </c>
      <c r="G12" s="771">
        <v>311</v>
      </c>
      <c r="H12" s="772">
        <v>143</v>
      </c>
      <c r="I12" s="772">
        <v>1887</v>
      </c>
      <c r="J12" s="773">
        <v>995</v>
      </c>
      <c r="K12" s="776">
        <v>1243</v>
      </c>
    </row>
    <row r="13" spans="1:11">
      <c r="A13" s="1238"/>
      <c r="B13" s="595" t="s">
        <v>179</v>
      </c>
      <c r="C13" s="612" t="s">
        <v>1073</v>
      </c>
      <c r="D13" s="614">
        <v>2</v>
      </c>
      <c r="E13" s="614">
        <v>14</v>
      </c>
      <c r="F13" s="613" t="s">
        <v>1071</v>
      </c>
      <c r="G13" s="771">
        <v>616</v>
      </c>
      <c r="H13" s="772">
        <v>517</v>
      </c>
      <c r="I13" s="772">
        <v>473</v>
      </c>
      <c r="J13" s="773">
        <v>340</v>
      </c>
      <c r="K13" s="776">
        <v>364</v>
      </c>
    </row>
    <row r="14" spans="1:11">
      <c r="A14" s="1236" t="s">
        <v>404</v>
      </c>
      <c r="B14" s="611" t="s">
        <v>206</v>
      </c>
      <c r="C14" s="612" t="s">
        <v>1070</v>
      </c>
      <c r="D14" s="614">
        <v>6</v>
      </c>
      <c r="E14" s="614">
        <v>42</v>
      </c>
      <c r="F14" s="595" t="s">
        <v>1071</v>
      </c>
      <c r="G14" s="771">
        <v>7279</v>
      </c>
      <c r="H14" s="772">
        <v>7615</v>
      </c>
      <c r="I14" s="772">
        <v>8491</v>
      </c>
      <c r="J14" s="773">
        <v>13758</v>
      </c>
      <c r="K14" s="776">
        <v>7137</v>
      </c>
    </row>
    <row r="15" spans="1:11">
      <c r="A15" s="1237"/>
      <c r="B15" s="595" t="s">
        <v>185</v>
      </c>
      <c r="C15" s="595" t="s">
        <v>563</v>
      </c>
      <c r="D15" s="614">
        <v>2</v>
      </c>
      <c r="E15" s="614">
        <v>14</v>
      </c>
      <c r="F15" s="613" t="s">
        <v>1071</v>
      </c>
      <c r="G15" s="771">
        <v>5374</v>
      </c>
      <c r="H15" s="772">
        <v>6781</v>
      </c>
      <c r="I15" s="772">
        <v>4179</v>
      </c>
      <c r="J15" s="773">
        <v>6616</v>
      </c>
      <c r="K15" s="776">
        <v>6765</v>
      </c>
    </row>
    <row r="16" spans="1:11">
      <c r="A16" s="1237"/>
      <c r="B16" s="595" t="s">
        <v>245</v>
      </c>
      <c r="C16" s="595" t="s">
        <v>1072</v>
      </c>
      <c r="D16" s="330">
        <v>3</v>
      </c>
      <c r="E16" s="330">
        <v>21</v>
      </c>
      <c r="F16" s="595" t="s">
        <v>1071</v>
      </c>
      <c r="G16" s="771">
        <v>66</v>
      </c>
      <c r="H16" s="772">
        <v>115</v>
      </c>
      <c r="I16" s="772">
        <v>219</v>
      </c>
      <c r="J16" s="773">
        <v>50</v>
      </c>
      <c r="K16" s="776">
        <v>106</v>
      </c>
    </row>
    <row r="17" spans="1:11">
      <c r="A17" s="1238"/>
      <c r="B17" s="595" t="s">
        <v>179</v>
      </c>
      <c r="C17" s="612" t="s">
        <v>1073</v>
      </c>
      <c r="D17" s="614">
        <v>2</v>
      </c>
      <c r="E17" s="614">
        <v>14</v>
      </c>
      <c r="F17" s="613" t="s">
        <v>1071</v>
      </c>
      <c r="G17" s="771">
        <v>246</v>
      </c>
      <c r="H17" s="772">
        <v>213</v>
      </c>
      <c r="I17" s="772">
        <v>272</v>
      </c>
      <c r="J17" s="773">
        <v>218</v>
      </c>
      <c r="K17" s="776">
        <v>206</v>
      </c>
    </row>
    <row r="18" spans="1:11">
      <c r="A18" s="1236" t="s">
        <v>1076</v>
      </c>
      <c r="B18" s="611" t="s">
        <v>206</v>
      </c>
      <c r="C18" s="612" t="s">
        <v>1070</v>
      </c>
      <c r="D18" s="614">
        <v>6</v>
      </c>
      <c r="E18" s="614">
        <v>42</v>
      </c>
      <c r="F18" s="595" t="s">
        <v>1071</v>
      </c>
      <c r="G18" s="771">
        <v>13045</v>
      </c>
      <c r="H18" s="772">
        <v>6642</v>
      </c>
      <c r="I18" s="772">
        <v>7605</v>
      </c>
      <c r="J18" s="773">
        <v>25009</v>
      </c>
      <c r="K18" s="776">
        <v>30193</v>
      </c>
    </row>
    <row r="19" spans="1:11">
      <c r="A19" s="1237"/>
      <c r="B19" s="595" t="s">
        <v>185</v>
      </c>
      <c r="C19" s="595" t="s">
        <v>563</v>
      </c>
      <c r="D19" s="614">
        <v>2</v>
      </c>
      <c r="E19" s="614">
        <v>14</v>
      </c>
      <c r="F19" s="613" t="s">
        <v>1071</v>
      </c>
      <c r="G19" s="771">
        <v>5828</v>
      </c>
      <c r="H19" s="772">
        <v>4911</v>
      </c>
      <c r="I19" s="772">
        <v>5959</v>
      </c>
      <c r="J19" s="773">
        <v>16539</v>
      </c>
      <c r="K19" s="776">
        <v>25392</v>
      </c>
    </row>
    <row r="20" spans="1:11">
      <c r="A20" s="1237"/>
      <c r="B20" s="595" t="s">
        <v>245</v>
      </c>
      <c r="C20" s="595" t="s">
        <v>1072</v>
      </c>
      <c r="D20" s="330">
        <v>3</v>
      </c>
      <c r="E20" s="330">
        <v>21</v>
      </c>
      <c r="F20" s="595" t="s">
        <v>1071</v>
      </c>
      <c r="G20" s="771">
        <v>56</v>
      </c>
      <c r="H20" s="772">
        <v>414</v>
      </c>
      <c r="I20" s="772">
        <v>63</v>
      </c>
      <c r="J20" s="773">
        <v>168</v>
      </c>
      <c r="K20" s="776">
        <v>228</v>
      </c>
    </row>
    <row r="21" spans="1:11">
      <c r="A21" s="1238"/>
      <c r="B21" s="595" t="s">
        <v>179</v>
      </c>
      <c r="C21" s="612" t="s">
        <v>1073</v>
      </c>
      <c r="D21" s="614">
        <v>2</v>
      </c>
      <c r="E21" s="614">
        <v>14</v>
      </c>
      <c r="F21" s="613" t="s">
        <v>1071</v>
      </c>
      <c r="G21" s="771">
        <v>2579</v>
      </c>
      <c r="H21" s="772">
        <v>190</v>
      </c>
      <c r="I21" s="772">
        <v>120</v>
      </c>
      <c r="J21" s="773">
        <v>405</v>
      </c>
      <c r="K21" s="776">
        <v>502</v>
      </c>
    </row>
    <row r="22" spans="1:11">
      <c r="A22" s="1236" t="s">
        <v>1382</v>
      </c>
      <c r="B22" s="611" t="s">
        <v>206</v>
      </c>
      <c r="C22" s="612" t="s">
        <v>1070</v>
      </c>
      <c r="D22" s="614">
        <v>6</v>
      </c>
      <c r="E22" s="614">
        <v>42</v>
      </c>
      <c r="F22" s="613" t="s">
        <v>1071</v>
      </c>
      <c r="G22" s="774" t="s">
        <v>1079</v>
      </c>
      <c r="H22" s="772">
        <v>1402</v>
      </c>
      <c r="I22" s="772">
        <v>5093</v>
      </c>
      <c r="J22" s="773">
        <v>2117</v>
      </c>
      <c r="K22" s="776">
        <v>2035</v>
      </c>
    </row>
    <row r="23" spans="1:11">
      <c r="A23" s="1237"/>
      <c r="B23" s="595" t="s">
        <v>185</v>
      </c>
      <c r="C23" s="595" t="s">
        <v>563</v>
      </c>
      <c r="D23" s="614">
        <v>2</v>
      </c>
      <c r="E23" s="614">
        <v>14</v>
      </c>
      <c r="F23" s="613" t="s">
        <v>1071</v>
      </c>
      <c r="G23" s="774" t="s">
        <v>1079</v>
      </c>
      <c r="H23" s="772">
        <v>815</v>
      </c>
      <c r="I23" s="772">
        <v>1972</v>
      </c>
      <c r="J23" s="773">
        <v>1093</v>
      </c>
      <c r="K23" s="776">
        <v>1242</v>
      </c>
    </row>
    <row r="24" spans="1:11">
      <c r="A24" s="1237"/>
      <c r="B24" s="595" t="s">
        <v>245</v>
      </c>
      <c r="C24" s="595" t="s">
        <v>1072</v>
      </c>
      <c r="D24" s="330">
        <v>3</v>
      </c>
      <c r="E24" s="330">
        <v>21</v>
      </c>
      <c r="F24" s="613" t="s">
        <v>1071</v>
      </c>
      <c r="G24" s="774" t="s">
        <v>1079</v>
      </c>
      <c r="H24" s="772">
        <v>29</v>
      </c>
      <c r="I24" s="772">
        <v>440</v>
      </c>
      <c r="J24" s="773">
        <v>114</v>
      </c>
      <c r="K24" s="776">
        <v>75</v>
      </c>
    </row>
    <row r="25" spans="1:11">
      <c r="A25" s="1238"/>
      <c r="B25" s="595" t="s">
        <v>179</v>
      </c>
      <c r="C25" s="612" t="s">
        <v>1073</v>
      </c>
      <c r="D25" s="614">
        <v>2</v>
      </c>
      <c r="E25" s="614">
        <v>14</v>
      </c>
      <c r="F25" s="613" t="s">
        <v>1071</v>
      </c>
      <c r="G25" s="774" t="s">
        <v>1079</v>
      </c>
      <c r="H25" s="772">
        <v>31</v>
      </c>
      <c r="I25" s="772">
        <v>687</v>
      </c>
      <c r="J25" s="773">
        <v>44</v>
      </c>
      <c r="K25" s="775">
        <v>59</v>
      </c>
    </row>
    <row r="26" spans="1:11">
      <c r="A26" s="1240" t="s">
        <v>1446</v>
      </c>
      <c r="B26" s="611" t="s">
        <v>206</v>
      </c>
      <c r="C26" s="612" t="s">
        <v>1070</v>
      </c>
      <c r="D26" s="614">
        <v>6</v>
      </c>
      <c r="E26" s="614">
        <v>42</v>
      </c>
      <c r="F26" s="613" t="s">
        <v>1071</v>
      </c>
      <c r="G26" s="772">
        <v>13663</v>
      </c>
      <c r="H26" s="819"/>
      <c r="I26" s="819"/>
      <c r="J26" s="820"/>
      <c r="K26" s="821"/>
    </row>
    <row r="27" spans="1:11">
      <c r="A27" s="1240"/>
      <c r="B27" s="595" t="s">
        <v>185</v>
      </c>
      <c r="C27" s="595" t="s">
        <v>563</v>
      </c>
      <c r="D27" s="614">
        <v>2</v>
      </c>
      <c r="E27" s="614">
        <v>14</v>
      </c>
      <c r="F27" s="613" t="s">
        <v>1071</v>
      </c>
      <c r="G27" s="772">
        <v>13418</v>
      </c>
      <c r="H27" s="819"/>
      <c r="I27" s="819"/>
      <c r="J27" s="820"/>
      <c r="K27" s="821"/>
    </row>
    <row r="28" spans="1:11">
      <c r="A28" s="1240"/>
      <c r="B28" s="595" t="s">
        <v>245</v>
      </c>
      <c r="C28" s="595" t="s">
        <v>1072</v>
      </c>
      <c r="D28" s="330">
        <v>3</v>
      </c>
      <c r="E28" s="330">
        <v>21</v>
      </c>
      <c r="F28" s="613" t="s">
        <v>1071</v>
      </c>
      <c r="G28" s="774">
        <v>6</v>
      </c>
      <c r="H28" s="819"/>
      <c r="I28" s="819"/>
      <c r="J28" s="820"/>
      <c r="K28" s="821"/>
    </row>
    <row r="29" spans="1:11">
      <c r="A29" s="1240"/>
      <c r="B29" s="595" t="s">
        <v>179</v>
      </c>
      <c r="C29" s="612" t="s">
        <v>1073</v>
      </c>
      <c r="D29" s="614">
        <v>2</v>
      </c>
      <c r="E29" s="614">
        <v>14</v>
      </c>
      <c r="F29" s="613" t="s">
        <v>1071</v>
      </c>
      <c r="G29" s="822">
        <v>2</v>
      </c>
    </row>
    <row r="30" spans="1:11">
      <c r="A30" s="17" t="s">
        <v>1080</v>
      </c>
    </row>
    <row r="32" spans="1:11">
      <c r="A32" s="1239" t="s">
        <v>1346</v>
      </c>
      <c r="B32" s="1239"/>
      <c r="C32" s="741">
        <v>2013</v>
      </c>
    </row>
    <row r="33" spans="1:3">
      <c r="A33" s="610" t="s">
        <v>1049</v>
      </c>
      <c r="B33" s="769">
        <v>5</v>
      </c>
      <c r="C33" s="777">
        <v>500</v>
      </c>
    </row>
    <row r="34" spans="1:3">
      <c r="A34" s="610" t="s">
        <v>1074</v>
      </c>
      <c r="B34" s="770">
        <v>5</v>
      </c>
      <c r="C34" s="777">
        <v>500</v>
      </c>
    </row>
    <row r="35" spans="1:3">
      <c r="A35" s="610" t="s">
        <v>1075</v>
      </c>
      <c r="B35" s="770">
        <v>5</v>
      </c>
      <c r="C35" s="777">
        <v>500</v>
      </c>
    </row>
    <row r="36" spans="1:3">
      <c r="A36" s="610" t="s">
        <v>404</v>
      </c>
      <c r="B36" s="770">
        <v>5</v>
      </c>
      <c r="C36" s="777">
        <v>500</v>
      </c>
    </row>
    <row r="37" spans="1:3">
      <c r="A37" s="610" t="s">
        <v>1076</v>
      </c>
      <c r="B37" s="769">
        <v>5</v>
      </c>
      <c r="C37" s="777">
        <v>500</v>
      </c>
    </row>
    <row r="38" spans="1:3">
      <c r="A38" s="610" t="s">
        <v>1382</v>
      </c>
      <c r="B38" s="770">
        <v>4</v>
      </c>
      <c r="C38" s="778">
        <v>400</v>
      </c>
    </row>
  </sheetData>
  <mergeCells count="8">
    <mergeCell ref="A10:A13"/>
    <mergeCell ref="A6:A9"/>
    <mergeCell ref="A2:A5"/>
    <mergeCell ref="A32:B32"/>
    <mergeCell ref="A26:A29"/>
    <mergeCell ref="A22:A25"/>
    <mergeCell ref="A18:A21"/>
    <mergeCell ref="A14:A17"/>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pageSetUpPr fitToPage="1"/>
  </sheetPr>
  <dimension ref="A1:BD103"/>
  <sheetViews>
    <sheetView zoomScaleNormal="100" workbookViewId="0">
      <selection activeCell="AU22" sqref="AU22:BD26"/>
    </sheetView>
  </sheetViews>
  <sheetFormatPr defaultRowHeight="12.5"/>
  <cols>
    <col min="1" max="1" width="13.453125" bestFit="1" customWidth="1"/>
    <col min="2" max="2" width="9.08984375" bestFit="1" customWidth="1"/>
    <col min="3" max="3" width="61.08984375" style="173" customWidth="1"/>
    <col min="4" max="4" width="7.81640625" style="173" bestFit="1" customWidth="1"/>
    <col min="5" max="5" width="9.54296875" style="173" customWidth="1"/>
    <col min="6" max="6" width="10.36328125" style="173" customWidth="1"/>
    <col min="7" max="7" width="7.453125" style="173" customWidth="1"/>
    <col min="8" max="9" width="7.54296875" style="173" customWidth="1"/>
    <col min="10" max="10" width="9.36328125" style="173" customWidth="1"/>
    <col min="11" max="11" width="7.54296875" style="173" customWidth="1"/>
    <col min="12" max="12" width="7.54296875" customWidth="1"/>
    <col min="13" max="13" width="9.6328125" customWidth="1"/>
    <col min="14" max="14" width="9.54296875" customWidth="1"/>
    <col min="15" max="15" width="6.453125" customWidth="1"/>
    <col min="16" max="16" width="8.36328125" customWidth="1"/>
    <col min="17" max="17" width="5.54296875" customWidth="1"/>
    <col min="18" max="18" width="9.453125" customWidth="1"/>
    <col min="19" max="19" width="6.90625" customWidth="1"/>
    <col min="20" max="20" width="8.36328125" customWidth="1"/>
    <col min="21" max="21" width="6.54296875" bestFit="1" customWidth="1"/>
    <col min="22" max="22" width="9.453125" customWidth="1"/>
    <col min="23" max="23" width="6.54296875" customWidth="1"/>
    <col min="24" max="24" width="7.90625" customWidth="1"/>
    <col min="25" max="25" width="5.90625" customWidth="1"/>
    <col min="26" max="26" width="9.90625" customWidth="1"/>
    <col min="27" max="27" width="7.90625" customWidth="1"/>
    <col min="28" max="28" width="9" customWidth="1"/>
    <col min="29" max="29" width="6.6328125" customWidth="1"/>
    <col min="30" max="36" width="9" bestFit="1" customWidth="1"/>
    <col min="37" max="37" width="8.1796875" customWidth="1"/>
    <col min="38" max="39" width="9" bestFit="1" customWidth="1"/>
    <col min="45" max="45" width="12.90625" bestFit="1" customWidth="1"/>
    <col min="46" max="46" width="8.6328125" bestFit="1" customWidth="1"/>
    <col min="47" max="47" width="52.54296875" bestFit="1" customWidth="1"/>
    <col min="48" max="48" width="9.08984375" bestFit="1" customWidth="1"/>
    <col min="49" max="49" width="12.453125" bestFit="1" customWidth="1"/>
    <col min="50" max="50" width="12.1796875" bestFit="1" customWidth="1"/>
    <col min="51" max="51" width="10.36328125" bestFit="1" customWidth="1"/>
    <col min="52" max="54" width="9.08984375" bestFit="1" customWidth="1"/>
    <col min="55" max="56" width="10.08984375" bestFit="1" customWidth="1"/>
  </cols>
  <sheetData>
    <row r="1" spans="1:51">
      <c r="B1" s="1242" t="s">
        <v>259</v>
      </c>
      <c r="C1" s="1255" t="s">
        <v>260</v>
      </c>
      <c r="D1" s="1252">
        <v>41361</v>
      </c>
      <c r="E1" s="1253"/>
      <c r="F1" s="1253"/>
      <c r="G1" s="1254"/>
      <c r="H1" s="1252">
        <v>41389</v>
      </c>
      <c r="I1" s="1253"/>
      <c r="J1" s="1253"/>
      <c r="K1" s="1254"/>
      <c r="L1" s="1252">
        <v>41415</v>
      </c>
      <c r="M1" s="1253"/>
      <c r="N1" s="1253"/>
      <c r="O1" s="1254"/>
      <c r="P1" s="1252">
        <v>41443</v>
      </c>
      <c r="Q1" s="1253"/>
      <c r="R1" s="1253"/>
      <c r="S1" s="1254"/>
      <c r="T1" s="1252">
        <v>41478</v>
      </c>
      <c r="U1" s="1253"/>
      <c r="V1" s="1253"/>
      <c r="W1" s="1254"/>
      <c r="X1" s="1252">
        <v>41513</v>
      </c>
      <c r="Y1" s="1253"/>
      <c r="Z1" s="1253"/>
      <c r="AA1" s="1254"/>
      <c r="AB1" s="1252">
        <v>41542</v>
      </c>
      <c r="AC1" s="1253"/>
      <c r="AD1" s="1253"/>
      <c r="AE1" s="1254"/>
      <c r="AF1" s="1252">
        <v>41570</v>
      </c>
      <c r="AG1" s="1253"/>
      <c r="AH1" s="1253"/>
      <c r="AI1" s="1254"/>
      <c r="AJ1" s="1252">
        <v>41603</v>
      </c>
      <c r="AK1" s="1253"/>
      <c r="AL1" s="1253"/>
      <c r="AM1" s="1254"/>
      <c r="AN1" s="1247" t="s">
        <v>109</v>
      </c>
      <c r="AO1" s="1248"/>
      <c r="AP1" s="1248"/>
      <c r="AQ1" s="1248"/>
      <c r="AT1" s="1242" t="s">
        <v>259</v>
      </c>
      <c r="AU1" s="1244" t="s">
        <v>260</v>
      </c>
      <c r="AV1" s="1241" t="s">
        <v>109</v>
      </c>
      <c r="AW1" s="1241"/>
      <c r="AX1" s="1241"/>
      <c r="AY1" s="1241"/>
    </row>
    <row r="2" spans="1:51" ht="37.5">
      <c r="B2" s="1243"/>
      <c r="C2" s="1256"/>
      <c r="D2" s="900" t="s">
        <v>284</v>
      </c>
      <c r="E2" s="900" t="s">
        <v>279</v>
      </c>
      <c r="F2" s="900" t="s">
        <v>280</v>
      </c>
      <c r="G2" s="900" t="s">
        <v>281</v>
      </c>
      <c r="H2" s="900" t="s">
        <v>284</v>
      </c>
      <c r="I2" s="900" t="s">
        <v>279</v>
      </c>
      <c r="J2" s="900" t="s">
        <v>280</v>
      </c>
      <c r="K2" s="900" t="s">
        <v>281</v>
      </c>
      <c r="L2" s="900" t="s">
        <v>284</v>
      </c>
      <c r="M2" s="900" t="s">
        <v>279</v>
      </c>
      <c r="N2" s="900" t="s">
        <v>280</v>
      </c>
      <c r="O2" s="900" t="s">
        <v>281</v>
      </c>
      <c r="P2" s="900" t="s">
        <v>284</v>
      </c>
      <c r="Q2" s="900" t="s">
        <v>279</v>
      </c>
      <c r="R2" s="900" t="s">
        <v>280</v>
      </c>
      <c r="S2" s="900" t="s">
        <v>281</v>
      </c>
      <c r="T2" s="900" t="s">
        <v>284</v>
      </c>
      <c r="U2" s="900" t="s">
        <v>279</v>
      </c>
      <c r="V2" s="900" t="s">
        <v>280</v>
      </c>
      <c r="W2" s="900" t="s">
        <v>281</v>
      </c>
      <c r="X2" s="900" t="s">
        <v>284</v>
      </c>
      <c r="Y2" s="900" t="s">
        <v>279</v>
      </c>
      <c r="Z2" s="900" t="s">
        <v>280</v>
      </c>
      <c r="AA2" s="900" t="s">
        <v>281</v>
      </c>
      <c r="AB2" s="900" t="s">
        <v>284</v>
      </c>
      <c r="AC2" s="900" t="s">
        <v>279</v>
      </c>
      <c r="AD2" s="900" t="s">
        <v>280</v>
      </c>
      <c r="AE2" s="900" t="s">
        <v>281</v>
      </c>
      <c r="AF2" s="900" t="s">
        <v>284</v>
      </c>
      <c r="AG2" s="900" t="s">
        <v>279</v>
      </c>
      <c r="AH2" s="900" t="s">
        <v>280</v>
      </c>
      <c r="AI2" s="900" t="s">
        <v>281</v>
      </c>
      <c r="AJ2" s="900" t="s">
        <v>284</v>
      </c>
      <c r="AK2" s="900" t="s">
        <v>279</v>
      </c>
      <c r="AL2" s="900" t="s">
        <v>280</v>
      </c>
      <c r="AM2" s="900" t="s">
        <v>281</v>
      </c>
      <c r="AN2" s="900" t="s">
        <v>284</v>
      </c>
      <c r="AO2" s="900" t="s">
        <v>279</v>
      </c>
      <c r="AP2" s="900" t="s">
        <v>280</v>
      </c>
      <c r="AQ2" s="900" t="s">
        <v>281</v>
      </c>
      <c r="AT2" s="1243"/>
      <c r="AU2" s="1245"/>
      <c r="AV2" s="137" t="s">
        <v>284</v>
      </c>
      <c r="AW2" s="137" t="s">
        <v>279</v>
      </c>
      <c r="AX2" s="137" t="s">
        <v>280</v>
      </c>
      <c r="AY2" s="137" t="s">
        <v>281</v>
      </c>
    </row>
    <row r="3" spans="1:51" ht="15">
      <c r="A3" s="1249" t="s">
        <v>261</v>
      </c>
      <c r="B3" s="894" t="s">
        <v>538</v>
      </c>
      <c r="C3" s="902" t="s">
        <v>587</v>
      </c>
      <c r="D3" s="1043"/>
      <c r="E3" s="1043"/>
      <c r="F3" s="1043"/>
      <c r="G3" s="1043"/>
      <c r="H3" s="1044"/>
      <c r="I3" s="1044"/>
      <c r="J3" s="1044"/>
      <c r="K3" s="1044"/>
      <c r="L3" s="1037">
        <v>289</v>
      </c>
      <c r="M3" s="1037">
        <v>27</v>
      </c>
      <c r="N3" s="1037">
        <v>21</v>
      </c>
      <c r="O3" s="1037">
        <v>25</v>
      </c>
      <c r="P3" s="1038">
        <v>195</v>
      </c>
      <c r="Q3" s="1038">
        <v>104</v>
      </c>
      <c r="R3" s="1038">
        <v>28</v>
      </c>
      <c r="S3" s="1038">
        <v>5</v>
      </c>
      <c r="T3" s="1037">
        <v>233</v>
      </c>
      <c r="U3" s="1037">
        <v>61</v>
      </c>
      <c r="V3" s="1037">
        <v>24</v>
      </c>
      <c r="W3" s="1039">
        <v>2</v>
      </c>
      <c r="X3" s="1038">
        <v>526</v>
      </c>
      <c r="Y3" s="1038">
        <v>105</v>
      </c>
      <c r="Z3" s="1038">
        <v>47</v>
      </c>
      <c r="AA3" s="1038">
        <v>34</v>
      </c>
      <c r="AB3" s="1037">
        <v>274</v>
      </c>
      <c r="AC3" s="1037">
        <v>121</v>
      </c>
      <c r="AD3" s="1037">
        <v>2</v>
      </c>
      <c r="AE3" s="1037">
        <v>16</v>
      </c>
      <c r="AF3" s="1038">
        <v>255</v>
      </c>
      <c r="AG3" s="1038">
        <v>152</v>
      </c>
      <c r="AH3" s="1038">
        <v>16</v>
      </c>
      <c r="AI3" s="1038">
        <v>2</v>
      </c>
      <c r="AJ3" s="1040"/>
      <c r="AK3" s="1040"/>
      <c r="AL3" s="1040"/>
      <c r="AM3" s="1040"/>
      <c r="AN3" s="53">
        <f>AVERAGE(AJ3,AF3,AB3,X3,T3,P3,L3,H3,D3)</f>
        <v>295.33333333333331</v>
      </c>
      <c r="AO3" s="53">
        <f>AVERAGE(AK3,AG3,AC3,Y3,U3,Q3,M3,I3,E3)</f>
        <v>95</v>
      </c>
      <c r="AP3" s="53">
        <f t="shared" ref="AP3:AQ18" si="0">AVERAGE(AL3,AH3,AD3,Z3,V3,R3,N3,J3,F3)</f>
        <v>23</v>
      </c>
      <c r="AQ3" s="53">
        <f t="shared" si="0"/>
        <v>14</v>
      </c>
      <c r="AS3" s="1246" t="s">
        <v>261</v>
      </c>
      <c r="AT3" s="894" t="s">
        <v>538</v>
      </c>
      <c r="AU3" s="902" t="s">
        <v>587</v>
      </c>
      <c r="AV3" s="53">
        <v>295.33333333333331</v>
      </c>
      <c r="AW3" s="53">
        <v>95</v>
      </c>
      <c r="AX3" s="53">
        <v>23</v>
      </c>
      <c r="AY3" s="53">
        <v>14</v>
      </c>
    </row>
    <row r="4" spans="1:51" ht="15">
      <c r="A4" s="1250"/>
      <c r="B4" s="901" t="s">
        <v>520</v>
      </c>
      <c r="C4" s="902" t="s">
        <v>577</v>
      </c>
      <c r="D4" s="1043"/>
      <c r="E4" s="1043"/>
      <c r="F4" s="1043"/>
      <c r="G4" s="1043"/>
      <c r="H4" s="1044"/>
      <c r="I4" s="1044"/>
      <c r="J4" s="1044"/>
      <c r="K4" s="1044"/>
      <c r="L4" s="1037">
        <v>341</v>
      </c>
      <c r="M4" s="1037">
        <v>16</v>
      </c>
      <c r="N4" s="1037">
        <v>28</v>
      </c>
      <c r="O4" s="1037">
        <v>36</v>
      </c>
      <c r="P4" s="1038">
        <v>150</v>
      </c>
      <c r="Q4" s="1038">
        <v>46</v>
      </c>
      <c r="R4" s="1038">
        <v>26</v>
      </c>
      <c r="S4" s="1038">
        <v>14</v>
      </c>
      <c r="T4" s="1037">
        <v>175</v>
      </c>
      <c r="U4" s="1037">
        <v>34</v>
      </c>
      <c r="V4" s="1037">
        <v>30</v>
      </c>
      <c r="W4" s="1037">
        <v>19</v>
      </c>
      <c r="X4" s="1038">
        <v>518</v>
      </c>
      <c r="Y4" s="1038">
        <v>89</v>
      </c>
      <c r="Z4" s="1038">
        <v>47</v>
      </c>
      <c r="AA4" s="1038">
        <v>42</v>
      </c>
      <c r="AB4" s="1037">
        <v>323</v>
      </c>
      <c r="AC4" s="1037">
        <v>94</v>
      </c>
      <c r="AD4" s="1037">
        <v>9</v>
      </c>
      <c r="AE4" s="1037">
        <v>20</v>
      </c>
      <c r="AF4" s="1038">
        <v>269</v>
      </c>
      <c r="AG4" s="1038">
        <v>101</v>
      </c>
      <c r="AH4" s="1038">
        <v>12</v>
      </c>
      <c r="AI4" s="1038">
        <v>2</v>
      </c>
      <c r="AJ4" s="1040">
        <v>166</v>
      </c>
      <c r="AK4" s="1040">
        <v>96</v>
      </c>
      <c r="AL4" s="1040">
        <v>39</v>
      </c>
      <c r="AM4" s="1040">
        <v>7</v>
      </c>
      <c r="AN4" s="53">
        <f t="shared" ref="AN4:AN19" si="1">AVERAGE(AJ4,AF4,AB4,X4,T4,P4,L4,H4,D4)</f>
        <v>277.42857142857144</v>
      </c>
      <c r="AO4" s="53">
        <f t="shared" ref="AO4:AO19" si="2">AVERAGE(AK4,AG4,AC4,Y4,U4,Q4,M4,I4,E4)</f>
        <v>68</v>
      </c>
      <c r="AP4" s="53">
        <f t="shared" si="0"/>
        <v>27.285714285714285</v>
      </c>
      <c r="AQ4" s="53">
        <f t="shared" si="0"/>
        <v>20</v>
      </c>
      <c r="AS4" s="1246"/>
      <c r="AT4" s="901" t="s">
        <v>520</v>
      </c>
      <c r="AU4" s="902" t="s">
        <v>577</v>
      </c>
      <c r="AV4" s="53">
        <v>277.42857142857144</v>
      </c>
      <c r="AW4" s="53">
        <v>68</v>
      </c>
      <c r="AX4" s="53">
        <v>27.285714285714285</v>
      </c>
      <c r="AY4" s="53">
        <v>20</v>
      </c>
    </row>
    <row r="5" spans="1:51" ht="15">
      <c r="A5" s="1251"/>
      <c r="B5" s="901" t="s">
        <v>262</v>
      </c>
      <c r="C5" s="920" t="s">
        <v>263</v>
      </c>
      <c r="D5" s="1045"/>
      <c r="E5" s="1045"/>
      <c r="F5" s="1045"/>
      <c r="G5" s="1045"/>
      <c r="H5" s="1046"/>
      <c r="I5" s="1046"/>
      <c r="J5" s="1046"/>
      <c r="K5" s="1046"/>
      <c r="L5" s="1037">
        <v>195</v>
      </c>
      <c r="M5" s="1037">
        <v>19</v>
      </c>
      <c r="N5" s="1037">
        <v>31</v>
      </c>
      <c r="O5" s="1037">
        <v>21</v>
      </c>
      <c r="P5" s="1038">
        <v>176</v>
      </c>
      <c r="Q5" s="1038">
        <v>11</v>
      </c>
      <c r="R5" s="1038">
        <v>26</v>
      </c>
      <c r="S5" s="1038">
        <v>15</v>
      </c>
      <c r="T5" s="1037">
        <v>205</v>
      </c>
      <c r="U5" s="1037">
        <v>41</v>
      </c>
      <c r="V5" s="1037">
        <v>21</v>
      </c>
      <c r="W5" s="1037">
        <v>13</v>
      </c>
      <c r="X5" s="1038">
        <v>543</v>
      </c>
      <c r="Y5" s="1038">
        <v>87</v>
      </c>
      <c r="Z5" s="1038">
        <v>59</v>
      </c>
      <c r="AA5" s="1038">
        <v>114</v>
      </c>
      <c r="AB5" s="1037">
        <v>414</v>
      </c>
      <c r="AC5" s="1037">
        <v>122</v>
      </c>
      <c r="AD5" s="1037">
        <v>19</v>
      </c>
      <c r="AE5" s="1037">
        <v>26</v>
      </c>
      <c r="AF5" s="1038">
        <v>245</v>
      </c>
      <c r="AG5" s="1038">
        <v>98</v>
      </c>
      <c r="AH5" s="1038">
        <v>8</v>
      </c>
      <c r="AI5" s="1038">
        <v>2</v>
      </c>
      <c r="AJ5" s="1040">
        <v>170</v>
      </c>
      <c r="AK5" s="1040">
        <v>80</v>
      </c>
      <c r="AL5" s="1040">
        <v>45</v>
      </c>
      <c r="AM5" s="1040">
        <v>23</v>
      </c>
      <c r="AN5" s="53">
        <f t="shared" si="1"/>
        <v>278.28571428571428</v>
      </c>
      <c r="AO5" s="53">
        <f t="shared" si="2"/>
        <v>65.428571428571431</v>
      </c>
      <c r="AP5" s="53">
        <f t="shared" si="0"/>
        <v>29.857142857142858</v>
      </c>
      <c r="AQ5" s="53">
        <f t="shared" si="0"/>
        <v>30.571428571428573</v>
      </c>
      <c r="AS5" s="1246"/>
      <c r="AT5" s="901" t="s">
        <v>262</v>
      </c>
      <c r="AU5" s="920" t="s">
        <v>263</v>
      </c>
      <c r="AV5" s="53">
        <v>278.28571428571428</v>
      </c>
      <c r="AW5" s="53">
        <v>65.428571428571431</v>
      </c>
      <c r="AX5" s="53">
        <v>29.857142857142858</v>
      </c>
      <c r="AY5" s="53">
        <v>30.571428571428573</v>
      </c>
    </row>
    <row r="6" spans="1:51" ht="15">
      <c r="A6" s="904" t="s">
        <v>270</v>
      </c>
      <c r="B6" s="901" t="s">
        <v>256</v>
      </c>
      <c r="C6" s="903" t="s">
        <v>271</v>
      </c>
      <c r="D6" s="1045"/>
      <c r="E6" s="1045"/>
      <c r="F6" s="1045"/>
      <c r="G6" s="1045"/>
      <c r="H6" s="1046"/>
      <c r="I6" s="1046"/>
      <c r="J6" s="1046"/>
      <c r="K6" s="1046"/>
      <c r="L6" s="990"/>
      <c r="M6" s="990"/>
      <c r="N6" s="990"/>
      <c r="O6" s="990"/>
      <c r="P6" s="1038">
        <v>62</v>
      </c>
      <c r="Q6" s="1038">
        <v>2</v>
      </c>
      <c r="R6" s="1038">
        <v>26</v>
      </c>
      <c r="S6" s="1038">
        <v>15</v>
      </c>
      <c r="T6" s="1037">
        <v>154</v>
      </c>
      <c r="U6" s="1037">
        <v>6</v>
      </c>
      <c r="V6" s="1037">
        <v>22</v>
      </c>
      <c r="W6" s="1037">
        <v>12</v>
      </c>
      <c r="X6" s="1038">
        <v>353</v>
      </c>
      <c r="Y6" s="1038">
        <v>27</v>
      </c>
      <c r="Z6" s="1038">
        <v>47</v>
      </c>
      <c r="AA6" s="1038">
        <v>30</v>
      </c>
      <c r="AB6" s="1037">
        <v>260</v>
      </c>
      <c r="AC6" s="1037">
        <v>37</v>
      </c>
      <c r="AD6" s="1037">
        <v>16</v>
      </c>
      <c r="AE6" s="1037">
        <v>23</v>
      </c>
      <c r="AF6" s="1038">
        <v>175</v>
      </c>
      <c r="AG6" s="1038">
        <v>57</v>
      </c>
      <c r="AH6" s="1038">
        <v>35</v>
      </c>
      <c r="AI6" s="1038">
        <v>2</v>
      </c>
      <c r="AJ6" s="1040"/>
      <c r="AK6" s="1040"/>
      <c r="AL6" s="1040"/>
      <c r="AM6" s="1040"/>
      <c r="AN6" s="53">
        <f t="shared" si="1"/>
        <v>200.8</v>
      </c>
      <c r="AO6" s="53">
        <f t="shared" si="2"/>
        <v>25.8</v>
      </c>
      <c r="AP6" s="53">
        <f t="shared" si="0"/>
        <v>29.2</v>
      </c>
      <c r="AQ6" s="53">
        <f t="shared" si="0"/>
        <v>16.399999999999999</v>
      </c>
      <c r="AS6" s="1127" t="s">
        <v>270</v>
      </c>
      <c r="AT6" s="901" t="s">
        <v>256</v>
      </c>
      <c r="AU6" s="920" t="s">
        <v>271</v>
      </c>
      <c r="AV6" s="53">
        <v>200.8</v>
      </c>
      <c r="AW6" s="53">
        <v>25.8</v>
      </c>
      <c r="AX6" s="53">
        <v>29.2</v>
      </c>
      <c r="AY6" s="53">
        <v>16.399999999999999</v>
      </c>
    </row>
    <row r="7" spans="1:51" ht="15">
      <c r="A7" s="1249" t="s">
        <v>265</v>
      </c>
      <c r="B7" s="901" t="s">
        <v>186</v>
      </c>
      <c r="C7" s="903" t="s">
        <v>285</v>
      </c>
      <c r="D7" s="1037">
        <v>524</v>
      </c>
      <c r="E7" s="1037">
        <v>222</v>
      </c>
      <c r="F7" s="1037">
        <v>71</v>
      </c>
      <c r="G7" s="1037">
        <v>18</v>
      </c>
      <c r="H7" s="1038">
        <v>507</v>
      </c>
      <c r="I7" s="1038">
        <v>280</v>
      </c>
      <c r="J7" s="1038">
        <v>8</v>
      </c>
      <c r="K7" s="1038">
        <v>16</v>
      </c>
      <c r="L7" s="1037">
        <v>436</v>
      </c>
      <c r="M7" s="1037">
        <v>133</v>
      </c>
      <c r="N7" s="1037">
        <v>33</v>
      </c>
      <c r="O7" s="1037">
        <v>26</v>
      </c>
      <c r="P7" s="1038">
        <v>334</v>
      </c>
      <c r="Q7" s="1038">
        <v>9</v>
      </c>
      <c r="R7" s="1038">
        <v>46</v>
      </c>
      <c r="S7" s="1038">
        <v>27</v>
      </c>
      <c r="T7" s="1037">
        <v>322</v>
      </c>
      <c r="U7" s="1037">
        <v>43</v>
      </c>
      <c r="V7" s="1037">
        <v>55</v>
      </c>
      <c r="W7" s="1037">
        <v>37</v>
      </c>
      <c r="X7" s="1038">
        <v>426</v>
      </c>
      <c r="Y7" s="1038">
        <v>2</v>
      </c>
      <c r="Z7" s="1038">
        <v>46</v>
      </c>
      <c r="AA7" s="1038">
        <v>33</v>
      </c>
      <c r="AB7" s="1037">
        <v>347</v>
      </c>
      <c r="AC7" s="1037">
        <v>130</v>
      </c>
      <c r="AD7" s="1037">
        <v>6</v>
      </c>
      <c r="AE7" s="1037">
        <v>22</v>
      </c>
      <c r="AF7" s="1038">
        <v>224</v>
      </c>
      <c r="AG7" s="1038">
        <v>108</v>
      </c>
      <c r="AH7" s="1038">
        <v>11</v>
      </c>
      <c r="AI7" s="1038">
        <v>6</v>
      </c>
      <c r="AJ7" s="1040">
        <v>134</v>
      </c>
      <c r="AK7" s="1040">
        <v>69</v>
      </c>
      <c r="AL7" s="1040">
        <v>94</v>
      </c>
      <c r="AM7" s="1040">
        <v>8</v>
      </c>
      <c r="AN7" s="53">
        <f t="shared" si="1"/>
        <v>361.55555555555554</v>
      </c>
      <c r="AO7" s="53">
        <f t="shared" si="2"/>
        <v>110.66666666666667</v>
      </c>
      <c r="AP7" s="53">
        <f t="shared" si="0"/>
        <v>41.111111111111114</v>
      </c>
      <c r="AQ7" s="53">
        <f t="shared" si="0"/>
        <v>21.444444444444443</v>
      </c>
      <c r="AS7" s="1246" t="s">
        <v>265</v>
      </c>
      <c r="AT7" s="901" t="s">
        <v>186</v>
      </c>
      <c r="AU7" s="920" t="s">
        <v>285</v>
      </c>
      <c r="AV7" s="53">
        <v>361.55555555555554</v>
      </c>
      <c r="AW7" s="53">
        <v>110.66666666666667</v>
      </c>
      <c r="AX7" s="53">
        <v>41.111111111111114</v>
      </c>
      <c r="AY7" s="53">
        <v>21.444444444444443</v>
      </c>
    </row>
    <row r="8" spans="1:51" ht="15">
      <c r="A8" s="1250"/>
      <c r="B8" s="901" t="s">
        <v>249</v>
      </c>
      <c r="C8" s="903" t="s">
        <v>266</v>
      </c>
      <c r="D8" s="1037">
        <v>823</v>
      </c>
      <c r="E8" s="1037">
        <v>628</v>
      </c>
      <c r="F8" s="1037">
        <v>56</v>
      </c>
      <c r="G8" s="1037">
        <v>16</v>
      </c>
      <c r="H8" s="1038">
        <v>927</v>
      </c>
      <c r="I8" s="1038">
        <v>652</v>
      </c>
      <c r="J8" s="1038">
        <v>12</v>
      </c>
      <c r="K8" s="1038">
        <v>23</v>
      </c>
      <c r="L8" s="1037">
        <v>431</v>
      </c>
      <c r="M8" s="1037">
        <v>167</v>
      </c>
      <c r="N8" s="1037">
        <v>38</v>
      </c>
      <c r="O8" s="1037">
        <v>27</v>
      </c>
      <c r="P8" s="1038">
        <v>348</v>
      </c>
      <c r="Q8" s="1038">
        <v>137</v>
      </c>
      <c r="R8" s="1038">
        <v>46</v>
      </c>
      <c r="S8" s="1038">
        <v>24</v>
      </c>
      <c r="T8" s="1037">
        <v>476</v>
      </c>
      <c r="U8" s="1037">
        <v>231</v>
      </c>
      <c r="V8" s="1037">
        <v>45</v>
      </c>
      <c r="W8" s="1037">
        <v>31</v>
      </c>
      <c r="X8" s="1038">
        <v>444</v>
      </c>
      <c r="Y8" s="1038">
        <v>66</v>
      </c>
      <c r="Z8" s="1038">
        <v>34</v>
      </c>
      <c r="AA8" s="1038">
        <v>51</v>
      </c>
      <c r="AB8" s="1037">
        <v>376</v>
      </c>
      <c r="AC8" s="1037">
        <v>146</v>
      </c>
      <c r="AD8" s="1037">
        <v>14</v>
      </c>
      <c r="AE8" s="1037">
        <v>25</v>
      </c>
      <c r="AF8" s="1038">
        <v>329</v>
      </c>
      <c r="AG8" s="1038">
        <v>182</v>
      </c>
      <c r="AH8" s="1038">
        <v>14</v>
      </c>
      <c r="AI8" s="1038">
        <v>2</v>
      </c>
      <c r="AJ8" s="1040">
        <v>234</v>
      </c>
      <c r="AK8" s="1040">
        <v>119</v>
      </c>
      <c r="AL8" s="1040">
        <v>47</v>
      </c>
      <c r="AM8" s="1040">
        <v>13</v>
      </c>
      <c r="AN8" s="53">
        <f t="shared" si="1"/>
        <v>487.55555555555554</v>
      </c>
      <c r="AO8" s="53">
        <f t="shared" si="2"/>
        <v>258.66666666666669</v>
      </c>
      <c r="AP8" s="53">
        <f t="shared" si="0"/>
        <v>34</v>
      </c>
      <c r="AQ8" s="53">
        <f t="shared" si="0"/>
        <v>23.555555555555557</v>
      </c>
      <c r="AS8" s="1246"/>
      <c r="AT8" s="901" t="s">
        <v>249</v>
      </c>
      <c r="AU8" s="920" t="s">
        <v>266</v>
      </c>
      <c r="AV8" s="53">
        <v>487.55555555555554</v>
      </c>
      <c r="AW8" s="53">
        <v>258.66666666666669</v>
      </c>
      <c r="AX8" s="53">
        <v>34</v>
      </c>
      <c r="AY8" s="53">
        <v>23.555555555555557</v>
      </c>
    </row>
    <row r="9" spans="1:51" ht="15">
      <c r="A9" s="1250"/>
      <c r="B9" s="901" t="s">
        <v>250</v>
      </c>
      <c r="C9" s="903" t="s">
        <v>267</v>
      </c>
      <c r="D9" s="1037">
        <v>567</v>
      </c>
      <c r="E9" s="1037">
        <v>385</v>
      </c>
      <c r="F9" s="1037">
        <v>59</v>
      </c>
      <c r="G9" s="1037">
        <v>18</v>
      </c>
      <c r="H9" s="1038">
        <v>563</v>
      </c>
      <c r="I9" s="1038">
        <v>312</v>
      </c>
      <c r="J9" s="1038">
        <v>13</v>
      </c>
      <c r="K9" s="1038">
        <v>19</v>
      </c>
      <c r="L9" s="1037">
        <v>479</v>
      </c>
      <c r="M9" s="1037">
        <v>176</v>
      </c>
      <c r="N9" s="1037">
        <v>42</v>
      </c>
      <c r="O9" s="1037">
        <v>30</v>
      </c>
      <c r="P9" s="1038">
        <v>413</v>
      </c>
      <c r="Q9" s="1038">
        <v>146</v>
      </c>
      <c r="R9" s="1038">
        <v>49</v>
      </c>
      <c r="S9" s="1038">
        <v>35</v>
      </c>
      <c r="T9" s="1037">
        <v>540</v>
      </c>
      <c r="U9" s="1037">
        <v>185</v>
      </c>
      <c r="V9" s="1037">
        <v>48</v>
      </c>
      <c r="W9" s="1037">
        <v>40</v>
      </c>
      <c r="X9" s="1038">
        <v>500</v>
      </c>
      <c r="Y9" s="1038">
        <v>75</v>
      </c>
      <c r="Z9" s="1038">
        <v>52</v>
      </c>
      <c r="AA9" s="1038">
        <v>71</v>
      </c>
      <c r="AB9" s="1037">
        <v>384</v>
      </c>
      <c r="AC9" s="1037">
        <v>159</v>
      </c>
      <c r="AD9" s="1037">
        <v>21</v>
      </c>
      <c r="AE9" s="1037">
        <v>25</v>
      </c>
      <c r="AF9" s="1038">
        <v>383</v>
      </c>
      <c r="AG9" s="1038">
        <v>220</v>
      </c>
      <c r="AH9" s="1038">
        <v>16</v>
      </c>
      <c r="AI9" s="1038">
        <v>7</v>
      </c>
      <c r="AJ9" s="1040">
        <v>264</v>
      </c>
      <c r="AK9" s="1040">
        <v>141</v>
      </c>
      <c r="AL9" s="1040">
        <v>52</v>
      </c>
      <c r="AM9" s="1040">
        <v>17</v>
      </c>
      <c r="AN9" s="53">
        <f t="shared" si="1"/>
        <v>454.77777777777777</v>
      </c>
      <c r="AO9" s="53">
        <f t="shared" si="2"/>
        <v>199.88888888888889</v>
      </c>
      <c r="AP9" s="53">
        <f t="shared" si="0"/>
        <v>39.111111111111114</v>
      </c>
      <c r="AQ9" s="53">
        <f t="shared" si="0"/>
        <v>29.111111111111111</v>
      </c>
      <c r="AS9" s="1246"/>
      <c r="AT9" s="901" t="s">
        <v>250</v>
      </c>
      <c r="AU9" s="920" t="s">
        <v>267</v>
      </c>
      <c r="AV9" s="53">
        <v>454.77777777777777</v>
      </c>
      <c r="AW9" s="53">
        <v>199.88888888888889</v>
      </c>
      <c r="AX9" s="53">
        <v>39.111111111111114</v>
      </c>
      <c r="AY9" s="53">
        <v>29.111111111111111</v>
      </c>
    </row>
    <row r="10" spans="1:51" ht="15">
      <c r="A10" s="1250"/>
      <c r="B10" s="901" t="s">
        <v>251</v>
      </c>
      <c r="C10" s="903" t="s">
        <v>268</v>
      </c>
      <c r="D10" s="1037">
        <v>937</v>
      </c>
      <c r="E10" s="1037">
        <v>725</v>
      </c>
      <c r="F10" s="1037">
        <v>37</v>
      </c>
      <c r="G10" s="1037">
        <v>29</v>
      </c>
      <c r="H10" s="1038">
        <v>820</v>
      </c>
      <c r="I10" s="1038">
        <v>531</v>
      </c>
      <c r="J10" s="1038">
        <v>13</v>
      </c>
      <c r="K10" s="1038">
        <v>35</v>
      </c>
      <c r="L10" s="1037">
        <v>516</v>
      </c>
      <c r="M10" s="1037">
        <v>177</v>
      </c>
      <c r="N10" s="1037">
        <v>29</v>
      </c>
      <c r="O10" s="1037">
        <v>30</v>
      </c>
      <c r="P10" s="1038">
        <v>442</v>
      </c>
      <c r="Q10" s="1038">
        <v>178</v>
      </c>
      <c r="R10" s="1038">
        <v>46</v>
      </c>
      <c r="S10" s="1038">
        <v>42</v>
      </c>
      <c r="T10" s="1037">
        <v>780</v>
      </c>
      <c r="U10" s="1037">
        <v>384</v>
      </c>
      <c r="V10" s="1037">
        <v>28</v>
      </c>
      <c r="W10" s="1037">
        <v>45</v>
      </c>
      <c r="X10" s="1038">
        <v>923</v>
      </c>
      <c r="Y10" s="1038">
        <v>197</v>
      </c>
      <c r="Z10" s="1038">
        <v>80</v>
      </c>
      <c r="AA10" s="1038">
        <v>117</v>
      </c>
      <c r="AB10" s="1037">
        <v>410</v>
      </c>
      <c r="AC10" s="1037">
        <v>179</v>
      </c>
      <c r="AD10" s="1037">
        <v>16</v>
      </c>
      <c r="AE10" s="1037">
        <v>29</v>
      </c>
      <c r="AF10" s="1038">
        <v>496</v>
      </c>
      <c r="AG10" s="1038">
        <v>305</v>
      </c>
      <c r="AH10" s="1038">
        <v>9</v>
      </c>
      <c r="AI10" s="1038">
        <v>6</v>
      </c>
      <c r="AJ10" s="1040">
        <v>349</v>
      </c>
      <c r="AK10" s="1040">
        <v>242</v>
      </c>
      <c r="AL10" s="1040">
        <v>44</v>
      </c>
      <c r="AM10" s="1040">
        <v>14</v>
      </c>
      <c r="AN10" s="53">
        <f t="shared" si="1"/>
        <v>630.33333333333337</v>
      </c>
      <c r="AO10" s="53">
        <f t="shared" si="2"/>
        <v>324.22222222222223</v>
      </c>
      <c r="AP10" s="53">
        <f t="shared" si="0"/>
        <v>33.555555555555557</v>
      </c>
      <c r="AQ10" s="53">
        <f t="shared" si="0"/>
        <v>38.555555555555557</v>
      </c>
      <c r="AS10" s="1246"/>
      <c r="AT10" s="901" t="s">
        <v>251</v>
      </c>
      <c r="AU10" s="920" t="s">
        <v>268</v>
      </c>
      <c r="AV10" s="53">
        <v>630.33333333333337</v>
      </c>
      <c r="AW10" s="53">
        <v>324.22222222222223</v>
      </c>
      <c r="AX10" s="53">
        <v>33.555555555555557</v>
      </c>
      <c r="AY10" s="53">
        <v>38.555555555555557</v>
      </c>
    </row>
    <row r="11" spans="1:51" ht="15">
      <c r="A11" s="1250"/>
      <c r="B11" s="901" t="s">
        <v>252</v>
      </c>
      <c r="C11" s="903" t="s">
        <v>269</v>
      </c>
      <c r="D11" s="1037">
        <v>997</v>
      </c>
      <c r="E11" s="1037">
        <v>720</v>
      </c>
      <c r="F11" s="1037">
        <v>36</v>
      </c>
      <c r="G11" s="1037">
        <v>31</v>
      </c>
      <c r="H11" s="1038">
        <v>644</v>
      </c>
      <c r="I11" s="1038">
        <v>380</v>
      </c>
      <c r="J11" s="1038">
        <v>18</v>
      </c>
      <c r="K11" s="1038">
        <v>21</v>
      </c>
      <c r="L11" s="1037">
        <v>546</v>
      </c>
      <c r="M11" s="1037">
        <v>188</v>
      </c>
      <c r="N11" s="1037">
        <v>30</v>
      </c>
      <c r="O11" s="1037">
        <v>34</v>
      </c>
      <c r="P11" s="1038">
        <v>539</v>
      </c>
      <c r="Q11" s="1038">
        <v>266</v>
      </c>
      <c r="R11" s="1038">
        <v>39</v>
      </c>
      <c r="S11" s="1038">
        <v>48</v>
      </c>
      <c r="T11" s="1037">
        <v>814</v>
      </c>
      <c r="U11" s="1037">
        <v>381</v>
      </c>
      <c r="V11" s="1037">
        <v>26</v>
      </c>
      <c r="W11" s="1037">
        <v>47</v>
      </c>
      <c r="X11" s="1038">
        <v>631</v>
      </c>
      <c r="Y11" s="1038">
        <v>149</v>
      </c>
      <c r="Z11" s="1038">
        <v>59</v>
      </c>
      <c r="AA11" s="1038">
        <v>101</v>
      </c>
      <c r="AB11" s="1037">
        <v>454</v>
      </c>
      <c r="AC11" s="1037">
        <v>178</v>
      </c>
      <c r="AD11" s="1037">
        <v>18</v>
      </c>
      <c r="AE11" s="1037">
        <v>28</v>
      </c>
      <c r="AF11" s="1038">
        <v>473</v>
      </c>
      <c r="AG11" s="1038">
        <v>285</v>
      </c>
      <c r="AH11" s="1038">
        <v>8</v>
      </c>
      <c r="AI11" s="1038">
        <v>3</v>
      </c>
      <c r="AJ11" s="1040">
        <v>236</v>
      </c>
      <c r="AK11" s="1040">
        <v>147</v>
      </c>
      <c r="AL11" s="1040">
        <v>46</v>
      </c>
      <c r="AM11" s="1040">
        <v>12</v>
      </c>
      <c r="AN11" s="53">
        <f t="shared" si="1"/>
        <v>592.66666666666663</v>
      </c>
      <c r="AO11" s="53">
        <f t="shared" si="2"/>
        <v>299.33333333333331</v>
      </c>
      <c r="AP11" s="53">
        <f t="shared" si="0"/>
        <v>31.111111111111111</v>
      </c>
      <c r="AQ11" s="53">
        <f t="shared" si="0"/>
        <v>36.111111111111114</v>
      </c>
      <c r="AS11" s="1246"/>
      <c r="AT11" s="901" t="s">
        <v>252</v>
      </c>
      <c r="AU11" s="920" t="s">
        <v>269</v>
      </c>
      <c r="AV11" s="53">
        <v>592.66666666666663</v>
      </c>
      <c r="AW11" s="53">
        <v>299.33333333333331</v>
      </c>
      <c r="AX11" s="53">
        <v>31.111111111111111</v>
      </c>
      <c r="AY11" s="53">
        <v>36.111111111111114</v>
      </c>
    </row>
    <row r="12" spans="1:51" ht="15">
      <c r="A12" s="1251"/>
      <c r="B12" s="901" t="s">
        <v>253</v>
      </c>
      <c r="C12" s="903" t="s">
        <v>286</v>
      </c>
      <c r="D12" s="1037">
        <v>880</v>
      </c>
      <c r="E12" s="1037">
        <v>687</v>
      </c>
      <c r="F12" s="1037">
        <v>32</v>
      </c>
      <c r="G12" s="1037">
        <v>26</v>
      </c>
      <c r="H12" s="1038">
        <v>786</v>
      </c>
      <c r="I12" s="1038">
        <v>520</v>
      </c>
      <c r="J12" s="1038">
        <v>12</v>
      </c>
      <c r="K12" s="1038">
        <v>17</v>
      </c>
      <c r="L12" s="1037">
        <v>521</v>
      </c>
      <c r="M12" s="1037">
        <v>177</v>
      </c>
      <c r="N12" s="1037">
        <v>27</v>
      </c>
      <c r="O12" s="1037">
        <v>38</v>
      </c>
      <c r="P12" s="1038">
        <v>466</v>
      </c>
      <c r="Q12" s="1038">
        <v>179</v>
      </c>
      <c r="R12" s="1038">
        <v>49</v>
      </c>
      <c r="S12" s="1038">
        <v>47</v>
      </c>
      <c r="T12" s="1037">
        <v>579</v>
      </c>
      <c r="U12" s="1037">
        <v>234</v>
      </c>
      <c r="V12" s="1037">
        <v>21</v>
      </c>
      <c r="W12" s="1037">
        <v>45</v>
      </c>
      <c r="X12" s="1038">
        <v>668</v>
      </c>
      <c r="Y12" s="1038">
        <v>161</v>
      </c>
      <c r="Z12" s="1038">
        <v>50</v>
      </c>
      <c r="AA12" s="1038">
        <v>85</v>
      </c>
      <c r="AB12" s="1037">
        <v>456</v>
      </c>
      <c r="AC12" s="1037">
        <v>185</v>
      </c>
      <c r="AD12" s="1037">
        <v>10</v>
      </c>
      <c r="AE12" s="1037">
        <v>29</v>
      </c>
      <c r="AF12" s="1038">
        <v>425</v>
      </c>
      <c r="AG12" s="1038">
        <v>237</v>
      </c>
      <c r="AH12" s="1038">
        <v>5</v>
      </c>
      <c r="AI12" s="1038">
        <v>2</v>
      </c>
      <c r="AJ12" s="1040">
        <v>296</v>
      </c>
      <c r="AK12" s="1040">
        <v>178</v>
      </c>
      <c r="AL12" s="1040">
        <v>49</v>
      </c>
      <c r="AM12" s="1040">
        <v>17</v>
      </c>
      <c r="AN12" s="53">
        <f t="shared" si="1"/>
        <v>564.11111111111109</v>
      </c>
      <c r="AO12" s="53">
        <f t="shared" si="2"/>
        <v>284.22222222222223</v>
      </c>
      <c r="AP12" s="53">
        <f t="shared" si="0"/>
        <v>28.333333333333332</v>
      </c>
      <c r="AQ12" s="53">
        <f t="shared" si="0"/>
        <v>34</v>
      </c>
      <c r="AS12" s="1246"/>
      <c r="AT12" s="901" t="s">
        <v>253</v>
      </c>
      <c r="AU12" s="920" t="s">
        <v>286</v>
      </c>
      <c r="AV12" s="53">
        <v>564.11111111111109</v>
      </c>
      <c r="AW12" s="53">
        <v>284.22222222222223</v>
      </c>
      <c r="AX12" s="53">
        <v>28.333333333333332</v>
      </c>
      <c r="AY12" s="53">
        <v>34</v>
      </c>
    </row>
    <row r="13" spans="1:51" ht="15">
      <c r="A13" s="904" t="s">
        <v>1156</v>
      </c>
      <c r="B13" s="894" t="s">
        <v>684</v>
      </c>
      <c r="C13" s="894" t="s">
        <v>685</v>
      </c>
      <c r="D13" s="1037">
        <v>1134</v>
      </c>
      <c r="E13" s="1037">
        <v>889</v>
      </c>
      <c r="F13" s="1037">
        <v>28</v>
      </c>
      <c r="G13" s="1037">
        <v>5</v>
      </c>
      <c r="H13" s="1038">
        <v>1522</v>
      </c>
      <c r="I13" s="1038">
        <v>1251</v>
      </c>
      <c r="J13" s="1038">
        <v>25</v>
      </c>
      <c r="K13" s="1038">
        <v>21</v>
      </c>
      <c r="L13" s="1037">
        <v>791</v>
      </c>
      <c r="M13" s="1037">
        <v>530</v>
      </c>
      <c r="N13" s="1037">
        <v>28</v>
      </c>
      <c r="O13" s="1037">
        <v>9</v>
      </c>
      <c r="P13" s="1038">
        <v>1117</v>
      </c>
      <c r="Q13" s="1038">
        <v>461</v>
      </c>
      <c r="R13" s="1038">
        <v>80</v>
      </c>
      <c r="S13" s="1038">
        <v>76</v>
      </c>
      <c r="T13" s="1037">
        <v>820</v>
      </c>
      <c r="U13" s="1037">
        <v>399</v>
      </c>
      <c r="V13" s="1037">
        <v>31</v>
      </c>
      <c r="W13" s="1037">
        <v>38</v>
      </c>
      <c r="X13" s="1038">
        <v>786</v>
      </c>
      <c r="Y13" s="1038">
        <v>270</v>
      </c>
      <c r="Z13" s="1038">
        <v>50</v>
      </c>
      <c r="AA13" s="1038">
        <v>10</v>
      </c>
      <c r="AB13" s="1037">
        <v>1938</v>
      </c>
      <c r="AC13" s="1037">
        <v>1415</v>
      </c>
      <c r="AD13" s="1037">
        <v>13</v>
      </c>
      <c r="AE13" s="1037">
        <v>30</v>
      </c>
      <c r="AF13" s="1038">
        <v>1077</v>
      </c>
      <c r="AG13" s="1038">
        <v>723</v>
      </c>
      <c r="AH13" s="1038">
        <v>14</v>
      </c>
      <c r="AI13" s="1038">
        <v>5</v>
      </c>
      <c r="AJ13" s="1040">
        <v>1091</v>
      </c>
      <c r="AK13" s="1040">
        <v>766</v>
      </c>
      <c r="AL13" s="1040">
        <v>65</v>
      </c>
      <c r="AM13" s="1040">
        <v>11</v>
      </c>
      <c r="AN13" s="53">
        <f t="shared" si="1"/>
        <v>1141.7777777777778</v>
      </c>
      <c r="AO13" s="53">
        <f t="shared" si="2"/>
        <v>744.88888888888891</v>
      </c>
      <c r="AP13" s="53">
        <f t="shared" si="0"/>
        <v>37.111111111111114</v>
      </c>
      <c r="AQ13" s="53">
        <f t="shared" si="0"/>
        <v>22.777777777777779</v>
      </c>
      <c r="AS13" s="1127" t="s">
        <v>1156</v>
      </c>
      <c r="AT13" s="894" t="s">
        <v>684</v>
      </c>
      <c r="AU13" s="902" t="s">
        <v>685</v>
      </c>
      <c r="AV13" s="53">
        <v>1141.7777777777778</v>
      </c>
      <c r="AW13" s="53">
        <v>744.88888888888891</v>
      </c>
      <c r="AX13" s="53">
        <v>37.111111111111114</v>
      </c>
      <c r="AY13" s="53">
        <v>22.777777777777779</v>
      </c>
    </row>
    <row r="14" spans="1:51" ht="15">
      <c r="A14" s="1249" t="s">
        <v>272</v>
      </c>
      <c r="B14" s="901" t="s">
        <v>257</v>
      </c>
      <c r="C14" s="903" t="s">
        <v>274</v>
      </c>
      <c r="D14" s="1047"/>
      <c r="E14" s="1047"/>
      <c r="F14" s="1047"/>
      <c r="G14" s="1047"/>
      <c r="H14" s="1046"/>
      <c r="I14" s="1046"/>
      <c r="J14" s="1046"/>
      <c r="K14" s="1046"/>
      <c r="L14" s="923"/>
      <c r="M14" s="923"/>
      <c r="N14" s="923"/>
      <c r="O14" s="923"/>
      <c r="P14" s="1041">
        <v>265</v>
      </c>
      <c r="Q14" s="1041">
        <v>76</v>
      </c>
      <c r="R14" s="1041">
        <v>27</v>
      </c>
      <c r="S14" s="1041">
        <v>58</v>
      </c>
      <c r="T14" s="1037">
        <v>414</v>
      </c>
      <c r="U14" s="1037">
        <v>236</v>
      </c>
      <c r="V14" s="1037">
        <v>15</v>
      </c>
      <c r="W14" s="1037">
        <v>15</v>
      </c>
      <c r="X14" s="1038">
        <v>826</v>
      </c>
      <c r="Y14" s="1038">
        <v>339</v>
      </c>
      <c r="Z14" s="1038">
        <v>47</v>
      </c>
      <c r="AA14" s="1038">
        <v>27</v>
      </c>
      <c r="AB14" s="1037">
        <v>385</v>
      </c>
      <c r="AC14" s="1037">
        <v>221</v>
      </c>
      <c r="AD14" s="1037">
        <v>12</v>
      </c>
      <c r="AE14" s="1037">
        <v>26</v>
      </c>
      <c r="AF14" s="1038">
        <v>348</v>
      </c>
      <c r="AG14" s="1038">
        <v>208</v>
      </c>
      <c r="AH14" s="1038">
        <v>8</v>
      </c>
      <c r="AI14" s="1038">
        <v>11</v>
      </c>
      <c r="AJ14" s="1040">
        <v>255</v>
      </c>
      <c r="AK14" s="1040">
        <v>251</v>
      </c>
      <c r="AL14" s="1040">
        <v>56</v>
      </c>
      <c r="AM14" s="1040">
        <v>11</v>
      </c>
      <c r="AN14" s="53">
        <f t="shared" si="1"/>
        <v>415.5</v>
      </c>
      <c r="AO14" s="53">
        <f t="shared" si="2"/>
        <v>221.83333333333334</v>
      </c>
      <c r="AP14" s="53">
        <f t="shared" si="0"/>
        <v>27.5</v>
      </c>
      <c r="AQ14" s="53">
        <f t="shared" si="0"/>
        <v>24.666666666666668</v>
      </c>
      <c r="AS14" s="1246" t="s">
        <v>272</v>
      </c>
      <c r="AT14" s="901" t="s">
        <v>257</v>
      </c>
      <c r="AU14" s="920" t="s">
        <v>274</v>
      </c>
      <c r="AV14" s="53">
        <v>415.5</v>
      </c>
      <c r="AW14" s="53">
        <v>221.83333333333334</v>
      </c>
      <c r="AX14" s="53">
        <v>27.5</v>
      </c>
      <c r="AY14" s="53">
        <v>24.666666666666668</v>
      </c>
    </row>
    <row r="15" spans="1:51" ht="15">
      <c r="A15" s="1250"/>
      <c r="B15" s="901" t="s">
        <v>258</v>
      </c>
      <c r="C15" s="903" t="s">
        <v>273</v>
      </c>
      <c r="D15" s="1047"/>
      <c r="E15" s="1047"/>
      <c r="F15" s="1047"/>
      <c r="G15" s="1047"/>
      <c r="H15" s="1046"/>
      <c r="I15" s="1046"/>
      <c r="J15" s="1046"/>
      <c r="K15" s="1046"/>
      <c r="L15" s="923"/>
      <c r="M15" s="923"/>
      <c r="N15" s="923"/>
      <c r="O15" s="923"/>
      <c r="P15" s="1041">
        <v>133</v>
      </c>
      <c r="Q15" s="1041">
        <v>97</v>
      </c>
      <c r="R15" s="1041">
        <v>27</v>
      </c>
      <c r="S15" s="1041">
        <v>12</v>
      </c>
      <c r="T15" s="1037">
        <v>758</v>
      </c>
      <c r="U15" s="1037">
        <v>309</v>
      </c>
      <c r="V15" s="1037">
        <v>21</v>
      </c>
      <c r="W15" s="1037">
        <v>36</v>
      </c>
      <c r="X15" s="1038">
        <v>672</v>
      </c>
      <c r="Y15" s="1038">
        <v>244</v>
      </c>
      <c r="Z15" s="1038">
        <v>48</v>
      </c>
      <c r="AA15" s="1038">
        <v>35</v>
      </c>
      <c r="AB15" s="1037">
        <v>615</v>
      </c>
      <c r="AC15" s="1037">
        <v>375</v>
      </c>
      <c r="AD15" s="1037">
        <v>21</v>
      </c>
      <c r="AE15" s="1037">
        <v>48</v>
      </c>
      <c r="AF15" s="1038">
        <v>400</v>
      </c>
      <c r="AG15" s="1038">
        <v>213</v>
      </c>
      <c r="AH15" s="1038">
        <v>14</v>
      </c>
      <c r="AI15" s="1038">
        <v>5</v>
      </c>
      <c r="AJ15" s="1040">
        <v>268</v>
      </c>
      <c r="AK15" s="1040">
        <v>143</v>
      </c>
      <c r="AL15" s="1040">
        <v>36</v>
      </c>
      <c r="AM15" s="1040">
        <v>11</v>
      </c>
      <c r="AN15" s="53">
        <f t="shared" si="1"/>
        <v>474.33333333333331</v>
      </c>
      <c r="AO15" s="53">
        <f t="shared" si="2"/>
        <v>230.16666666666666</v>
      </c>
      <c r="AP15" s="53">
        <f t="shared" si="0"/>
        <v>27.833333333333332</v>
      </c>
      <c r="AQ15" s="53">
        <f t="shared" si="0"/>
        <v>24.5</v>
      </c>
      <c r="AS15" s="1246"/>
      <c r="AT15" s="901" t="s">
        <v>258</v>
      </c>
      <c r="AU15" s="920" t="s">
        <v>273</v>
      </c>
      <c r="AV15" s="53">
        <v>474.33333333333331</v>
      </c>
      <c r="AW15" s="53">
        <v>230.16666666666666</v>
      </c>
      <c r="AX15" s="53">
        <v>27.833333333333332</v>
      </c>
      <c r="AY15" s="53">
        <v>24.5</v>
      </c>
    </row>
    <row r="16" spans="1:51" ht="15">
      <c r="A16" s="1250"/>
      <c r="B16" s="896" t="s">
        <v>681</v>
      </c>
      <c r="C16" s="896" t="s">
        <v>683</v>
      </c>
      <c r="D16" s="1037">
        <v>713</v>
      </c>
      <c r="E16" s="1037">
        <v>480</v>
      </c>
      <c r="F16" s="1037">
        <v>70</v>
      </c>
      <c r="G16" s="1037">
        <v>66</v>
      </c>
      <c r="H16" s="1038">
        <v>619</v>
      </c>
      <c r="I16" s="1038">
        <v>327</v>
      </c>
      <c r="J16" s="1038">
        <v>24</v>
      </c>
      <c r="K16" s="1038">
        <v>46</v>
      </c>
      <c r="L16" s="923">
        <v>679</v>
      </c>
      <c r="M16" s="923">
        <v>507</v>
      </c>
      <c r="N16" s="923">
        <v>30</v>
      </c>
      <c r="O16" s="923">
        <v>61</v>
      </c>
      <c r="P16" s="1041">
        <v>724</v>
      </c>
      <c r="Q16" s="1041">
        <v>394</v>
      </c>
      <c r="R16" s="1041">
        <v>37</v>
      </c>
      <c r="S16" s="1041">
        <v>78</v>
      </c>
      <c r="T16" s="1037">
        <v>774</v>
      </c>
      <c r="U16" s="1037">
        <v>349</v>
      </c>
      <c r="V16" s="1037">
        <v>17</v>
      </c>
      <c r="W16" s="1037">
        <v>102</v>
      </c>
      <c r="X16" s="1038">
        <v>747</v>
      </c>
      <c r="Y16" s="1038">
        <v>78</v>
      </c>
      <c r="Z16" s="1038">
        <v>43</v>
      </c>
      <c r="AA16" s="1038">
        <v>36</v>
      </c>
      <c r="AB16" s="1037">
        <v>902</v>
      </c>
      <c r="AC16" s="1037">
        <v>175</v>
      </c>
      <c r="AD16" s="1037">
        <v>11</v>
      </c>
      <c r="AE16" s="1037">
        <v>86</v>
      </c>
      <c r="AF16" s="1038">
        <v>639</v>
      </c>
      <c r="AG16" s="1038">
        <v>319</v>
      </c>
      <c r="AH16" s="1038">
        <v>15</v>
      </c>
      <c r="AI16" s="1038">
        <v>66</v>
      </c>
      <c r="AJ16" s="1040">
        <v>694</v>
      </c>
      <c r="AK16" s="1040">
        <v>380</v>
      </c>
      <c r="AL16" s="1040">
        <v>55</v>
      </c>
      <c r="AM16" s="1040">
        <v>44</v>
      </c>
      <c r="AN16" s="53">
        <f t="shared" si="1"/>
        <v>721.22222222222217</v>
      </c>
      <c r="AO16" s="53">
        <f t="shared" si="2"/>
        <v>334.33333333333331</v>
      </c>
      <c r="AP16" s="53">
        <f t="shared" si="0"/>
        <v>33.555555555555557</v>
      </c>
      <c r="AQ16" s="53">
        <f t="shared" si="0"/>
        <v>65</v>
      </c>
      <c r="AS16" s="1246"/>
      <c r="AT16" s="896" t="s">
        <v>681</v>
      </c>
      <c r="AU16" s="1126" t="s">
        <v>683</v>
      </c>
      <c r="AV16" s="53">
        <v>721.22222222222217</v>
      </c>
      <c r="AW16" s="53">
        <v>334.33333333333331</v>
      </c>
      <c r="AX16" s="53">
        <v>33.555555555555557</v>
      </c>
      <c r="AY16" s="53">
        <v>65</v>
      </c>
    </row>
    <row r="17" spans="1:56" ht="15">
      <c r="A17" s="1251"/>
      <c r="B17" s="894" t="s">
        <v>680</v>
      </c>
      <c r="C17" s="894" t="s">
        <v>682</v>
      </c>
      <c r="D17" s="1037">
        <v>973</v>
      </c>
      <c r="E17" s="1037">
        <v>604</v>
      </c>
      <c r="F17" s="1037">
        <v>36</v>
      </c>
      <c r="G17" s="1037">
        <v>111</v>
      </c>
      <c r="H17" s="1038">
        <v>1137</v>
      </c>
      <c r="I17" s="1038">
        <v>474</v>
      </c>
      <c r="J17" s="1038">
        <v>20</v>
      </c>
      <c r="K17" s="1038">
        <v>166</v>
      </c>
      <c r="L17" s="923">
        <v>1328</v>
      </c>
      <c r="M17" s="923">
        <v>602</v>
      </c>
      <c r="N17" s="923">
        <v>80</v>
      </c>
      <c r="O17" s="923">
        <v>147</v>
      </c>
      <c r="P17" s="1041">
        <v>674</v>
      </c>
      <c r="Q17" s="1041">
        <v>282</v>
      </c>
      <c r="R17" s="1041">
        <v>50</v>
      </c>
      <c r="S17" s="1041">
        <v>128</v>
      </c>
      <c r="T17" s="1037">
        <v>807</v>
      </c>
      <c r="U17" s="1037">
        <v>267</v>
      </c>
      <c r="V17" s="1037">
        <v>37</v>
      </c>
      <c r="W17" s="1037">
        <v>238</v>
      </c>
      <c r="X17" s="1038">
        <v>2026</v>
      </c>
      <c r="Y17" s="1038">
        <v>1116</v>
      </c>
      <c r="Z17" s="1038">
        <v>49</v>
      </c>
      <c r="AA17" s="1038">
        <v>556</v>
      </c>
      <c r="AB17" s="1037">
        <v>1635</v>
      </c>
      <c r="AC17" s="1037">
        <v>632</v>
      </c>
      <c r="AD17" s="1037">
        <v>44</v>
      </c>
      <c r="AE17" s="1037">
        <v>137</v>
      </c>
      <c r="AF17" s="1038">
        <v>2147</v>
      </c>
      <c r="AG17" s="1038">
        <v>1325</v>
      </c>
      <c r="AH17" s="1038">
        <v>222</v>
      </c>
      <c r="AI17" s="1038">
        <v>192</v>
      </c>
      <c r="AJ17" s="1040">
        <v>1670</v>
      </c>
      <c r="AK17" s="1040">
        <v>1081</v>
      </c>
      <c r="AL17" s="1040">
        <v>52</v>
      </c>
      <c r="AM17" s="1040">
        <v>158</v>
      </c>
      <c r="AN17" s="53">
        <f t="shared" si="1"/>
        <v>1377.4444444444443</v>
      </c>
      <c r="AO17" s="53">
        <f t="shared" si="2"/>
        <v>709.22222222222217</v>
      </c>
      <c r="AP17" s="53">
        <f t="shared" si="0"/>
        <v>65.555555555555557</v>
      </c>
      <c r="AQ17" s="53">
        <f t="shared" si="0"/>
        <v>203.66666666666666</v>
      </c>
      <c r="AS17" s="1246"/>
      <c r="AT17" s="894" t="s">
        <v>680</v>
      </c>
      <c r="AU17" s="902" t="s">
        <v>682</v>
      </c>
      <c r="AV17" s="53">
        <v>1377.4444444444443</v>
      </c>
      <c r="AW17" s="53">
        <v>709.22222222222217</v>
      </c>
      <c r="AX17" s="53">
        <v>65.555555555555557</v>
      </c>
      <c r="AY17" s="53">
        <v>203.66666666666666</v>
      </c>
    </row>
    <row r="18" spans="1:56" ht="15">
      <c r="A18" s="904" t="s">
        <v>275</v>
      </c>
      <c r="B18" s="901" t="s">
        <v>254</v>
      </c>
      <c r="C18" s="903" t="s">
        <v>276</v>
      </c>
      <c r="D18" s="1037">
        <v>739</v>
      </c>
      <c r="E18" s="1037">
        <v>70</v>
      </c>
      <c r="F18" s="1037">
        <v>39</v>
      </c>
      <c r="G18" s="1037">
        <v>86</v>
      </c>
      <c r="H18" s="1038">
        <v>363</v>
      </c>
      <c r="I18" s="1038">
        <v>37</v>
      </c>
      <c r="J18" s="1038">
        <v>13</v>
      </c>
      <c r="K18" s="1038">
        <v>11</v>
      </c>
      <c r="L18" s="1037">
        <v>604</v>
      </c>
      <c r="M18" s="1037">
        <v>43</v>
      </c>
      <c r="N18" s="1037">
        <v>25</v>
      </c>
      <c r="O18" s="1037">
        <v>15</v>
      </c>
      <c r="P18" s="1038">
        <v>503</v>
      </c>
      <c r="Q18" s="1038">
        <v>2</v>
      </c>
      <c r="R18" s="1038">
        <v>34</v>
      </c>
      <c r="S18" s="1038">
        <v>16</v>
      </c>
      <c r="T18" s="1037">
        <v>873</v>
      </c>
      <c r="U18" s="1037">
        <v>5</v>
      </c>
      <c r="V18" s="1037">
        <v>27</v>
      </c>
      <c r="W18" s="1037">
        <v>24</v>
      </c>
      <c r="X18" s="1038">
        <v>868</v>
      </c>
      <c r="Y18" s="1038">
        <v>7</v>
      </c>
      <c r="Z18" s="1038">
        <v>49</v>
      </c>
      <c r="AA18" s="1038">
        <v>19</v>
      </c>
      <c r="AB18" s="1037">
        <v>555</v>
      </c>
      <c r="AC18" s="1037">
        <v>17</v>
      </c>
      <c r="AD18" s="1037">
        <v>14</v>
      </c>
      <c r="AE18" s="1037">
        <v>18</v>
      </c>
      <c r="AF18" s="1038">
        <v>485</v>
      </c>
      <c r="AG18" s="1038">
        <v>24</v>
      </c>
      <c r="AH18" s="1038">
        <v>21</v>
      </c>
      <c r="AI18" s="1038">
        <v>6</v>
      </c>
      <c r="AJ18" s="1040">
        <v>509</v>
      </c>
      <c r="AK18" s="1040">
        <v>48</v>
      </c>
      <c r="AL18" s="1040">
        <v>45</v>
      </c>
      <c r="AM18" s="1040">
        <v>57</v>
      </c>
      <c r="AN18" s="53">
        <f t="shared" si="1"/>
        <v>611</v>
      </c>
      <c r="AO18" s="53">
        <f t="shared" si="2"/>
        <v>28.111111111111111</v>
      </c>
      <c r="AP18" s="53">
        <f t="shared" si="0"/>
        <v>29.666666666666668</v>
      </c>
      <c r="AQ18" s="53">
        <f t="shared" si="0"/>
        <v>28</v>
      </c>
      <c r="AS18" s="1127" t="s">
        <v>275</v>
      </c>
      <c r="AT18" s="901" t="s">
        <v>254</v>
      </c>
      <c r="AU18" s="920" t="s">
        <v>276</v>
      </c>
      <c r="AV18" s="53">
        <v>611</v>
      </c>
      <c r="AW18" s="53">
        <v>28.111111111111111</v>
      </c>
      <c r="AX18" s="53">
        <v>29.666666666666668</v>
      </c>
      <c r="AY18" s="53">
        <v>28</v>
      </c>
    </row>
    <row r="19" spans="1:56" ht="15">
      <c r="A19" s="904" t="s">
        <v>277</v>
      </c>
      <c r="B19" s="901" t="s">
        <v>255</v>
      </c>
      <c r="C19" s="903" t="s">
        <v>278</v>
      </c>
      <c r="D19" s="1037">
        <v>1075</v>
      </c>
      <c r="E19" s="1037">
        <v>760</v>
      </c>
      <c r="F19" s="1037">
        <v>61</v>
      </c>
      <c r="G19" s="1037">
        <v>54</v>
      </c>
      <c r="H19" s="1038">
        <v>663</v>
      </c>
      <c r="I19" s="1038">
        <v>532</v>
      </c>
      <c r="J19" s="1038">
        <v>21</v>
      </c>
      <c r="K19" s="1038">
        <v>32</v>
      </c>
      <c r="L19" s="1037">
        <v>694</v>
      </c>
      <c r="M19" s="1037">
        <v>512</v>
      </c>
      <c r="N19" s="1037">
        <v>29</v>
      </c>
      <c r="O19" s="1037">
        <v>21</v>
      </c>
      <c r="P19" s="1038">
        <v>234</v>
      </c>
      <c r="Q19" s="1038">
        <v>38</v>
      </c>
      <c r="R19" s="1038">
        <v>38</v>
      </c>
      <c r="S19" s="1038">
        <v>12</v>
      </c>
      <c r="T19" s="1037">
        <v>302</v>
      </c>
      <c r="U19" s="1037">
        <v>25</v>
      </c>
      <c r="V19" s="1037">
        <v>25</v>
      </c>
      <c r="W19" s="1037">
        <v>52</v>
      </c>
      <c r="X19" s="1038">
        <v>546</v>
      </c>
      <c r="Y19" s="1038">
        <v>15</v>
      </c>
      <c r="Z19" s="1038">
        <v>45</v>
      </c>
      <c r="AA19" s="1038">
        <v>10</v>
      </c>
      <c r="AB19" s="1037">
        <v>692</v>
      </c>
      <c r="AC19" s="1037">
        <v>245</v>
      </c>
      <c r="AD19" s="1037">
        <v>12</v>
      </c>
      <c r="AE19" s="1037">
        <v>34</v>
      </c>
      <c r="AF19" s="1038">
        <v>398</v>
      </c>
      <c r="AG19" s="1038">
        <v>137</v>
      </c>
      <c r="AH19" s="1038">
        <v>14</v>
      </c>
      <c r="AI19" s="1038">
        <v>2</v>
      </c>
      <c r="AJ19" s="1040">
        <v>297</v>
      </c>
      <c r="AK19" s="1040">
        <v>223</v>
      </c>
      <c r="AL19" s="1040">
        <v>51</v>
      </c>
      <c r="AM19" s="1040">
        <v>10</v>
      </c>
      <c r="AN19" s="53">
        <f t="shared" si="1"/>
        <v>544.55555555555554</v>
      </c>
      <c r="AO19" s="53">
        <f t="shared" si="2"/>
        <v>276.33333333333331</v>
      </c>
      <c r="AP19" s="53">
        <f t="shared" ref="AP19" si="3">AVERAGE(AL19,AH19,AD19,Z19,V19,R19,N19,J19,F19)</f>
        <v>32.888888888888886</v>
      </c>
      <c r="AQ19" s="53">
        <f t="shared" ref="AQ19" si="4">AVERAGE(AM19,AI19,AE19,AA19,W19,S19,O19,K19,G19)</f>
        <v>25.222222222222221</v>
      </c>
      <c r="AS19" s="1127" t="s">
        <v>277</v>
      </c>
      <c r="AT19" s="901" t="s">
        <v>255</v>
      </c>
      <c r="AU19" s="920" t="s">
        <v>278</v>
      </c>
      <c r="AV19" s="53">
        <v>544.55555555555554</v>
      </c>
      <c r="AW19" s="53">
        <v>276.33333333333331</v>
      </c>
      <c r="AX19" s="53">
        <v>32.888888888888886</v>
      </c>
      <c r="AY19" s="53">
        <v>25.222222222222221</v>
      </c>
    </row>
    <row r="21" spans="1:56">
      <c r="B21" s="246"/>
      <c r="C21" s="243"/>
      <c r="D21" s="243"/>
      <c r="E21" s="243"/>
      <c r="F21" s="243"/>
      <c r="G21" s="243"/>
      <c r="H21" s="243"/>
      <c r="I21" s="243"/>
      <c r="J21" s="243"/>
      <c r="K21" s="243"/>
      <c r="L21" s="243"/>
      <c r="M21" s="17"/>
      <c r="N21" s="17"/>
      <c r="O21" s="87"/>
      <c r="P21" s="88"/>
      <c r="Y21" s="106"/>
    </row>
    <row r="22" spans="1:56">
      <c r="B22" s="106"/>
      <c r="M22" s="17"/>
      <c r="N22" s="17"/>
      <c r="O22" s="17"/>
      <c r="P22" s="85"/>
      <c r="Q22" s="87"/>
      <c r="R22" s="248"/>
      <c r="Y22" s="106"/>
      <c r="AU22" s="17" t="s">
        <v>1979</v>
      </c>
      <c r="AV22" s="1150">
        <v>41361</v>
      </c>
      <c r="AW22" s="1151">
        <v>41389</v>
      </c>
      <c r="AX22" s="1151">
        <v>41415</v>
      </c>
      <c r="AY22" s="1151">
        <v>41443</v>
      </c>
      <c r="AZ22" s="1151">
        <v>41478</v>
      </c>
      <c r="BA22" s="1151">
        <v>41513</v>
      </c>
      <c r="BB22" s="1151">
        <v>41542</v>
      </c>
      <c r="BC22" s="1151">
        <v>41570</v>
      </c>
      <c r="BD22" s="1151">
        <v>41603</v>
      </c>
    </row>
    <row r="23" spans="1:56">
      <c r="B23" s="106"/>
      <c r="C23" s="243"/>
      <c r="D23" s="243"/>
      <c r="E23" s="243"/>
      <c r="F23" s="243"/>
      <c r="G23" s="243"/>
      <c r="H23" s="243"/>
      <c r="I23" s="243"/>
      <c r="J23" s="243"/>
      <c r="K23" s="243"/>
      <c r="L23" s="243"/>
      <c r="M23" s="17"/>
      <c r="N23" s="17"/>
      <c r="O23" s="87"/>
      <c r="P23" s="85"/>
      <c r="Q23" s="17"/>
      <c r="R23" s="248"/>
      <c r="Y23" s="106"/>
      <c r="AU23" s="900" t="s">
        <v>284</v>
      </c>
      <c r="AV23" s="614">
        <v>1134</v>
      </c>
      <c r="AW23" s="871">
        <v>1522</v>
      </c>
      <c r="AX23" s="614">
        <v>791</v>
      </c>
      <c r="AY23" s="871">
        <v>1117</v>
      </c>
      <c r="AZ23" s="614">
        <v>820</v>
      </c>
      <c r="BA23" s="871">
        <v>786</v>
      </c>
      <c r="BB23" s="614">
        <v>1938</v>
      </c>
      <c r="BC23" s="871">
        <v>1077</v>
      </c>
      <c r="BD23" s="107">
        <v>1091</v>
      </c>
    </row>
    <row r="24" spans="1:56">
      <c r="B24" s="106"/>
      <c r="C24" s="243"/>
      <c r="D24" s="243"/>
      <c r="E24" s="243"/>
      <c r="F24" s="243"/>
      <c r="G24" s="243"/>
      <c r="H24" s="243"/>
      <c r="I24" s="243"/>
      <c r="J24" s="243"/>
      <c r="K24" s="243"/>
      <c r="L24" s="243"/>
      <c r="M24" s="17"/>
      <c r="N24" s="17"/>
      <c r="O24" s="17"/>
      <c r="P24" s="85"/>
      <c r="Q24" s="87"/>
      <c r="R24" s="248"/>
      <c r="Y24" s="106"/>
      <c r="AU24" s="900" t="s">
        <v>279</v>
      </c>
      <c r="AV24" s="614">
        <v>889</v>
      </c>
      <c r="AW24" s="871">
        <v>1251</v>
      </c>
      <c r="AX24" s="614">
        <v>530</v>
      </c>
      <c r="AY24" s="871">
        <v>461</v>
      </c>
      <c r="AZ24" s="614">
        <v>399</v>
      </c>
      <c r="BA24" s="871">
        <v>270</v>
      </c>
      <c r="BB24" s="614">
        <v>1415</v>
      </c>
      <c r="BC24" s="871">
        <v>723</v>
      </c>
      <c r="BD24" s="107">
        <v>766</v>
      </c>
    </row>
    <row r="25" spans="1:56">
      <c r="B25" s="106"/>
      <c r="C25" s="243"/>
      <c r="D25" s="243"/>
      <c r="E25" s="243"/>
      <c r="F25" s="243"/>
      <c r="G25" s="243"/>
      <c r="H25" s="243"/>
      <c r="I25" s="243"/>
      <c r="J25" s="243"/>
      <c r="K25" s="243"/>
      <c r="L25" s="243"/>
      <c r="M25" s="17"/>
      <c r="N25" s="17"/>
      <c r="O25" s="17"/>
      <c r="P25" s="85"/>
      <c r="R25" s="248"/>
      <c r="Y25" s="106"/>
      <c r="AU25" s="900" t="s">
        <v>280</v>
      </c>
      <c r="AV25" s="614">
        <v>28</v>
      </c>
      <c r="AW25" s="871">
        <v>25</v>
      </c>
      <c r="AX25" s="614">
        <v>28</v>
      </c>
      <c r="AY25" s="871">
        <v>80</v>
      </c>
      <c r="AZ25" s="614">
        <v>31</v>
      </c>
      <c r="BA25" s="871">
        <v>50</v>
      </c>
      <c r="BB25" s="614">
        <v>13</v>
      </c>
      <c r="BC25" s="871">
        <v>14</v>
      </c>
      <c r="BD25" s="107">
        <v>65</v>
      </c>
    </row>
    <row r="26" spans="1:56">
      <c r="B26" s="106"/>
      <c r="C26" s="243"/>
      <c r="D26" s="243"/>
      <c r="E26" s="243"/>
      <c r="F26" s="243"/>
      <c r="G26" s="243"/>
      <c r="H26" s="243"/>
      <c r="I26" s="243"/>
      <c r="J26" s="243"/>
      <c r="K26" s="243"/>
      <c r="L26" s="243"/>
      <c r="M26" s="17"/>
      <c r="N26" s="17"/>
      <c r="O26" s="87"/>
      <c r="P26" s="85"/>
      <c r="Q26" s="87"/>
      <c r="R26" s="85"/>
      <c r="Y26" s="106"/>
      <c r="AU26" s="900" t="s">
        <v>281</v>
      </c>
      <c r="AV26" s="614">
        <v>5</v>
      </c>
      <c r="AW26" s="871">
        <v>21</v>
      </c>
      <c r="AX26" s="614">
        <v>9</v>
      </c>
      <c r="AY26" s="871">
        <v>76</v>
      </c>
      <c r="AZ26" s="614">
        <v>38</v>
      </c>
      <c r="BA26" s="871">
        <v>10</v>
      </c>
      <c r="BB26" s="614">
        <v>30</v>
      </c>
      <c r="BC26" s="871">
        <v>5</v>
      </c>
      <c r="BD26" s="107">
        <v>11</v>
      </c>
    </row>
    <row r="27" spans="1:56">
      <c r="B27" s="106"/>
      <c r="C27" s="243"/>
      <c r="D27" s="243"/>
      <c r="E27" s="243"/>
      <c r="F27" s="243"/>
      <c r="G27" s="243"/>
      <c r="H27" s="243"/>
      <c r="I27" s="243"/>
      <c r="J27" s="243"/>
      <c r="K27" s="243"/>
      <c r="L27" s="243"/>
      <c r="M27" s="17"/>
      <c r="N27" s="17"/>
      <c r="O27" s="17"/>
      <c r="P27" s="85"/>
      <c r="Q27" s="87"/>
      <c r="R27" s="85"/>
      <c r="Y27" s="106"/>
    </row>
    <row r="28" spans="1:56">
      <c r="B28" s="106"/>
      <c r="C28" s="243"/>
      <c r="D28" s="243"/>
      <c r="E28" s="243"/>
      <c r="F28" s="243"/>
      <c r="G28" s="243"/>
      <c r="H28" s="243"/>
      <c r="I28" s="243"/>
      <c r="J28" s="243"/>
      <c r="K28" s="243"/>
      <c r="L28" s="243"/>
      <c r="M28" s="17"/>
      <c r="N28" s="17"/>
      <c r="O28" s="87"/>
      <c r="P28" s="85"/>
      <c r="Q28" s="17"/>
      <c r="R28" s="85"/>
      <c r="Y28" s="106"/>
    </row>
    <row r="29" spans="1:56">
      <c r="B29" s="106"/>
      <c r="C29" s="243"/>
      <c r="D29" s="243"/>
      <c r="E29" s="243"/>
      <c r="F29" s="243"/>
      <c r="G29" s="243"/>
      <c r="H29" s="243"/>
      <c r="I29" s="243"/>
      <c r="J29" s="243"/>
      <c r="K29" s="243"/>
      <c r="L29" s="243"/>
      <c r="M29" s="17"/>
      <c r="N29" s="17"/>
      <c r="O29" s="17"/>
      <c r="P29" s="85"/>
      <c r="Q29" s="87"/>
      <c r="R29" s="85"/>
      <c r="Y29" s="106"/>
    </row>
    <row r="30" spans="1:56">
      <c r="B30" s="106"/>
      <c r="C30" s="243"/>
      <c r="D30" s="243"/>
      <c r="E30" s="243"/>
      <c r="F30" s="243"/>
      <c r="G30" s="243"/>
      <c r="H30" s="243"/>
      <c r="I30" s="243"/>
      <c r="J30" s="243"/>
      <c r="K30" s="243"/>
      <c r="L30" s="243"/>
      <c r="M30" s="17"/>
      <c r="N30" s="17"/>
      <c r="O30" s="17"/>
      <c r="P30" s="85"/>
      <c r="R30" s="85"/>
      <c r="Y30" s="106"/>
    </row>
    <row r="31" spans="1:56">
      <c r="B31" s="106"/>
      <c r="C31" s="243"/>
      <c r="D31" s="243"/>
      <c r="E31" s="243"/>
      <c r="F31" s="243"/>
      <c r="G31" s="243"/>
      <c r="H31" s="243"/>
      <c r="I31" s="243"/>
      <c r="J31" s="243"/>
      <c r="K31" s="243"/>
      <c r="L31" s="243"/>
      <c r="M31" s="17"/>
      <c r="N31" s="17"/>
      <c r="O31" s="87"/>
      <c r="P31" s="85"/>
      <c r="R31" s="85"/>
      <c r="Y31" s="106"/>
    </row>
    <row r="32" spans="1:56">
      <c r="B32" s="106"/>
      <c r="C32" s="243"/>
      <c r="D32" s="243"/>
      <c r="E32" s="243"/>
      <c r="F32" s="243"/>
      <c r="G32" s="243"/>
      <c r="H32" s="243"/>
      <c r="I32" s="243"/>
      <c r="J32" s="243"/>
      <c r="K32" s="243"/>
      <c r="L32" s="243"/>
      <c r="M32" s="17"/>
      <c r="N32" s="17"/>
      <c r="O32" s="17"/>
      <c r="P32" s="85"/>
      <c r="Q32" s="87"/>
      <c r="R32" s="85"/>
      <c r="Y32" s="106"/>
    </row>
    <row r="33" spans="2:26">
      <c r="B33" s="106"/>
      <c r="C33" s="243"/>
      <c r="D33" s="243"/>
      <c r="E33" s="243"/>
      <c r="F33" s="243"/>
      <c r="G33" s="243"/>
      <c r="H33" s="243"/>
      <c r="I33" s="243"/>
      <c r="J33" s="243"/>
      <c r="K33" s="243"/>
      <c r="L33" s="243"/>
      <c r="M33" s="17"/>
      <c r="N33" s="17"/>
      <c r="O33" s="17"/>
      <c r="P33" s="85"/>
      <c r="Q33" s="17"/>
      <c r="R33" s="85"/>
      <c r="Y33" s="106"/>
    </row>
    <row r="34" spans="2:26">
      <c r="B34" s="106"/>
      <c r="C34" s="243"/>
      <c r="D34" s="243"/>
      <c r="E34" s="243"/>
      <c r="F34" s="243"/>
      <c r="G34" s="243"/>
      <c r="H34" s="243"/>
      <c r="I34" s="243"/>
      <c r="J34" s="243"/>
      <c r="K34" s="243"/>
      <c r="L34" s="243"/>
      <c r="M34" s="17"/>
      <c r="N34" s="17"/>
      <c r="O34" s="87"/>
      <c r="P34" s="85"/>
      <c r="Q34" s="87"/>
      <c r="R34" s="85"/>
      <c r="Y34" s="106"/>
    </row>
    <row r="35" spans="2:26">
      <c r="B35" s="106"/>
      <c r="C35" s="243"/>
      <c r="D35" s="243"/>
      <c r="E35" s="243"/>
      <c r="F35" s="243"/>
      <c r="G35" s="243"/>
      <c r="H35" s="243"/>
      <c r="I35" s="243"/>
      <c r="J35" s="243"/>
      <c r="K35" s="243"/>
      <c r="L35" s="243"/>
      <c r="M35" s="17"/>
      <c r="N35" s="17"/>
      <c r="O35" s="17"/>
      <c r="P35" s="85"/>
      <c r="Y35" s="106"/>
    </row>
    <row r="36" spans="2:26">
      <c r="B36" s="106"/>
      <c r="C36" s="243"/>
      <c r="D36" s="243"/>
      <c r="E36" s="243"/>
      <c r="F36" s="243"/>
      <c r="G36" s="243"/>
      <c r="H36" s="243"/>
      <c r="I36" s="243"/>
      <c r="J36" s="243"/>
      <c r="K36" s="243"/>
      <c r="L36" s="243"/>
      <c r="M36" s="17"/>
      <c r="N36" s="17"/>
      <c r="O36" s="17"/>
      <c r="P36" s="85"/>
      <c r="Y36" s="106"/>
    </row>
    <row r="37" spans="2:26">
      <c r="B37" s="106"/>
      <c r="C37" s="243"/>
      <c r="D37" s="243"/>
      <c r="E37" s="243"/>
      <c r="F37" s="243"/>
      <c r="G37" s="243"/>
      <c r="H37" s="243"/>
      <c r="I37" s="243"/>
      <c r="J37" s="243"/>
      <c r="K37" s="243"/>
      <c r="L37" s="243"/>
      <c r="M37" s="17"/>
      <c r="N37" s="17"/>
      <c r="O37" s="87"/>
      <c r="P37" s="85"/>
      <c r="Y37" s="106"/>
    </row>
    <row r="38" spans="2:26">
      <c r="B38" s="106"/>
      <c r="C38" s="243"/>
      <c r="D38" s="243"/>
      <c r="E38" s="243"/>
      <c r="F38" s="243"/>
      <c r="G38" s="243"/>
      <c r="H38" s="243"/>
      <c r="I38" s="243"/>
      <c r="J38" s="243"/>
      <c r="K38" s="243"/>
      <c r="L38" s="243"/>
      <c r="M38" s="17"/>
      <c r="N38" s="17"/>
      <c r="O38" s="17"/>
      <c r="P38" s="85"/>
    </row>
    <row r="39" spans="2:26">
      <c r="B39" s="106"/>
      <c r="C39" s="243"/>
      <c r="D39" s="243"/>
      <c r="E39" s="243"/>
      <c r="F39" s="243"/>
      <c r="G39" s="243"/>
      <c r="H39" s="243"/>
      <c r="I39" s="243"/>
      <c r="J39" s="243"/>
      <c r="K39" s="243"/>
      <c r="L39" s="243"/>
      <c r="M39" s="17"/>
      <c r="N39" s="17"/>
      <c r="O39" s="17"/>
      <c r="P39" s="85"/>
    </row>
    <row r="40" spans="2:26">
      <c r="B40" s="106"/>
      <c r="C40" s="243"/>
      <c r="D40" s="243"/>
      <c r="E40" s="243"/>
      <c r="F40" s="243"/>
      <c r="G40" s="243"/>
      <c r="H40" s="243"/>
      <c r="I40" s="243"/>
      <c r="J40" s="243"/>
      <c r="K40" s="243"/>
      <c r="L40" s="243"/>
      <c r="M40" s="17"/>
      <c r="N40" s="17"/>
      <c r="O40" s="87"/>
      <c r="P40" s="85"/>
    </row>
    <row r="41" spans="2:26">
      <c r="B41" s="106"/>
      <c r="C41" s="243"/>
      <c r="D41" s="243"/>
      <c r="E41" s="243"/>
      <c r="F41" s="243"/>
      <c r="G41" s="243"/>
      <c r="H41" s="243"/>
      <c r="I41" s="243"/>
      <c r="J41" s="243"/>
      <c r="K41" s="243"/>
      <c r="L41" s="243"/>
      <c r="M41" s="17"/>
      <c r="N41" s="17"/>
      <c r="O41" s="17"/>
      <c r="P41" s="85"/>
    </row>
    <row r="42" spans="2:26">
      <c r="B42" s="106"/>
      <c r="C42" s="243"/>
      <c r="D42" s="243"/>
      <c r="E42" s="243"/>
      <c r="F42" s="243"/>
      <c r="G42" s="243"/>
      <c r="H42" s="243"/>
      <c r="I42" s="243"/>
      <c r="J42" s="243"/>
      <c r="K42" s="243"/>
      <c r="L42" s="243"/>
      <c r="M42" s="17"/>
      <c r="N42" s="17"/>
      <c r="O42" s="17"/>
      <c r="P42" s="85"/>
    </row>
    <row r="43" spans="2:26">
      <c r="B43" s="106"/>
      <c r="C43" s="243"/>
      <c r="D43" s="243"/>
      <c r="E43" s="243"/>
      <c r="F43" s="243"/>
      <c r="G43" s="243"/>
      <c r="H43" s="243"/>
      <c r="I43" s="243"/>
      <c r="J43" s="243"/>
      <c r="K43" s="243"/>
      <c r="L43" s="243"/>
      <c r="M43" s="17"/>
      <c r="N43" s="17"/>
      <c r="O43" s="87"/>
      <c r="P43" s="85"/>
    </row>
    <row r="44" spans="2:26">
      <c r="B44" s="106"/>
      <c r="C44" s="243"/>
      <c r="D44" s="243"/>
      <c r="E44" s="243"/>
      <c r="F44" s="243"/>
      <c r="G44" s="243"/>
      <c r="H44" s="243"/>
      <c r="I44" s="243"/>
      <c r="J44" s="243"/>
      <c r="K44" s="243"/>
      <c r="L44" s="243"/>
      <c r="M44" s="17"/>
      <c r="N44" s="17"/>
      <c r="O44" s="17"/>
      <c r="P44" s="85"/>
      <c r="Y44" s="106"/>
    </row>
    <row r="45" spans="2:26">
      <c r="B45" s="106"/>
      <c r="C45" s="243"/>
      <c r="D45" s="243"/>
      <c r="E45" s="243"/>
      <c r="F45" s="243"/>
      <c r="G45" s="243"/>
      <c r="H45" s="243"/>
      <c r="I45" s="243"/>
      <c r="J45" s="243"/>
      <c r="K45" s="243"/>
      <c r="L45" s="243"/>
      <c r="M45" s="17"/>
      <c r="N45" s="17"/>
      <c r="O45" s="17"/>
      <c r="P45" s="85"/>
      <c r="Y45" s="106"/>
      <c r="Z45" s="85"/>
    </row>
    <row r="46" spans="2:26">
      <c r="B46" s="106"/>
      <c r="C46" s="243"/>
      <c r="D46" s="243"/>
      <c r="E46" s="243"/>
      <c r="F46" s="243"/>
      <c r="G46" s="243"/>
      <c r="H46" s="243"/>
      <c r="I46" s="243"/>
      <c r="J46" s="243"/>
      <c r="K46" s="243"/>
      <c r="L46" s="243"/>
      <c r="M46" s="17"/>
      <c r="N46" s="17"/>
      <c r="O46" s="87"/>
      <c r="P46" s="85"/>
      <c r="Y46" s="106"/>
      <c r="Z46" s="85"/>
    </row>
    <row r="47" spans="2:26">
      <c r="B47" s="106"/>
      <c r="C47" s="243"/>
      <c r="D47" s="243"/>
      <c r="E47" s="243"/>
      <c r="F47" s="243"/>
      <c r="G47" s="243"/>
      <c r="H47" s="243"/>
      <c r="I47" s="243"/>
      <c r="J47" s="243"/>
      <c r="K47" s="243"/>
      <c r="L47" s="243"/>
      <c r="M47" s="17"/>
      <c r="N47" s="17"/>
      <c r="O47" s="17"/>
      <c r="P47" s="85"/>
      <c r="Y47" s="106"/>
      <c r="Z47" s="85"/>
    </row>
    <row r="48" spans="2:26">
      <c r="B48" s="106"/>
      <c r="C48" s="243"/>
      <c r="D48" s="243"/>
      <c r="E48" s="243"/>
      <c r="F48" s="243"/>
      <c r="G48" s="243"/>
      <c r="H48" s="243"/>
      <c r="I48" s="243"/>
      <c r="J48" s="243"/>
      <c r="K48" s="243"/>
      <c r="L48" s="243"/>
      <c r="M48" s="17"/>
      <c r="N48" s="17"/>
      <c r="O48" s="17"/>
      <c r="P48" s="85"/>
      <c r="Y48" s="106"/>
      <c r="Z48" s="85"/>
    </row>
    <row r="49" spans="2:26">
      <c r="B49" s="106"/>
      <c r="C49" s="243"/>
      <c r="D49" s="243"/>
      <c r="E49" s="243"/>
      <c r="F49" s="243"/>
      <c r="G49" s="243"/>
      <c r="H49" s="243"/>
      <c r="I49" s="243"/>
      <c r="J49" s="243"/>
      <c r="K49" s="243"/>
      <c r="L49" s="243"/>
      <c r="M49" s="17"/>
      <c r="N49" s="17"/>
      <c r="O49" s="87"/>
      <c r="P49" s="85"/>
      <c r="Y49" s="106"/>
      <c r="Z49" s="85"/>
    </row>
    <row r="50" spans="2:26">
      <c r="B50" s="106"/>
      <c r="C50" s="243"/>
      <c r="D50" s="243"/>
      <c r="E50" s="243"/>
      <c r="F50" s="243"/>
      <c r="G50" s="243"/>
      <c r="H50" s="243"/>
      <c r="I50" s="243"/>
      <c r="J50" s="243"/>
      <c r="K50" s="243"/>
      <c r="L50" s="243"/>
      <c r="M50" s="17"/>
      <c r="N50" s="17"/>
      <c r="O50" s="17"/>
      <c r="P50" s="85"/>
      <c r="Y50" s="106"/>
      <c r="Z50" s="85"/>
    </row>
    <row r="51" spans="2:26">
      <c r="B51" s="106"/>
      <c r="C51" s="243"/>
      <c r="D51" s="243"/>
      <c r="E51" s="243"/>
      <c r="F51" s="243"/>
      <c r="G51" s="243"/>
      <c r="H51" s="243"/>
      <c r="I51" s="243"/>
      <c r="J51" s="243"/>
      <c r="K51" s="243"/>
      <c r="L51" s="243"/>
      <c r="M51" s="17"/>
      <c r="N51" s="17"/>
      <c r="O51" s="17"/>
      <c r="P51" s="85"/>
      <c r="Y51" s="106"/>
      <c r="Z51" s="85"/>
    </row>
    <row r="52" spans="2:26">
      <c r="B52" s="106"/>
      <c r="C52" s="243"/>
      <c r="D52" s="243"/>
      <c r="E52" s="243"/>
      <c r="F52" s="243"/>
      <c r="G52" s="243"/>
      <c r="H52" s="243"/>
      <c r="I52" s="243"/>
      <c r="J52" s="243"/>
      <c r="K52" s="243"/>
      <c r="L52" s="243"/>
      <c r="M52" s="17"/>
      <c r="N52" s="17"/>
      <c r="O52" s="87"/>
      <c r="P52" s="85"/>
      <c r="Y52" s="106"/>
      <c r="Z52" s="85"/>
    </row>
    <row r="53" spans="2:26">
      <c r="B53" s="106"/>
      <c r="C53" s="243"/>
      <c r="D53" s="243"/>
      <c r="E53" s="243"/>
      <c r="F53" s="243"/>
      <c r="G53" s="243"/>
      <c r="H53" s="243"/>
      <c r="I53" s="243"/>
      <c r="J53" s="243"/>
      <c r="K53" s="243"/>
      <c r="L53" s="243"/>
      <c r="M53" s="17"/>
      <c r="N53" s="17"/>
      <c r="O53" s="17"/>
      <c r="P53" s="85"/>
      <c r="Y53" s="106"/>
      <c r="Z53" s="85"/>
    </row>
    <row r="54" spans="2:26">
      <c r="B54" s="106"/>
      <c r="C54" s="243"/>
      <c r="D54" s="243"/>
      <c r="E54" s="243"/>
      <c r="F54" s="243"/>
      <c r="G54" s="243"/>
      <c r="H54" s="243"/>
      <c r="I54" s="243"/>
      <c r="J54" s="243"/>
      <c r="K54" s="243"/>
      <c r="L54" s="243"/>
      <c r="M54" s="17"/>
      <c r="N54" s="17"/>
      <c r="O54" s="17"/>
      <c r="P54" s="85"/>
      <c r="Y54" s="106"/>
      <c r="Z54" s="85"/>
    </row>
    <row r="55" spans="2:26">
      <c r="B55" s="106"/>
      <c r="C55" s="243"/>
      <c r="D55" s="243"/>
      <c r="E55" s="243"/>
      <c r="F55" s="243"/>
      <c r="G55" s="243"/>
      <c r="H55" s="243"/>
      <c r="I55" s="243"/>
      <c r="J55" s="243"/>
      <c r="K55" s="243"/>
      <c r="L55" s="243"/>
      <c r="M55" s="17"/>
      <c r="N55" s="17"/>
      <c r="O55" s="87"/>
      <c r="P55" s="85"/>
      <c r="Y55" s="106"/>
      <c r="Z55" s="88"/>
    </row>
    <row r="56" spans="2:26">
      <c r="B56" s="106"/>
      <c r="C56" s="243"/>
      <c r="D56" s="243"/>
      <c r="E56" s="243"/>
      <c r="F56" s="243"/>
      <c r="G56" s="243"/>
      <c r="H56" s="243"/>
      <c r="I56" s="243"/>
      <c r="J56" s="243"/>
      <c r="K56" s="243"/>
      <c r="L56" s="243"/>
      <c r="M56" s="17"/>
      <c r="N56" s="17"/>
      <c r="O56" s="87"/>
      <c r="P56" s="85"/>
      <c r="Y56" s="106"/>
      <c r="Z56" s="92"/>
    </row>
    <row r="57" spans="2:26">
      <c r="B57" s="106"/>
      <c r="C57" s="243"/>
      <c r="D57" s="243"/>
      <c r="E57" s="243"/>
      <c r="F57" s="243"/>
      <c r="G57" s="243"/>
      <c r="H57" s="243"/>
      <c r="I57" s="243"/>
      <c r="J57" s="243"/>
      <c r="K57" s="243"/>
      <c r="L57" s="243"/>
      <c r="M57" s="17"/>
      <c r="N57" s="17"/>
      <c r="O57" s="87"/>
      <c r="P57" s="85"/>
      <c r="Y57" s="106"/>
      <c r="Z57" s="85"/>
    </row>
    <row r="58" spans="2:26">
      <c r="B58" s="106"/>
      <c r="C58" s="243"/>
      <c r="D58" s="243"/>
      <c r="E58" s="243"/>
      <c r="F58" s="243"/>
      <c r="G58" s="243"/>
      <c r="H58" s="243"/>
      <c r="I58" s="243"/>
      <c r="J58" s="243"/>
      <c r="K58" s="243"/>
      <c r="L58" s="243"/>
      <c r="M58" s="17"/>
      <c r="N58" s="17"/>
      <c r="O58" s="87"/>
      <c r="P58" s="85"/>
      <c r="Y58" s="106"/>
      <c r="Z58" s="85"/>
    </row>
    <row r="59" spans="2:26">
      <c r="B59" s="106"/>
      <c r="C59" s="243"/>
      <c r="D59" s="243"/>
      <c r="E59" s="243"/>
      <c r="F59" s="243"/>
      <c r="G59" s="243"/>
      <c r="H59" s="243"/>
      <c r="I59" s="243"/>
      <c r="J59" s="243"/>
      <c r="K59" s="243"/>
      <c r="L59" s="243"/>
      <c r="M59" s="17"/>
      <c r="N59" s="17"/>
      <c r="O59" s="17"/>
      <c r="P59" s="85"/>
      <c r="Y59" s="106"/>
      <c r="Z59" s="85"/>
    </row>
    <row r="60" spans="2:26">
      <c r="B60" s="106"/>
      <c r="C60" s="243"/>
      <c r="D60" s="243"/>
      <c r="E60" s="243"/>
      <c r="F60" s="243"/>
      <c r="G60" s="243"/>
      <c r="H60" s="243"/>
      <c r="I60" s="243"/>
      <c r="J60" s="243"/>
      <c r="K60" s="243"/>
      <c r="L60" s="243"/>
      <c r="M60" s="17"/>
      <c r="N60" s="17"/>
      <c r="O60" s="17"/>
      <c r="P60" s="85"/>
      <c r="Y60" s="106"/>
      <c r="Z60" s="85"/>
    </row>
    <row r="61" spans="2:26">
      <c r="B61" s="106"/>
      <c r="C61" s="243"/>
      <c r="D61" s="243"/>
      <c r="E61" s="243"/>
      <c r="F61" s="243"/>
      <c r="G61" s="243"/>
      <c r="H61" s="243"/>
      <c r="I61" s="243"/>
      <c r="J61" s="243"/>
      <c r="K61" s="243"/>
      <c r="L61" s="243"/>
      <c r="M61" s="17"/>
      <c r="N61" s="17"/>
      <c r="O61" s="87"/>
      <c r="P61" s="85"/>
      <c r="Y61" s="106"/>
      <c r="Z61" s="88"/>
    </row>
    <row r="62" spans="2:26">
      <c r="B62" s="106"/>
      <c r="C62" s="243"/>
      <c r="D62" s="243"/>
      <c r="E62" s="243"/>
      <c r="F62" s="243"/>
      <c r="G62" s="243"/>
      <c r="H62" s="243"/>
      <c r="I62" s="243"/>
      <c r="J62" s="243"/>
      <c r="K62" s="243"/>
      <c r="L62" s="243"/>
      <c r="M62" s="17"/>
      <c r="N62" s="17"/>
      <c r="O62" s="17"/>
      <c r="P62" s="85"/>
      <c r="Y62" s="106"/>
      <c r="Z62" s="92"/>
    </row>
    <row r="63" spans="2:26">
      <c r="B63" s="247"/>
      <c r="C63" s="243"/>
      <c r="D63" s="243"/>
      <c r="E63" s="243"/>
      <c r="F63" s="243"/>
      <c r="G63" s="243"/>
      <c r="H63" s="243"/>
      <c r="I63" s="243"/>
      <c r="J63" s="243"/>
      <c r="K63" s="243"/>
      <c r="L63" s="243"/>
      <c r="M63" s="17"/>
      <c r="N63" s="17"/>
      <c r="O63" s="17"/>
      <c r="P63" s="85"/>
    </row>
    <row r="64" spans="2:26">
      <c r="B64" s="247"/>
      <c r="C64" s="243"/>
      <c r="D64" s="243"/>
      <c r="E64" s="243"/>
      <c r="F64" s="243"/>
      <c r="G64" s="243"/>
      <c r="H64" s="243"/>
      <c r="I64" s="243"/>
      <c r="J64" s="243"/>
      <c r="K64" s="243"/>
      <c r="L64" s="243"/>
      <c r="M64" s="17"/>
      <c r="N64" s="17"/>
      <c r="O64" s="87"/>
      <c r="P64" s="85"/>
    </row>
    <row r="65" spans="2:16">
      <c r="B65" s="247"/>
      <c r="C65" s="243"/>
      <c r="D65" s="243"/>
      <c r="E65" s="243"/>
      <c r="F65" s="243"/>
      <c r="G65" s="243"/>
      <c r="H65" s="243"/>
      <c r="I65" s="243"/>
      <c r="J65" s="243"/>
      <c r="K65" s="243"/>
      <c r="L65" s="243"/>
      <c r="M65" s="89"/>
      <c r="N65" s="17"/>
      <c r="O65" s="17"/>
      <c r="P65" s="27"/>
    </row>
    <row r="66" spans="2:16">
      <c r="B66" s="247"/>
      <c r="C66" s="243"/>
      <c r="D66" s="243"/>
      <c r="E66" s="243"/>
      <c r="F66" s="243"/>
      <c r="G66" s="243"/>
      <c r="H66" s="243"/>
      <c r="I66" s="243"/>
      <c r="J66" s="243"/>
      <c r="K66" s="243"/>
      <c r="L66" s="243"/>
      <c r="M66" s="96"/>
      <c r="N66" s="17"/>
      <c r="O66" s="87"/>
      <c r="P66" s="85"/>
    </row>
    <row r="67" spans="2:16">
      <c r="B67" s="247"/>
      <c r="C67" s="243"/>
      <c r="D67" s="243"/>
      <c r="E67" s="243"/>
      <c r="F67" s="243"/>
      <c r="G67" s="243"/>
      <c r="H67" s="243"/>
      <c r="I67" s="243"/>
      <c r="J67" s="243"/>
      <c r="K67" s="243"/>
      <c r="L67" s="243"/>
      <c r="M67" s="17"/>
      <c r="N67" s="17"/>
      <c r="O67" s="17"/>
      <c r="P67" s="85"/>
    </row>
    <row r="68" spans="2:16">
      <c r="B68" s="247"/>
      <c r="C68" s="243"/>
      <c r="D68" s="243"/>
      <c r="E68" s="243"/>
      <c r="F68" s="243"/>
      <c r="G68" s="243"/>
      <c r="H68" s="243"/>
      <c r="I68" s="243"/>
      <c r="J68" s="243"/>
      <c r="K68" s="243"/>
      <c r="L68" s="243"/>
      <c r="M68" s="17"/>
      <c r="N68" s="17"/>
      <c r="O68" s="87"/>
      <c r="P68" s="85"/>
    </row>
    <row r="69" spans="2:16">
      <c r="B69" s="247"/>
      <c r="C69" s="243"/>
      <c r="D69" s="243"/>
      <c r="E69" s="243"/>
      <c r="F69" s="243"/>
      <c r="G69" s="243"/>
      <c r="H69" s="243"/>
      <c r="I69" s="243"/>
      <c r="J69" s="243"/>
      <c r="K69" s="243"/>
      <c r="L69" s="243"/>
      <c r="M69" s="89"/>
      <c r="N69" s="17"/>
      <c r="O69" s="17"/>
      <c r="P69" s="27"/>
    </row>
    <row r="70" spans="2:16">
      <c r="B70" s="247"/>
      <c r="C70" s="243"/>
      <c r="D70" s="243"/>
      <c r="E70" s="243"/>
      <c r="F70" s="243"/>
      <c r="G70" s="243"/>
      <c r="H70" s="243"/>
      <c r="I70" s="243"/>
      <c r="J70" s="243"/>
      <c r="K70" s="243"/>
      <c r="L70" s="243"/>
      <c r="M70" s="89"/>
      <c r="N70" s="17"/>
      <c r="O70" s="17"/>
      <c r="P70" s="27"/>
    </row>
    <row r="71" spans="2:16">
      <c r="B71" s="247"/>
      <c r="C71" s="243"/>
      <c r="D71" s="243"/>
      <c r="E71" s="243"/>
      <c r="F71" s="243"/>
      <c r="G71" s="243"/>
      <c r="H71" s="243"/>
      <c r="I71" s="243"/>
      <c r="J71" s="243"/>
      <c r="K71" s="243"/>
      <c r="L71" s="243"/>
      <c r="M71" s="96"/>
      <c r="N71" s="17"/>
      <c r="O71" s="87"/>
      <c r="P71" s="85"/>
    </row>
    <row r="72" spans="2:16">
      <c r="B72" s="247"/>
      <c r="C72" s="243"/>
      <c r="D72" s="243"/>
      <c r="E72" s="243"/>
      <c r="F72" s="243"/>
      <c r="G72" s="243"/>
      <c r="H72" s="243"/>
      <c r="I72" s="243"/>
      <c r="J72" s="243"/>
      <c r="K72" s="243"/>
      <c r="L72" s="243"/>
      <c r="M72" s="17"/>
      <c r="N72" s="17"/>
      <c r="O72" s="17"/>
      <c r="P72" s="85"/>
    </row>
    <row r="73" spans="2:16">
      <c r="B73" s="247"/>
      <c r="C73" s="243"/>
      <c r="D73" s="243"/>
      <c r="E73" s="243"/>
      <c r="F73" s="243"/>
      <c r="G73" s="243"/>
      <c r="H73" s="243"/>
      <c r="I73" s="243"/>
      <c r="J73" s="243"/>
      <c r="K73" s="243"/>
      <c r="L73" s="243"/>
      <c r="M73" s="17"/>
      <c r="N73" s="17"/>
      <c r="O73" s="87"/>
      <c r="P73" s="85"/>
    </row>
    <row r="74" spans="2:16">
      <c r="B74" s="247"/>
      <c r="C74" s="243"/>
      <c r="D74" s="243"/>
      <c r="E74" s="243"/>
      <c r="F74" s="243"/>
      <c r="G74" s="243"/>
      <c r="H74" s="243"/>
      <c r="I74" s="243"/>
      <c r="J74" s="243"/>
      <c r="K74" s="243"/>
      <c r="L74" s="243"/>
      <c r="M74" s="17"/>
      <c r="N74" s="17"/>
      <c r="O74" s="87"/>
      <c r="P74" s="85"/>
    </row>
    <row r="75" spans="2:16">
      <c r="B75" s="247"/>
      <c r="C75" s="243"/>
      <c r="D75" s="243"/>
      <c r="E75" s="243"/>
      <c r="F75" s="243"/>
      <c r="G75" s="243"/>
      <c r="H75" s="243"/>
      <c r="I75" s="243"/>
      <c r="J75" s="243"/>
      <c r="K75" s="243"/>
      <c r="L75" s="243"/>
      <c r="M75" s="89"/>
      <c r="N75" s="17"/>
      <c r="O75" s="17"/>
      <c r="P75" s="27"/>
    </row>
    <row r="76" spans="2:16">
      <c r="B76" s="247"/>
      <c r="C76" s="243"/>
      <c r="D76" s="243"/>
      <c r="E76" s="243"/>
      <c r="F76" s="243"/>
      <c r="G76" s="243"/>
      <c r="H76" s="243"/>
      <c r="I76" s="243"/>
      <c r="J76" s="243"/>
      <c r="K76" s="243"/>
      <c r="L76" s="243"/>
      <c r="M76" s="96"/>
      <c r="N76" s="17"/>
      <c r="O76" s="87"/>
      <c r="P76" s="85"/>
    </row>
    <row r="77" spans="2:16">
      <c r="B77" s="247"/>
      <c r="C77" s="243"/>
      <c r="D77" s="243"/>
      <c r="E77" s="243"/>
      <c r="F77" s="243"/>
      <c r="G77" s="243"/>
      <c r="H77" s="243"/>
      <c r="I77" s="243"/>
      <c r="J77" s="243"/>
      <c r="K77" s="243"/>
      <c r="L77" s="243"/>
      <c r="M77" s="17"/>
      <c r="N77" s="17"/>
      <c r="O77" s="17"/>
      <c r="P77" s="85"/>
    </row>
    <row r="78" spans="2:16">
      <c r="B78" s="247"/>
      <c r="C78" s="243"/>
      <c r="D78" s="243"/>
      <c r="E78" s="243"/>
      <c r="F78" s="243"/>
      <c r="G78" s="243"/>
      <c r="H78" s="243"/>
      <c r="I78" s="243"/>
      <c r="J78" s="243"/>
      <c r="K78" s="243"/>
      <c r="L78" s="243"/>
      <c r="M78" s="17"/>
      <c r="N78" s="17"/>
      <c r="O78" s="87"/>
      <c r="P78" s="85"/>
    </row>
    <row r="79" spans="2:16">
      <c r="B79" s="247"/>
      <c r="C79" s="243"/>
      <c r="D79" s="243"/>
      <c r="E79" s="243"/>
      <c r="F79" s="243"/>
      <c r="G79" s="243"/>
      <c r="H79" s="243"/>
      <c r="I79" s="243"/>
      <c r="J79" s="243"/>
      <c r="K79" s="243"/>
      <c r="L79" s="243"/>
      <c r="M79" s="89"/>
      <c r="N79" s="17"/>
      <c r="O79" s="17"/>
      <c r="P79" s="27"/>
    </row>
    <row r="92" spans="2:16">
      <c r="B92" s="247"/>
      <c r="C92" s="80"/>
      <c r="D92" s="80"/>
      <c r="E92" s="80"/>
      <c r="F92" s="80"/>
      <c r="G92" s="80"/>
      <c r="H92" s="80"/>
      <c r="I92" s="80"/>
      <c r="J92" s="80"/>
      <c r="K92" s="80"/>
      <c r="L92" s="80"/>
      <c r="M92" s="96"/>
      <c r="N92" s="17"/>
      <c r="O92" s="87"/>
      <c r="P92" s="85"/>
    </row>
    <row r="93" spans="2:16">
      <c r="B93" s="247"/>
      <c r="C93" s="80"/>
      <c r="D93" s="80"/>
      <c r="E93" s="80"/>
      <c r="F93" s="80"/>
      <c r="G93" s="80"/>
      <c r="H93" s="80"/>
      <c r="I93" s="80"/>
      <c r="J93" s="80"/>
      <c r="K93" s="80"/>
      <c r="L93" s="80"/>
      <c r="M93" s="17"/>
      <c r="N93" s="17"/>
      <c r="O93" s="17"/>
      <c r="P93" s="85"/>
    </row>
    <row r="94" spans="2:16">
      <c r="B94" s="247"/>
      <c r="C94" s="80"/>
      <c r="D94" s="80"/>
      <c r="E94" s="80"/>
      <c r="F94" s="80"/>
      <c r="G94" s="80"/>
      <c r="H94" s="80"/>
      <c r="I94" s="80"/>
      <c r="J94" s="80"/>
      <c r="K94" s="80"/>
      <c r="L94" s="80"/>
      <c r="M94" s="17"/>
      <c r="N94" s="17"/>
      <c r="O94" s="87"/>
      <c r="P94" s="85"/>
    </row>
    <row r="95" spans="2:16">
      <c r="B95" s="247"/>
      <c r="C95" s="80"/>
      <c r="D95" s="80"/>
      <c r="E95" s="80"/>
      <c r="F95" s="80"/>
      <c r="G95" s="80"/>
      <c r="H95" s="80"/>
      <c r="I95" s="80"/>
      <c r="J95" s="80"/>
      <c r="K95" s="80"/>
      <c r="L95" s="80"/>
      <c r="P95" s="85"/>
    </row>
    <row r="96" spans="2:16">
      <c r="B96" s="247"/>
      <c r="C96" s="80"/>
      <c r="D96" s="80"/>
      <c r="E96" s="80"/>
      <c r="F96" s="80"/>
      <c r="G96" s="80"/>
      <c r="H96" s="80"/>
      <c r="I96" s="80"/>
      <c r="J96" s="80"/>
      <c r="K96" s="80"/>
      <c r="L96" s="80"/>
      <c r="M96" s="96"/>
      <c r="N96" s="17"/>
      <c r="O96" s="87"/>
      <c r="P96" s="85"/>
    </row>
    <row r="97" spans="2:16">
      <c r="B97" s="247"/>
      <c r="C97" s="80"/>
      <c r="D97" s="80"/>
      <c r="E97" s="80"/>
      <c r="F97" s="80"/>
      <c r="G97" s="80"/>
      <c r="H97" s="80"/>
      <c r="I97" s="80"/>
      <c r="J97" s="80"/>
      <c r="K97" s="80"/>
      <c r="L97" s="80"/>
      <c r="M97" s="17"/>
      <c r="N97" s="17"/>
      <c r="O97" s="17"/>
      <c r="P97" s="85"/>
    </row>
    <row r="98" spans="2:16">
      <c r="B98" s="247"/>
      <c r="C98" s="80"/>
      <c r="D98" s="80"/>
      <c r="E98" s="80"/>
      <c r="F98" s="80"/>
      <c r="G98" s="80"/>
      <c r="H98" s="80"/>
      <c r="I98" s="80"/>
      <c r="J98" s="80"/>
      <c r="K98" s="80"/>
      <c r="L98" s="80"/>
      <c r="M98" s="17"/>
      <c r="N98" s="17"/>
      <c r="O98" s="87"/>
      <c r="P98" s="85"/>
    </row>
    <row r="99" spans="2:16">
      <c r="B99" s="247"/>
      <c r="C99" s="80"/>
      <c r="D99" s="80"/>
      <c r="E99" s="80"/>
      <c r="F99" s="80"/>
      <c r="G99" s="80"/>
      <c r="H99" s="80"/>
      <c r="I99" s="80"/>
      <c r="J99" s="80"/>
      <c r="K99" s="80"/>
      <c r="L99" s="80"/>
      <c r="P99" s="85"/>
    </row>
    <row r="100" spans="2:16">
      <c r="B100" s="247"/>
      <c r="C100" s="80"/>
      <c r="D100" s="80"/>
      <c r="E100" s="80"/>
      <c r="F100" s="80"/>
      <c r="G100" s="80"/>
      <c r="H100" s="80"/>
      <c r="I100" s="80"/>
      <c r="J100" s="80"/>
      <c r="K100" s="80"/>
      <c r="L100" s="80"/>
      <c r="P100" s="85"/>
    </row>
    <row r="101" spans="2:16">
      <c r="B101" s="247"/>
      <c r="C101" s="80"/>
      <c r="D101" s="80"/>
      <c r="E101" s="80"/>
      <c r="F101" s="80"/>
      <c r="G101" s="80"/>
      <c r="H101" s="80"/>
      <c r="I101" s="80"/>
      <c r="J101" s="80"/>
      <c r="K101" s="80"/>
      <c r="L101" s="80"/>
      <c r="M101" s="96"/>
      <c r="N101" s="17"/>
      <c r="O101" s="87"/>
      <c r="P101" s="85"/>
    </row>
    <row r="102" spans="2:16">
      <c r="B102" s="247"/>
      <c r="C102" s="80"/>
      <c r="D102" s="80"/>
      <c r="E102" s="80"/>
      <c r="F102" s="80"/>
      <c r="G102" s="80"/>
      <c r="H102" s="80"/>
      <c r="I102" s="80"/>
      <c r="J102" s="80"/>
      <c r="K102" s="80"/>
      <c r="L102" s="80"/>
      <c r="M102" s="17"/>
      <c r="N102" s="17"/>
      <c r="O102" s="17"/>
      <c r="P102" s="85"/>
    </row>
    <row r="103" spans="2:16">
      <c r="B103" s="247"/>
      <c r="C103" s="80"/>
      <c r="D103" s="80"/>
      <c r="E103" s="80"/>
      <c r="F103" s="80"/>
      <c r="G103" s="80"/>
      <c r="H103" s="80"/>
      <c r="I103" s="80"/>
      <c r="J103" s="80"/>
      <c r="K103" s="80"/>
      <c r="L103" s="80"/>
      <c r="M103" s="17"/>
      <c r="N103" s="17"/>
      <c r="O103" s="87"/>
      <c r="P103" s="85"/>
    </row>
  </sheetData>
  <mergeCells count="21">
    <mergeCell ref="AS14:AS17"/>
    <mergeCell ref="AN1:AQ1"/>
    <mergeCell ref="A7:A12"/>
    <mergeCell ref="A3:A5"/>
    <mergeCell ref="A14:A17"/>
    <mergeCell ref="AF1:AI1"/>
    <mergeCell ref="AJ1:AM1"/>
    <mergeCell ref="X1:AA1"/>
    <mergeCell ref="AB1:AE1"/>
    <mergeCell ref="C1:C2"/>
    <mergeCell ref="B1:B2"/>
    <mergeCell ref="L1:O1"/>
    <mergeCell ref="P1:S1"/>
    <mergeCell ref="T1:W1"/>
    <mergeCell ref="H1:K1"/>
    <mergeCell ref="D1:G1"/>
    <mergeCell ref="AV1:AY1"/>
    <mergeCell ref="AT1:AT2"/>
    <mergeCell ref="AU1:AU2"/>
    <mergeCell ref="AS3:AS5"/>
    <mergeCell ref="AS7:AS12"/>
  </mergeCells>
  <pageMargins left="0.7" right="0.7" top="0.75" bottom="0.75" header="0.3" footer="0.3"/>
  <pageSetup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92D050"/>
  </sheetPr>
  <dimension ref="A1:S154"/>
  <sheetViews>
    <sheetView topLeftCell="A106" workbookViewId="0">
      <selection activeCell="J113" sqref="J113:J118"/>
    </sheetView>
  </sheetViews>
  <sheetFormatPr defaultColWidth="9.08984375" defaultRowHeight="12.5"/>
  <cols>
    <col min="1" max="1" width="11.08984375" style="884" bestFit="1" customWidth="1"/>
    <col min="2" max="2" width="7.08984375" style="915" bestFit="1" customWidth="1"/>
    <col min="3" max="3" width="35.08984375" style="919" customWidth="1"/>
    <col min="4" max="4" width="10.6328125" style="884" bestFit="1" customWidth="1"/>
    <col min="5" max="5" width="5.453125" style="884" bestFit="1" customWidth="1"/>
    <col min="6" max="6" width="5.453125" style="925" customWidth="1"/>
    <col min="7" max="7" width="7.6328125" style="925" bestFit="1" customWidth="1"/>
    <col min="8" max="8" width="8.90625" style="925" bestFit="1" customWidth="1"/>
    <col min="9" max="9" width="10.453125" style="932" bestFit="1" customWidth="1"/>
    <col min="10" max="10" width="9.08984375" style="925"/>
    <col min="11" max="11" width="12.54296875" style="916" bestFit="1" customWidth="1"/>
    <col min="12" max="12" width="11.453125" style="884" bestFit="1" customWidth="1"/>
    <col min="13" max="16384" width="9.08984375" style="884"/>
  </cols>
  <sheetData>
    <row r="1" spans="1:19" ht="25">
      <c r="A1" s="945" t="s">
        <v>291</v>
      </c>
      <c r="B1" s="905" t="s">
        <v>11</v>
      </c>
      <c r="C1" s="918" t="s">
        <v>290</v>
      </c>
      <c r="D1" s="906" t="s">
        <v>150</v>
      </c>
      <c r="E1" s="906" t="s">
        <v>152</v>
      </c>
      <c r="F1" s="922" t="s">
        <v>156</v>
      </c>
      <c r="G1" s="935" t="s">
        <v>288</v>
      </c>
      <c r="H1" s="922" t="s">
        <v>289</v>
      </c>
      <c r="I1" s="928" t="s">
        <v>287</v>
      </c>
      <c r="J1" s="922" t="s">
        <v>371</v>
      </c>
      <c r="K1" s="907" t="s">
        <v>584</v>
      </c>
      <c r="L1" s="908" t="s">
        <v>585</v>
      </c>
    </row>
    <row r="2" spans="1:19">
      <c r="A2" s="1257" t="s">
        <v>261</v>
      </c>
      <c r="B2" s="1265" t="s">
        <v>538</v>
      </c>
      <c r="C2" s="1266" t="s">
        <v>1847</v>
      </c>
      <c r="D2" s="921">
        <v>41361</v>
      </c>
      <c r="E2" s="936"/>
      <c r="F2" s="937"/>
      <c r="G2" s="937"/>
      <c r="H2" s="937"/>
      <c r="I2" s="938"/>
      <c r="J2" s="937"/>
      <c r="K2" s="939"/>
      <c r="L2" s="899" t="s">
        <v>1839</v>
      </c>
      <c r="O2" t="s">
        <v>169</v>
      </c>
      <c r="P2" t="s">
        <v>170</v>
      </c>
      <c r="Q2" t="s">
        <v>171</v>
      </c>
      <c r="R2" t="s">
        <v>172</v>
      </c>
      <c r="S2" t="s">
        <v>567</v>
      </c>
    </row>
    <row r="3" spans="1:19" ht="13">
      <c r="A3" s="1257"/>
      <c r="B3" s="1265"/>
      <c r="C3" s="1267"/>
      <c r="D3" s="910">
        <v>41389</v>
      </c>
      <c r="E3" s="936"/>
      <c r="F3" s="937"/>
      <c r="G3" s="937"/>
      <c r="H3" s="937"/>
      <c r="I3" s="938"/>
      <c r="J3" s="937"/>
      <c r="K3" s="939"/>
      <c r="L3" s="899" t="s">
        <v>1839</v>
      </c>
      <c r="O3" s="365">
        <v>2</v>
      </c>
      <c r="P3" s="364"/>
      <c r="Q3" s="364"/>
      <c r="R3" s="364">
        <f>P3*2.5</f>
        <v>0</v>
      </c>
      <c r="S3" s="8">
        <f>Q3*R3</f>
        <v>0</v>
      </c>
    </row>
    <row r="4" spans="1:19" ht="13">
      <c r="A4" s="1257"/>
      <c r="B4" s="1265"/>
      <c r="C4" s="1267"/>
      <c r="D4" s="910">
        <v>41415</v>
      </c>
      <c r="E4" s="933">
        <v>0.41736111111111113</v>
      </c>
      <c r="F4" s="923">
        <v>8.75</v>
      </c>
      <c r="G4" s="923">
        <v>2.9</v>
      </c>
      <c r="H4" s="923">
        <v>10.029999999999999</v>
      </c>
      <c r="I4" s="929">
        <v>4.1000000000000002E-2</v>
      </c>
      <c r="J4" s="923">
        <v>19.38</v>
      </c>
      <c r="K4" s="913">
        <v>0.05</v>
      </c>
      <c r="L4" s="899" t="s">
        <v>1841</v>
      </c>
      <c r="O4" s="366">
        <v>4</v>
      </c>
      <c r="P4" s="6"/>
      <c r="Q4" s="6"/>
      <c r="R4" s="364">
        <f>P4*2</f>
        <v>0</v>
      </c>
      <c r="S4" s="364">
        <f t="shared" ref="S4:S17" si="0">Q4*R4</f>
        <v>0</v>
      </c>
    </row>
    <row r="5" spans="1:19" ht="13">
      <c r="A5" s="1257"/>
      <c r="B5" s="1265"/>
      <c r="C5" s="1267"/>
      <c r="D5" s="910">
        <v>41443</v>
      </c>
      <c r="E5" s="933">
        <v>0.4055555555555555</v>
      </c>
      <c r="F5" s="923">
        <v>8.68</v>
      </c>
      <c r="G5" s="923">
        <v>7.7</v>
      </c>
      <c r="H5" s="923">
        <v>11.04</v>
      </c>
      <c r="I5" s="929">
        <v>3.6999999999999998E-2</v>
      </c>
      <c r="J5" s="923">
        <v>16.170000000000002</v>
      </c>
      <c r="K5" s="913">
        <v>0.05</v>
      </c>
      <c r="L5" s="899" t="s">
        <v>1838</v>
      </c>
      <c r="O5" s="365">
        <v>6</v>
      </c>
      <c r="P5" s="6"/>
      <c r="Q5" s="6"/>
      <c r="R5" s="364">
        <f t="shared" ref="R5" si="1">P5*2</f>
        <v>0</v>
      </c>
      <c r="S5" s="364">
        <f t="shared" si="0"/>
        <v>0</v>
      </c>
    </row>
    <row r="6" spans="1:19" ht="13">
      <c r="A6" s="1257"/>
      <c r="B6" s="1265"/>
      <c r="C6" s="1267"/>
      <c r="D6" s="910">
        <v>41478</v>
      </c>
      <c r="E6" s="933">
        <v>0.42222222222222222</v>
      </c>
      <c r="F6" s="923">
        <v>7.94</v>
      </c>
      <c r="G6" s="923">
        <v>11.1</v>
      </c>
      <c r="H6" s="923">
        <v>10.78</v>
      </c>
      <c r="I6" s="929">
        <v>3.9E-2</v>
      </c>
      <c r="J6" s="923">
        <v>6.34</v>
      </c>
      <c r="K6" s="913">
        <v>0.05</v>
      </c>
      <c r="L6" s="899" t="s">
        <v>1838</v>
      </c>
      <c r="O6" s="366">
        <v>8</v>
      </c>
      <c r="Q6" s="6"/>
      <c r="R6" s="364">
        <f t="shared" ref="R6:R14" si="2">P6*2</f>
        <v>0</v>
      </c>
      <c r="S6" s="364">
        <f t="shared" si="0"/>
        <v>0</v>
      </c>
    </row>
    <row r="7" spans="1:19" ht="13">
      <c r="A7" s="1257"/>
      <c r="B7" s="1265"/>
      <c r="C7" s="1267"/>
      <c r="D7" s="910">
        <v>41513</v>
      </c>
      <c r="E7" s="899">
        <v>0.42152777777777778</v>
      </c>
      <c r="F7" s="924">
        <v>8.3800000000000008</v>
      </c>
      <c r="G7" s="924">
        <v>9.99</v>
      </c>
      <c r="H7" s="924">
        <v>10.54</v>
      </c>
      <c r="I7" s="946">
        <v>3.4000000000000002E-2</v>
      </c>
      <c r="J7" s="924">
        <v>55</v>
      </c>
      <c r="K7" s="909">
        <v>5</v>
      </c>
      <c r="L7" s="899" t="s">
        <v>1843</v>
      </c>
      <c r="O7" s="365">
        <v>10</v>
      </c>
      <c r="P7" s="6"/>
      <c r="Q7" s="6"/>
      <c r="R7" s="364">
        <f t="shared" si="2"/>
        <v>0</v>
      </c>
      <c r="S7" s="364">
        <f>Q6*R7</f>
        <v>0</v>
      </c>
    </row>
    <row r="8" spans="1:19" ht="13">
      <c r="A8" s="1257"/>
      <c r="B8" s="1265"/>
      <c r="C8" s="1267"/>
      <c r="D8" s="910">
        <v>41542</v>
      </c>
      <c r="E8" s="933">
        <v>0.42708333333333331</v>
      </c>
      <c r="F8" s="923">
        <v>8.42</v>
      </c>
      <c r="G8" s="923">
        <v>4.8</v>
      </c>
      <c r="H8" s="923">
        <v>11.5</v>
      </c>
      <c r="I8" s="929">
        <v>0.04</v>
      </c>
      <c r="J8" s="923">
        <v>180</v>
      </c>
      <c r="K8" s="913">
        <v>0</v>
      </c>
      <c r="L8" s="899" t="s">
        <v>1843</v>
      </c>
      <c r="O8" s="366">
        <v>12</v>
      </c>
      <c r="P8" s="200"/>
      <c r="Q8" s="6"/>
      <c r="R8" s="364">
        <f t="shared" si="2"/>
        <v>0</v>
      </c>
      <c r="S8" s="364">
        <f>Q7*R8</f>
        <v>0</v>
      </c>
    </row>
    <row r="9" spans="1:19" ht="13">
      <c r="A9" s="1257"/>
      <c r="B9" s="1265"/>
      <c r="C9" s="1267"/>
      <c r="D9" s="910">
        <v>41570</v>
      </c>
      <c r="E9" s="933">
        <v>0.46111111111111108</v>
      </c>
      <c r="F9" s="923">
        <v>7.45</v>
      </c>
      <c r="G9" s="923">
        <v>1.2</v>
      </c>
      <c r="H9" s="923">
        <v>12.33</v>
      </c>
      <c r="I9" s="929">
        <v>4.1000000000000002E-2</v>
      </c>
      <c r="J9" s="923">
        <v>23.1</v>
      </c>
      <c r="K9" s="913">
        <v>0</v>
      </c>
      <c r="L9" s="899" t="s">
        <v>1838</v>
      </c>
      <c r="O9" s="365">
        <v>14</v>
      </c>
      <c r="Q9" s="6"/>
      <c r="R9" s="364">
        <f>P9*2</f>
        <v>0</v>
      </c>
      <c r="S9" s="364">
        <f>Q8*R9</f>
        <v>0</v>
      </c>
    </row>
    <row r="10" spans="1:19" ht="13">
      <c r="A10" s="1257"/>
      <c r="B10" s="1265"/>
      <c r="C10" s="1268"/>
      <c r="D10" s="911">
        <v>41603</v>
      </c>
      <c r="E10" s="936"/>
      <c r="F10" s="937"/>
      <c r="G10" s="937"/>
      <c r="H10" s="937"/>
      <c r="I10" s="938"/>
      <c r="J10" s="937"/>
      <c r="K10" s="943"/>
      <c r="L10" s="899" t="s">
        <v>1858</v>
      </c>
      <c r="O10" s="366">
        <v>16</v>
      </c>
      <c r="P10" s="6"/>
      <c r="Q10" s="6"/>
      <c r="R10" s="364">
        <f t="shared" si="2"/>
        <v>0</v>
      </c>
      <c r="S10" s="364">
        <f>Q9*R10</f>
        <v>0</v>
      </c>
    </row>
    <row r="11" spans="1:19" ht="13">
      <c r="A11" s="1257"/>
      <c r="B11" s="1262" t="s">
        <v>520</v>
      </c>
      <c r="C11" s="1259" t="s">
        <v>577</v>
      </c>
      <c r="D11" s="921">
        <v>41361</v>
      </c>
      <c r="E11" s="940"/>
      <c r="F11" s="941"/>
      <c r="G11" s="941"/>
      <c r="H11" s="941"/>
      <c r="I11" s="942"/>
      <c r="J11" s="941"/>
      <c r="K11" s="939"/>
      <c r="L11" s="899" t="s">
        <v>1839</v>
      </c>
      <c r="O11" s="365">
        <v>18</v>
      </c>
      <c r="Q11" s="6"/>
      <c r="R11" s="364">
        <f>P11*2</f>
        <v>0</v>
      </c>
      <c r="S11" s="364">
        <f t="shared" si="0"/>
        <v>0</v>
      </c>
    </row>
    <row r="12" spans="1:19" ht="13">
      <c r="A12" s="1257"/>
      <c r="B12" s="1263"/>
      <c r="C12" s="1260"/>
      <c r="D12" s="910">
        <v>41389</v>
      </c>
      <c r="E12" s="936"/>
      <c r="F12" s="937"/>
      <c r="G12" s="937"/>
      <c r="H12" s="937"/>
      <c r="I12" s="938"/>
      <c r="J12" s="937"/>
      <c r="K12" s="943"/>
      <c r="L12" s="899" t="s">
        <v>1839</v>
      </c>
      <c r="O12" s="366">
        <v>20</v>
      </c>
      <c r="Q12" s="6"/>
      <c r="R12" s="364">
        <f>P12*2</f>
        <v>0</v>
      </c>
      <c r="S12" s="364">
        <f t="shared" si="0"/>
        <v>0</v>
      </c>
    </row>
    <row r="13" spans="1:19" ht="13">
      <c r="A13" s="1257"/>
      <c r="B13" s="1263"/>
      <c r="C13" s="1260"/>
      <c r="D13" s="910">
        <v>41415</v>
      </c>
      <c r="E13" s="933">
        <v>0.44166666666666665</v>
      </c>
      <c r="F13" s="923">
        <v>8.11</v>
      </c>
      <c r="G13" s="923">
        <v>5.5</v>
      </c>
      <c r="H13" s="923">
        <v>10.44</v>
      </c>
      <c r="I13" s="929">
        <v>5.1999999999999998E-2</v>
      </c>
      <c r="J13" s="923">
        <v>51.9</v>
      </c>
      <c r="K13" s="913">
        <v>0.05</v>
      </c>
      <c r="L13" s="899" t="s">
        <v>1841</v>
      </c>
      <c r="O13" s="365">
        <v>22</v>
      </c>
      <c r="P13" s="6"/>
      <c r="Q13" s="6"/>
      <c r="R13" s="364">
        <f>P13*5</f>
        <v>0</v>
      </c>
      <c r="S13" s="364">
        <f t="shared" si="0"/>
        <v>0</v>
      </c>
    </row>
    <row r="14" spans="1:19" ht="13">
      <c r="A14" s="1257"/>
      <c r="B14" s="1263"/>
      <c r="C14" s="1260"/>
      <c r="D14" s="910">
        <v>41443</v>
      </c>
      <c r="E14" s="933">
        <v>0.43958333333333338</v>
      </c>
      <c r="F14" s="923">
        <v>8.2200000000000006</v>
      </c>
      <c r="G14" s="923">
        <v>12</v>
      </c>
      <c r="H14" s="923">
        <v>10.28</v>
      </c>
      <c r="I14" s="929">
        <v>4.5999999999999999E-2</v>
      </c>
      <c r="J14" s="923">
        <v>21.6</v>
      </c>
      <c r="K14" s="913">
        <v>0.05</v>
      </c>
      <c r="L14" s="899" t="s">
        <v>1838</v>
      </c>
      <c r="O14" s="366">
        <v>24</v>
      </c>
      <c r="P14" s="6"/>
      <c r="Q14" s="6"/>
      <c r="R14" s="364">
        <f t="shared" si="2"/>
        <v>0</v>
      </c>
      <c r="S14" s="364">
        <f t="shared" si="0"/>
        <v>0</v>
      </c>
    </row>
    <row r="15" spans="1:19" ht="13">
      <c r="A15" s="1257"/>
      <c r="B15" s="1263"/>
      <c r="C15" s="1260"/>
      <c r="D15" s="910">
        <v>41478</v>
      </c>
      <c r="E15" s="933">
        <v>0.39930555555555558</v>
      </c>
      <c r="F15" s="923">
        <v>7.91</v>
      </c>
      <c r="G15" s="923">
        <v>14.8</v>
      </c>
      <c r="H15" s="926">
        <v>8.39</v>
      </c>
      <c r="I15" s="929">
        <v>4.8000000000000001E-2</v>
      </c>
      <c r="J15" s="923">
        <v>12.27</v>
      </c>
      <c r="K15" s="913">
        <v>0.05</v>
      </c>
      <c r="L15" s="899" t="s">
        <v>1838</v>
      </c>
      <c r="O15" s="365">
        <v>26</v>
      </c>
      <c r="Q15" s="6"/>
      <c r="R15" s="364">
        <f t="shared" ref="R15:R17" si="3">P15*2</f>
        <v>0</v>
      </c>
      <c r="S15" s="364">
        <f t="shared" si="0"/>
        <v>0</v>
      </c>
    </row>
    <row r="16" spans="1:19" ht="13">
      <c r="A16" s="1257"/>
      <c r="B16" s="1263"/>
      <c r="C16" s="1260"/>
      <c r="D16" s="910">
        <v>41513</v>
      </c>
      <c r="E16" s="933">
        <v>0.4513888888888889</v>
      </c>
      <c r="F16" s="923">
        <v>7.45</v>
      </c>
      <c r="G16" s="923">
        <v>13.36</v>
      </c>
      <c r="H16" s="926">
        <v>9.1</v>
      </c>
      <c r="I16" s="929">
        <v>4.2000000000000003E-2</v>
      </c>
      <c r="J16" s="923">
        <v>64.599999999999994</v>
      </c>
      <c r="K16" s="913">
        <v>0.05</v>
      </c>
      <c r="L16" s="899" t="s">
        <v>1843</v>
      </c>
      <c r="O16" s="366">
        <v>28</v>
      </c>
      <c r="Q16" s="6"/>
      <c r="R16" s="364">
        <f t="shared" si="3"/>
        <v>0</v>
      </c>
      <c r="S16" s="364">
        <f t="shared" si="0"/>
        <v>0</v>
      </c>
    </row>
    <row r="17" spans="1:19" ht="13">
      <c r="A17" s="1257"/>
      <c r="B17" s="1263"/>
      <c r="C17" s="1260"/>
      <c r="D17" s="910">
        <v>41542</v>
      </c>
      <c r="E17" s="933">
        <v>0.46180555555555558</v>
      </c>
      <c r="F17" s="923">
        <v>7.84</v>
      </c>
      <c r="G17" s="923">
        <v>6.6</v>
      </c>
      <c r="H17" s="926">
        <v>10.96</v>
      </c>
      <c r="I17" s="929">
        <v>6.2E-2</v>
      </c>
      <c r="J17" s="923">
        <v>200</v>
      </c>
      <c r="K17" s="913">
        <v>0</v>
      </c>
      <c r="L17" s="899" t="s">
        <v>1843</v>
      </c>
      <c r="O17" s="365">
        <v>30</v>
      </c>
      <c r="Q17"/>
      <c r="R17" s="364">
        <f t="shared" si="3"/>
        <v>0</v>
      </c>
      <c r="S17" s="364">
        <f t="shared" si="0"/>
        <v>0</v>
      </c>
    </row>
    <row r="18" spans="1:19">
      <c r="A18" s="1257"/>
      <c r="B18" s="1263"/>
      <c r="C18" s="1260"/>
      <c r="D18" s="910">
        <v>41570</v>
      </c>
      <c r="E18" s="933">
        <v>0.42708333333333331</v>
      </c>
      <c r="F18" s="923">
        <v>7.96</v>
      </c>
      <c r="G18" s="923">
        <v>1.8</v>
      </c>
      <c r="H18" s="926">
        <v>13.51</v>
      </c>
      <c r="I18" s="930">
        <v>6.0999999999999999E-2</v>
      </c>
      <c r="J18" s="923">
        <v>50</v>
      </c>
      <c r="K18" s="913">
        <v>0</v>
      </c>
      <c r="L18" s="899" t="s">
        <v>1838</v>
      </c>
      <c r="O18"/>
      <c r="Q18"/>
      <c r="R18"/>
      <c r="S18" s="6">
        <f>SUM(S3:S17)</f>
        <v>0</v>
      </c>
    </row>
    <row r="19" spans="1:19">
      <c r="A19" s="1257"/>
      <c r="B19" s="1264"/>
      <c r="C19" s="1261"/>
      <c r="D19" s="911">
        <v>41603</v>
      </c>
      <c r="E19" s="934">
        <v>0.41666666666666669</v>
      </c>
      <c r="F19" s="923">
        <v>7.87</v>
      </c>
      <c r="G19" s="923">
        <v>0.2</v>
      </c>
      <c r="H19" s="923">
        <v>12.93</v>
      </c>
      <c r="I19" s="930">
        <v>6.3E-2</v>
      </c>
      <c r="J19" s="923">
        <v>18.420000000000002</v>
      </c>
      <c r="K19" s="913">
        <v>0.02</v>
      </c>
      <c r="L19" s="909" t="s">
        <v>1838</v>
      </c>
    </row>
    <row r="20" spans="1:19">
      <c r="A20" s="1257"/>
      <c r="B20" s="1262" t="s">
        <v>262</v>
      </c>
      <c r="C20" s="1259" t="s">
        <v>1846</v>
      </c>
      <c r="D20" s="921">
        <v>41361</v>
      </c>
      <c r="E20" s="936"/>
      <c r="F20" s="937"/>
      <c r="G20" s="937"/>
      <c r="H20" s="937"/>
      <c r="I20" s="938"/>
      <c r="J20" s="937"/>
      <c r="K20" s="943"/>
      <c r="L20" s="899" t="s">
        <v>1840</v>
      </c>
    </row>
    <row r="21" spans="1:19">
      <c r="A21" s="1257"/>
      <c r="B21" s="1263"/>
      <c r="C21" s="1260"/>
      <c r="D21" s="910">
        <v>41389</v>
      </c>
      <c r="E21" s="936"/>
      <c r="F21" s="937"/>
      <c r="G21" s="937"/>
      <c r="H21" s="937"/>
      <c r="I21" s="938"/>
      <c r="J21" s="937"/>
      <c r="K21" s="943"/>
      <c r="L21" s="899" t="s">
        <v>1840</v>
      </c>
    </row>
    <row r="22" spans="1:19">
      <c r="A22" s="1257"/>
      <c r="B22" s="1263"/>
      <c r="C22" s="1260"/>
      <c r="D22" s="910">
        <v>41415</v>
      </c>
      <c r="E22" s="933">
        <v>0.45694444444444443</v>
      </c>
      <c r="F22" s="923">
        <v>7.81</v>
      </c>
      <c r="G22" s="923">
        <v>6.5</v>
      </c>
      <c r="H22" s="923">
        <v>9.74</v>
      </c>
      <c r="I22" s="929">
        <v>6.4000000000000001E-2</v>
      </c>
      <c r="J22" s="923">
        <v>76</v>
      </c>
      <c r="K22" s="913">
        <v>0.05</v>
      </c>
      <c r="L22" s="899" t="s">
        <v>1841</v>
      </c>
    </row>
    <row r="23" spans="1:19">
      <c r="A23" s="1257"/>
      <c r="B23" s="1263"/>
      <c r="C23" s="1260"/>
      <c r="D23" s="910">
        <v>41443</v>
      </c>
      <c r="E23" s="933">
        <v>0.45347222222222222</v>
      </c>
      <c r="F23" s="923">
        <v>8.18</v>
      </c>
      <c r="G23" s="923">
        <v>12.5</v>
      </c>
      <c r="H23" s="923">
        <v>10.24</v>
      </c>
      <c r="I23" s="929">
        <v>4.9000000000000002E-2</v>
      </c>
      <c r="J23" s="923">
        <v>32</v>
      </c>
      <c r="K23" s="913">
        <v>0.25</v>
      </c>
      <c r="L23" s="899" t="s">
        <v>1838</v>
      </c>
    </row>
    <row r="24" spans="1:19">
      <c r="A24" s="1257"/>
      <c r="B24" s="1263"/>
      <c r="C24" s="1260"/>
      <c r="D24" s="910">
        <v>41478</v>
      </c>
      <c r="E24" s="933">
        <v>0.41111111111111115</v>
      </c>
      <c r="F24" s="923">
        <v>7.9</v>
      </c>
      <c r="G24" s="923">
        <v>13.6</v>
      </c>
      <c r="H24" s="923">
        <v>9.9</v>
      </c>
      <c r="I24" s="929">
        <v>6.8000000000000005E-2</v>
      </c>
      <c r="J24" s="923">
        <v>21</v>
      </c>
      <c r="K24" s="913">
        <v>0.1</v>
      </c>
      <c r="L24" s="899" t="s">
        <v>1838</v>
      </c>
    </row>
    <row r="25" spans="1:19">
      <c r="A25" s="1257"/>
      <c r="B25" s="1263"/>
      <c r="C25" s="1260"/>
      <c r="D25" s="910">
        <v>41513</v>
      </c>
      <c r="E25" s="933">
        <v>0.46527777777777773</v>
      </c>
      <c r="F25" s="923">
        <v>7.7</v>
      </c>
      <c r="G25" s="923">
        <v>14.04</v>
      </c>
      <c r="H25" s="923">
        <v>8.06</v>
      </c>
      <c r="I25" s="929">
        <v>4.7E-2</v>
      </c>
      <c r="J25" s="923">
        <v>64</v>
      </c>
      <c r="K25" s="913">
        <v>0.05</v>
      </c>
      <c r="L25" s="899" t="s">
        <v>1843</v>
      </c>
    </row>
    <row r="26" spans="1:19">
      <c r="A26" s="1257"/>
      <c r="B26" s="1263"/>
      <c r="C26" s="1260"/>
      <c r="D26" s="910">
        <v>41542</v>
      </c>
      <c r="E26" s="933">
        <v>0.47638888888888892</v>
      </c>
      <c r="F26" s="923">
        <v>7.92</v>
      </c>
      <c r="G26" s="923">
        <v>6.7</v>
      </c>
      <c r="H26" s="923">
        <v>11.35</v>
      </c>
      <c r="I26" s="929">
        <v>7.5999999999999998E-2</v>
      </c>
      <c r="J26" s="923">
        <v>246</v>
      </c>
      <c r="K26" s="913">
        <v>0</v>
      </c>
      <c r="L26" s="899" t="s">
        <v>1843</v>
      </c>
    </row>
    <row r="27" spans="1:19">
      <c r="A27" s="1257"/>
      <c r="B27" s="1263"/>
      <c r="C27" s="1260"/>
      <c r="D27" s="910">
        <v>41570</v>
      </c>
      <c r="E27" s="933">
        <v>0.4909722222222222</v>
      </c>
      <c r="F27" s="923">
        <v>7.63</v>
      </c>
      <c r="G27" s="923">
        <v>2.5</v>
      </c>
      <c r="H27" s="923">
        <v>13.46</v>
      </c>
      <c r="I27" s="929">
        <v>7.5999999999999998E-2</v>
      </c>
      <c r="J27" s="923">
        <v>58</v>
      </c>
      <c r="K27" s="913">
        <v>0.05</v>
      </c>
      <c r="L27" s="899" t="s">
        <v>1841</v>
      </c>
    </row>
    <row r="28" spans="1:19">
      <c r="A28" s="1257"/>
      <c r="B28" s="1264"/>
      <c r="C28" s="1261"/>
      <c r="D28" s="911">
        <v>41603</v>
      </c>
      <c r="E28" s="933">
        <v>0.4291666666666667</v>
      </c>
      <c r="F28" s="923">
        <v>7.68</v>
      </c>
      <c r="G28" s="923">
        <v>0</v>
      </c>
      <c r="H28" s="923">
        <v>12.91</v>
      </c>
      <c r="I28" s="930">
        <v>7.6999999999999999E-2</v>
      </c>
      <c r="J28" s="923">
        <v>35</v>
      </c>
      <c r="K28" s="909">
        <v>30</v>
      </c>
      <c r="L28" s="909" t="s">
        <v>1838</v>
      </c>
    </row>
    <row r="29" spans="1:19">
      <c r="A29" s="1258" t="s">
        <v>265</v>
      </c>
      <c r="B29" s="1262" t="s">
        <v>186</v>
      </c>
      <c r="C29" s="1259" t="s">
        <v>1845</v>
      </c>
      <c r="D29" s="921">
        <v>41361</v>
      </c>
      <c r="E29" s="912">
        <v>0.38055555555555554</v>
      </c>
      <c r="F29" s="923">
        <v>8.39</v>
      </c>
      <c r="G29" s="923">
        <v>1.6</v>
      </c>
      <c r="H29" s="923">
        <v>12.89</v>
      </c>
      <c r="I29" s="929">
        <v>0.13300000000000001</v>
      </c>
      <c r="J29" s="923">
        <v>14.7</v>
      </c>
      <c r="K29" s="913">
        <v>0.2</v>
      </c>
      <c r="L29" s="899" t="s">
        <v>1838</v>
      </c>
    </row>
    <row r="30" spans="1:19">
      <c r="A30" s="1258"/>
      <c r="B30" s="1263"/>
      <c r="C30" s="1260"/>
      <c r="D30" s="910">
        <v>41389</v>
      </c>
      <c r="E30" s="912">
        <v>0.37847222222222227</v>
      </c>
      <c r="F30" s="923">
        <v>8.58</v>
      </c>
      <c r="G30" s="923">
        <v>3.1</v>
      </c>
      <c r="H30" s="923">
        <v>12.08</v>
      </c>
      <c r="I30" s="929">
        <v>0.17</v>
      </c>
      <c r="J30" s="923">
        <v>20.57</v>
      </c>
      <c r="K30" s="913">
        <v>0.2</v>
      </c>
      <c r="L30" s="899" t="s">
        <v>1841</v>
      </c>
    </row>
    <row r="31" spans="1:19">
      <c r="A31" s="1258"/>
      <c r="B31" s="1263"/>
      <c r="C31" s="1260"/>
      <c r="D31" s="910">
        <v>41415</v>
      </c>
      <c r="E31" s="912">
        <v>0.46319444444444446</v>
      </c>
      <c r="F31" s="923">
        <v>7.88</v>
      </c>
      <c r="G31" s="923">
        <v>9.1999999999999993</v>
      </c>
      <c r="H31" s="923">
        <v>8.9499999999999993</v>
      </c>
      <c r="I31" s="929">
        <v>0.09</v>
      </c>
      <c r="J31" s="923">
        <v>95</v>
      </c>
      <c r="K31" s="913">
        <v>0.05</v>
      </c>
      <c r="L31" s="899" t="s">
        <v>1843</v>
      </c>
    </row>
    <row r="32" spans="1:19">
      <c r="A32" s="1258"/>
      <c r="B32" s="1263"/>
      <c r="C32" s="1260"/>
      <c r="D32" s="910">
        <v>41443</v>
      </c>
      <c r="E32" s="912">
        <v>0.46875</v>
      </c>
      <c r="F32" s="923">
        <v>7.92</v>
      </c>
      <c r="G32" s="923">
        <v>15.8</v>
      </c>
      <c r="H32" s="923">
        <v>8.9499999999999993</v>
      </c>
      <c r="I32" s="929">
        <v>6.7000000000000004E-2</v>
      </c>
      <c r="J32" s="923">
        <v>30.22</v>
      </c>
      <c r="K32" s="913">
        <v>0.4</v>
      </c>
      <c r="L32" s="899" t="s">
        <v>1841</v>
      </c>
    </row>
    <row r="33" spans="1:12">
      <c r="A33" s="1258"/>
      <c r="B33" s="1263"/>
      <c r="C33" s="1260"/>
      <c r="D33" s="910">
        <v>41478</v>
      </c>
      <c r="E33" s="912">
        <v>0.45833333333333331</v>
      </c>
      <c r="F33" s="923">
        <v>7.67</v>
      </c>
      <c r="G33" s="923">
        <v>20.7</v>
      </c>
      <c r="H33" s="923">
        <v>7.65</v>
      </c>
      <c r="I33" s="929">
        <v>7.4999999999999997E-2</v>
      </c>
      <c r="J33" s="923">
        <v>17.47</v>
      </c>
      <c r="K33" s="913">
        <v>0.2</v>
      </c>
      <c r="L33" s="899" t="s">
        <v>1841</v>
      </c>
    </row>
    <row r="34" spans="1:12">
      <c r="A34" s="1258"/>
      <c r="B34" s="1263"/>
      <c r="C34" s="1260"/>
      <c r="D34" s="910">
        <v>41513</v>
      </c>
      <c r="E34" s="912">
        <v>0.47361111111111115</v>
      </c>
      <c r="F34" s="923">
        <v>7.76</v>
      </c>
      <c r="G34" s="923">
        <v>17.149999999999999</v>
      </c>
      <c r="H34" s="923">
        <v>7.46</v>
      </c>
      <c r="I34" s="929">
        <v>6.5000000000000002E-2</v>
      </c>
      <c r="J34" s="923">
        <v>70</v>
      </c>
      <c r="K34" s="913">
        <v>0.05</v>
      </c>
      <c r="L34" s="899" t="s">
        <v>1841</v>
      </c>
    </row>
    <row r="35" spans="1:12">
      <c r="A35" s="1258"/>
      <c r="B35" s="1263"/>
      <c r="C35" s="1260"/>
      <c r="D35" s="910">
        <v>41542</v>
      </c>
      <c r="E35" s="912">
        <v>0.48958333333333331</v>
      </c>
      <c r="F35" s="923">
        <v>7.9</v>
      </c>
      <c r="G35" s="923">
        <v>8.1</v>
      </c>
      <c r="H35" s="923">
        <v>11.15</v>
      </c>
      <c r="I35" s="929">
        <v>9.2999999999999999E-2</v>
      </c>
      <c r="J35" s="923">
        <v>250</v>
      </c>
      <c r="K35" s="913">
        <v>0</v>
      </c>
      <c r="L35" s="899" t="s">
        <v>1843</v>
      </c>
    </row>
    <row r="36" spans="1:12">
      <c r="A36" s="1258"/>
      <c r="B36" s="1263"/>
      <c r="C36" s="1260"/>
      <c r="D36" s="910">
        <v>41570</v>
      </c>
      <c r="E36" s="912">
        <v>0.5</v>
      </c>
      <c r="F36" s="923">
        <v>7.59</v>
      </c>
      <c r="G36" s="923">
        <v>4</v>
      </c>
      <c r="H36" s="923">
        <v>12.1</v>
      </c>
      <c r="I36" s="929">
        <v>0.10100000000000001</v>
      </c>
      <c r="J36" s="923">
        <v>60</v>
      </c>
      <c r="K36" s="913">
        <v>0.05</v>
      </c>
      <c r="L36" s="899" t="s">
        <v>1841</v>
      </c>
    </row>
    <row r="37" spans="1:12">
      <c r="A37" s="1258"/>
      <c r="B37" s="1264"/>
      <c r="C37" s="1261"/>
      <c r="D37" s="911">
        <v>41603</v>
      </c>
      <c r="E37" s="912">
        <v>0.4375</v>
      </c>
      <c r="F37" s="923">
        <v>7.64</v>
      </c>
      <c r="G37" s="923">
        <v>1.3</v>
      </c>
      <c r="H37" s="923">
        <v>12.37</v>
      </c>
      <c r="I37" s="929">
        <v>9.7000000000000003E-2</v>
      </c>
      <c r="J37" s="923">
        <v>38.479999999999997</v>
      </c>
      <c r="K37" s="913">
        <v>0.2</v>
      </c>
      <c r="L37" s="899" t="s">
        <v>1838</v>
      </c>
    </row>
    <row r="38" spans="1:12">
      <c r="A38" s="1258"/>
      <c r="B38" s="1262" t="s">
        <v>249</v>
      </c>
      <c r="C38" s="1259" t="s">
        <v>369</v>
      </c>
      <c r="D38" s="921">
        <v>41361</v>
      </c>
      <c r="E38" s="912">
        <v>0.39444444444444443</v>
      </c>
      <c r="F38" s="923">
        <v>8.15</v>
      </c>
      <c r="G38" s="923">
        <v>1.7</v>
      </c>
      <c r="H38" s="923">
        <v>13.05</v>
      </c>
      <c r="I38" s="929">
        <v>0.151</v>
      </c>
      <c r="J38" s="923">
        <v>9</v>
      </c>
      <c r="K38" s="913">
        <v>0.05</v>
      </c>
      <c r="L38" s="899" t="s">
        <v>1838</v>
      </c>
    </row>
    <row r="39" spans="1:12">
      <c r="A39" s="1258"/>
      <c r="B39" s="1263"/>
      <c r="C39" s="1260"/>
      <c r="D39" s="910">
        <v>41389</v>
      </c>
      <c r="E39" s="912">
        <v>0.3888888888888889</v>
      </c>
      <c r="F39" s="923">
        <v>8.27</v>
      </c>
      <c r="G39" s="923">
        <v>3.1</v>
      </c>
      <c r="H39" s="923">
        <v>12</v>
      </c>
      <c r="I39" s="929">
        <v>0.192</v>
      </c>
      <c r="J39" s="923">
        <v>18.5</v>
      </c>
      <c r="K39" s="913">
        <v>0.1</v>
      </c>
      <c r="L39" s="899" t="s">
        <v>1838</v>
      </c>
    </row>
    <row r="40" spans="1:12">
      <c r="A40" s="1258"/>
      <c r="B40" s="1263"/>
      <c r="C40" s="1260"/>
      <c r="D40" s="910">
        <v>41415</v>
      </c>
      <c r="E40" s="912">
        <v>0.46875</v>
      </c>
      <c r="F40" s="923">
        <v>7.75</v>
      </c>
      <c r="G40" s="923">
        <v>9.5</v>
      </c>
      <c r="H40" s="923">
        <v>8.8800000000000008</v>
      </c>
      <c r="I40" s="929">
        <v>9.7000000000000003E-2</v>
      </c>
      <c r="J40" s="923">
        <v>96.8</v>
      </c>
      <c r="K40" s="913">
        <v>0.05</v>
      </c>
      <c r="L40" s="899" t="s">
        <v>1843</v>
      </c>
    </row>
    <row r="41" spans="1:12">
      <c r="A41" s="1258"/>
      <c r="B41" s="1263"/>
      <c r="C41" s="1260"/>
      <c r="D41" s="910">
        <v>41443</v>
      </c>
      <c r="E41" s="912">
        <v>0.48333333333333334</v>
      </c>
      <c r="F41" s="923">
        <v>7.85</v>
      </c>
      <c r="G41" s="923">
        <v>16.8</v>
      </c>
      <c r="H41" s="923">
        <v>8.8800000000000008</v>
      </c>
      <c r="I41" s="929">
        <v>8.2000000000000003E-2</v>
      </c>
      <c r="J41" s="923">
        <v>36.1</v>
      </c>
      <c r="K41" s="913">
        <v>0.4</v>
      </c>
      <c r="L41" s="899" t="s">
        <v>1841</v>
      </c>
    </row>
    <row r="42" spans="1:12">
      <c r="A42" s="1258"/>
      <c r="B42" s="1263"/>
      <c r="C42" s="1260"/>
      <c r="D42" s="910">
        <v>41478</v>
      </c>
      <c r="E42" s="912">
        <v>0.47361111111111115</v>
      </c>
      <c r="F42" s="923">
        <v>7.68</v>
      </c>
      <c r="G42" s="923">
        <v>20.8</v>
      </c>
      <c r="H42" s="923">
        <v>8.1199999999999992</v>
      </c>
      <c r="I42" s="929">
        <v>9.7000000000000003E-2</v>
      </c>
      <c r="J42" s="923">
        <v>14.41</v>
      </c>
      <c r="K42" s="913">
        <v>0.25</v>
      </c>
      <c r="L42" s="899" t="s">
        <v>1841</v>
      </c>
    </row>
    <row r="43" spans="1:12">
      <c r="A43" s="1258"/>
      <c r="B43" s="1263"/>
      <c r="C43" s="1260"/>
      <c r="D43" s="910">
        <v>41513</v>
      </c>
      <c r="E43" s="912">
        <v>0.4826388888888889</v>
      </c>
      <c r="F43" s="923">
        <v>7.67</v>
      </c>
      <c r="G43" s="923">
        <v>17.87</v>
      </c>
      <c r="H43" s="923">
        <v>7.57</v>
      </c>
      <c r="I43" s="929">
        <v>7.0999999999999994E-2</v>
      </c>
      <c r="J43" s="923">
        <v>70</v>
      </c>
      <c r="K43" s="913">
        <v>0.05</v>
      </c>
      <c r="L43" s="899" t="s">
        <v>1843</v>
      </c>
    </row>
    <row r="44" spans="1:12">
      <c r="A44" s="1258"/>
      <c r="B44" s="1263"/>
      <c r="C44" s="1260"/>
      <c r="D44" s="910">
        <v>41542</v>
      </c>
      <c r="E44" s="912">
        <v>0.49652777777777773</v>
      </c>
      <c r="F44" s="923">
        <v>7.92</v>
      </c>
      <c r="G44" s="923">
        <v>8.5</v>
      </c>
      <c r="H44" s="923">
        <v>11.15</v>
      </c>
      <c r="I44" s="930">
        <v>9.2999999999999999E-2</v>
      </c>
      <c r="J44" s="923">
        <v>250</v>
      </c>
      <c r="K44" s="913">
        <v>0</v>
      </c>
      <c r="L44" s="899" t="s">
        <v>1843</v>
      </c>
    </row>
    <row r="45" spans="1:12">
      <c r="A45" s="1258"/>
      <c r="B45" s="1263"/>
      <c r="C45" s="1260"/>
      <c r="D45" s="910">
        <v>41570</v>
      </c>
      <c r="E45" s="912">
        <v>0.51041666666666663</v>
      </c>
      <c r="F45" s="923">
        <v>7.62</v>
      </c>
      <c r="G45" s="923">
        <v>4.5999999999999996</v>
      </c>
      <c r="H45" s="923">
        <v>11.77</v>
      </c>
      <c r="I45" s="929">
        <v>0.11</v>
      </c>
      <c r="J45" s="923">
        <v>60</v>
      </c>
      <c r="K45" s="913">
        <v>0.05</v>
      </c>
      <c r="L45" s="899" t="s">
        <v>1841</v>
      </c>
    </row>
    <row r="46" spans="1:12">
      <c r="A46" s="1258"/>
      <c r="B46" s="1264"/>
      <c r="C46" s="1261"/>
      <c r="D46" s="911">
        <v>41603</v>
      </c>
      <c r="E46" s="912">
        <v>0.44861111111111113</v>
      </c>
      <c r="F46" s="923">
        <v>8.11</v>
      </c>
      <c r="G46" s="923">
        <v>1.7</v>
      </c>
      <c r="H46" s="923">
        <v>12.77</v>
      </c>
      <c r="I46" s="929">
        <v>0.114</v>
      </c>
      <c r="J46" s="923">
        <v>40</v>
      </c>
      <c r="K46" s="913">
        <v>0.3</v>
      </c>
      <c r="L46" s="899" t="s">
        <v>1838</v>
      </c>
    </row>
    <row r="47" spans="1:12">
      <c r="A47" s="1258"/>
      <c r="B47" s="1262" t="s">
        <v>250</v>
      </c>
      <c r="C47" s="1259" t="s">
        <v>1848</v>
      </c>
      <c r="D47" s="921">
        <v>41361</v>
      </c>
      <c r="E47" s="912">
        <v>0.40763888888888888</v>
      </c>
      <c r="F47" s="923">
        <v>8.1199999999999992</v>
      </c>
      <c r="G47" s="923">
        <v>1.3</v>
      </c>
      <c r="H47" s="923">
        <v>13.28</v>
      </c>
      <c r="I47" s="929">
        <v>0.11700000000000001</v>
      </c>
      <c r="J47" s="923">
        <v>15.04</v>
      </c>
      <c r="K47" s="913">
        <v>0.05</v>
      </c>
      <c r="L47" s="899" t="s">
        <v>1838</v>
      </c>
    </row>
    <row r="48" spans="1:12">
      <c r="A48" s="1258"/>
      <c r="B48" s="1263"/>
      <c r="C48" s="1260"/>
      <c r="D48" s="910">
        <v>41389</v>
      </c>
      <c r="E48" s="912">
        <v>0.41666666666666669</v>
      </c>
      <c r="F48" s="923">
        <v>8.4499999999999993</v>
      </c>
      <c r="G48" s="923">
        <v>3.3</v>
      </c>
      <c r="H48" s="923">
        <v>13.1</v>
      </c>
      <c r="I48" s="929">
        <v>0.223</v>
      </c>
      <c r="J48" s="923">
        <v>10.68</v>
      </c>
      <c r="K48" s="913">
        <v>0.15</v>
      </c>
      <c r="L48" s="899" t="s">
        <v>1841</v>
      </c>
    </row>
    <row r="49" spans="1:12">
      <c r="A49" s="1258"/>
      <c r="B49" s="1263"/>
      <c r="C49" s="1260"/>
      <c r="D49" s="910">
        <v>41415</v>
      </c>
      <c r="E49" s="912">
        <v>0.47916666666666669</v>
      </c>
      <c r="F49" s="923">
        <v>8.2200000000000006</v>
      </c>
      <c r="G49" s="923">
        <v>9.8000000000000007</v>
      </c>
      <c r="H49" s="923">
        <v>8.93</v>
      </c>
      <c r="I49" s="929">
        <v>0.113</v>
      </c>
      <c r="J49" s="923">
        <v>95</v>
      </c>
      <c r="K49" s="913">
        <v>0.2</v>
      </c>
      <c r="L49" s="899" t="s">
        <v>1843</v>
      </c>
    </row>
    <row r="50" spans="1:12">
      <c r="A50" s="1258"/>
      <c r="B50" s="1263"/>
      <c r="C50" s="1260"/>
      <c r="D50" s="910">
        <v>41443</v>
      </c>
      <c r="E50" s="912">
        <v>0.51458333333333328</v>
      </c>
      <c r="F50" s="923">
        <v>8.1999999999999993</v>
      </c>
      <c r="G50" s="923">
        <v>17.399999999999999</v>
      </c>
      <c r="H50" s="923">
        <v>8.93</v>
      </c>
      <c r="I50" s="929">
        <v>9.1999999999999998E-2</v>
      </c>
      <c r="J50" s="923">
        <v>31.92</v>
      </c>
      <c r="K50" s="913">
        <v>0.15</v>
      </c>
      <c r="L50" s="899" t="s">
        <v>1841</v>
      </c>
    </row>
    <row r="51" spans="1:12">
      <c r="A51" s="1258"/>
      <c r="B51" s="1263"/>
      <c r="C51" s="1260"/>
      <c r="D51" s="910">
        <v>41478</v>
      </c>
      <c r="E51" s="912">
        <v>0.4916666666666667</v>
      </c>
      <c r="F51" s="923">
        <v>8.17</v>
      </c>
      <c r="G51" s="923">
        <v>20</v>
      </c>
      <c r="H51" s="923">
        <v>8.69</v>
      </c>
      <c r="I51" s="929">
        <v>0.10100000000000001</v>
      </c>
      <c r="J51" s="923">
        <v>13.53</v>
      </c>
      <c r="K51" s="913">
        <v>0.25</v>
      </c>
      <c r="L51" s="899" t="s">
        <v>1841</v>
      </c>
    </row>
    <row r="52" spans="1:12">
      <c r="A52" s="1258"/>
      <c r="B52" s="1263"/>
      <c r="C52" s="1260"/>
      <c r="D52" s="910">
        <v>41513</v>
      </c>
      <c r="E52" s="912">
        <v>0.49583333333333335</v>
      </c>
      <c r="F52" s="923">
        <v>8.15</v>
      </c>
      <c r="G52" s="923">
        <v>17.989999999999998</v>
      </c>
      <c r="H52" s="923">
        <v>7.65</v>
      </c>
      <c r="I52" s="929">
        <v>8.3000000000000004E-2</v>
      </c>
      <c r="J52" s="923">
        <v>70</v>
      </c>
      <c r="K52" s="913">
        <v>0.05</v>
      </c>
      <c r="L52" s="899" t="s">
        <v>1843</v>
      </c>
    </row>
    <row r="53" spans="1:12">
      <c r="A53" s="1258"/>
      <c r="B53" s="1263"/>
      <c r="C53" s="1260"/>
      <c r="D53" s="910">
        <v>41542</v>
      </c>
      <c r="E53" s="912">
        <v>0.51041666666666663</v>
      </c>
      <c r="F53" s="923">
        <v>8.17</v>
      </c>
      <c r="G53" s="923">
        <v>9</v>
      </c>
      <c r="H53" s="923">
        <v>10.66</v>
      </c>
      <c r="I53" s="929">
        <v>0.111</v>
      </c>
      <c r="J53" s="923">
        <v>250</v>
      </c>
      <c r="K53" s="913">
        <v>0</v>
      </c>
      <c r="L53" s="899" t="s">
        <v>1843</v>
      </c>
    </row>
    <row r="54" spans="1:12">
      <c r="A54" s="1258"/>
      <c r="B54" s="1263"/>
      <c r="C54" s="1260"/>
      <c r="D54" s="910">
        <v>41570</v>
      </c>
      <c r="E54" s="912">
        <v>0.52430555555555558</v>
      </c>
      <c r="F54" s="923">
        <v>8.1</v>
      </c>
      <c r="G54" s="923">
        <v>4.9000000000000004</v>
      </c>
      <c r="H54" s="923">
        <v>11.81</v>
      </c>
      <c r="I54" s="929">
        <v>0.13800000000000001</v>
      </c>
      <c r="J54" s="923">
        <v>60</v>
      </c>
      <c r="K54" s="913">
        <v>0.05</v>
      </c>
      <c r="L54" s="899" t="s">
        <v>1841</v>
      </c>
    </row>
    <row r="55" spans="1:12">
      <c r="A55" s="1258"/>
      <c r="B55" s="1264"/>
      <c r="C55" s="1261"/>
      <c r="D55" s="911">
        <v>41603</v>
      </c>
      <c r="E55" s="912">
        <v>0.46666666666666662</v>
      </c>
      <c r="F55" s="923">
        <v>8.67</v>
      </c>
      <c r="G55" s="923">
        <v>1.7</v>
      </c>
      <c r="H55" s="923">
        <v>13.13</v>
      </c>
      <c r="I55" s="930">
        <v>0.15</v>
      </c>
      <c r="J55" s="923">
        <v>40</v>
      </c>
      <c r="K55" s="913">
        <v>0.2</v>
      </c>
      <c r="L55" s="909" t="s">
        <v>1838</v>
      </c>
    </row>
    <row r="56" spans="1:12">
      <c r="A56" s="1258"/>
      <c r="B56" s="1262" t="s">
        <v>251</v>
      </c>
      <c r="C56" s="1259" t="s">
        <v>1849</v>
      </c>
      <c r="D56" s="921">
        <v>41361</v>
      </c>
      <c r="E56" s="912">
        <v>0.44791666666666669</v>
      </c>
      <c r="F56" s="923">
        <v>8.35</v>
      </c>
      <c r="G56" s="923">
        <v>2.1</v>
      </c>
      <c r="H56" s="923">
        <v>13.26</v>
      </c>
      <c r="I56" s="929">
        <v>0.25600000000000001</v>
      </c>
      <c r="J56" s="923">
        <v>8.93</v>
      </c>
      <c r="K56" s="913">
        <v>0.1</v>
      </c>
      <c r="L56" s="899" t="s">
        <v>1838</v>
      </c>
    </row>
    <row r="57" spans="1:12">
      <c r="A57" s="1258"/>
      <c r="B57" s="1263"/>
      <c r="C57" s="1260"/>
      <c r="D57" s="910">
        <v>41389</v>
      </c>
      <c r="E57" s="912">
        <v>0.46180555555555558</v>
      </c>
      <c r="F57" s="923">
        <v>8.4700000000000006</v>
      </c>
      <c r="G57" s="923">
        <v>4</v>
      </c>
      <c r="H57" s="923">
        <v>12.54</v>
      </c>
      <c r="I57" s="929">
        <v>0.27200000000000002</v>
      </c>
      <c r="J57" s="923">
        <v>26.72</v>
      </c>
      <c r="K57" s="913">
        <v>0.25</v>
      </c>
      <c r="L57" s="899" t="s">
        <v>1841</v>
      </c>
    </row>
    <row r="58" spans="1:12">
      <c r="A58" s="1258"/>
      <c r="B58" s="1263"/>
      <c r="C58" s="1260"/>
      <c r="D58" s="910">
        <v>41415</v>
      </c>
      <c r="E58" s="912">
        <v>0.48958333333333331</v>
      </c>
      <c r="F58" s="923">
        <v>7.88</v>
      </c>
      <c r="G58" s="923">
        <v>10.4</v>
      </c>
      <c r="H58" s="923">
        <v>8.9</v>
      </c>
      <c r="I58" s="929">
        <v>0.11799999999999999</v>
      </c>
      <c r="J58" s="923">
        <v>95</v>
      </c>
      <c r="K58" s="913">
        <v>0.1</v>
      </c>
      <c r="L58" s="899" t="s">
        <v>1843</v>
      </c>
    </row>
    <row r="59" spans="1:12">
      <c r="A59" s="1258"/>
      <c r="B59" s="1263"/>
      <c r="C59" s="1260"/>
      <c r="D59" s="910">
        <v>41443</v>
      </c>
      <c r="E59" s="912">
        <v>0.52708333333333335</v>
      </c>
      <c r="F59" s="923">
        <v>7.99</v>
      </c>
      <c r="G59" s="923">
        <v>16.8</v>
      </c>
      <c r="H59" s="923">
        <v>8.9</v>
      </c>
      <c r="I59" s="929">
        <v>0.109</v>
      </c>
      <c r="J59" s="923">
        <v>31.05</v>
      </c>
      <c r="K59" s="913">
        <v>0.15</v>
      </c>
      <c r="L59" s="899" t="s">
        <v>1841</v>
      </c>
    </row>
    <row r="60" spans="1:12">
      <c r="A60" s="1258"/>
      <c r="B60" s="1263"/>
      <c r="C60" s="1260"/>
      <c r="D60" s="910">
        <v>41478</v>
      </c>
      <c r="E60" s="912">
        <v>0.50694444444444442</v>
      </c>
      <c r="F60" s="923">
        <v>8.01</v>
      </c>
      <c r="G60" s="923">
        <v>19.5</v>
      </c>
      <c r="H60" s="923">
        <v>8.9700000000000006</v>
      </c>
      <c r="I60" s="929">
        <v>0.124</v>
      </c>
      <c r="J60" s="923">
        <v>9.3699999999999992</v>
      </c>
      <c r="K60" s="913">
        <v>0.25</v>
      </c>
      <c r="L60" s="899" t="s">
        <v>1841</v>
      </c>
    </row>
    <row r="61" spans="1:12">
      <c r="A61" s="1258"/>
      <c r="B61" s="1263"/>
      <c r="C61" s="1260"/>
      <c r="D61" s="910">
        <v>41513</v>
      </c>
      <c r="E61" s="912">
        <v>0.50486111111111109</v>
      </c>
      <c r="F61" s="923">
        <v>7.94</v>
      </c>
      <c r="G61" s="923">
        <v>17.91</v>
      </c>
      <c r="H61" s="923">
        <v>7.59</v>
      </c>
      <c r="I61" s="929">
        <v>0.1</v>
      </c>
      <c r="J61" s="923">
        <v>71.11</v>
      </c>
      <c r="K61" s="913">
        <v>0.05</v>
      </c>
      <c r="L61" s="899" t="s">
        <v>1843</v>
      </c>
    </row>
    <row r="62" spans="1:12">
      <c r="A62" s="1258"/>
      <c r="B62" s="1263"/>
      <c r="C62" s="1260"/>
      <c r="D62" s="910">
        <v>41542</v>
      </c>
      <c r="E62" s="912">
        <v>0.52638888888888891</v>
      </c>
      <c r="F62" s="923">
        <v>8.08</v>
      </c>
      <c r="G62" s="923">
        <v>9.6</v>
      </c>
      <c r="H62" s="923">
        <v>11.24</v>
      </c>
      <c r="I62" s="929">
        <v>0.122</v>
      </c>
      <c r="J62" s="923">
        <v>250</v>
      </c>
      <c r="K62" s="913">
        <v>0</v>
      </c>
      <c r="L62" s="899" t="s">
        <v>1843</v>
      </c>
    </row>
    <row r="63" spans="1:12">
      <c r="A63" s="1258"/>
      <c r="B63" s="1263"/>
      <c r="C63" s="1260"/>
      <c r="D63" s="910">
        <v>41570</v>
      </c>
      <c r="E63" s="912">
        <v>0.53611111111111109</v>
      </c>
      <c r="F63" s="923">
        <v>7.86</v>
      </c>
      <c r="G63" s="923">
        <v>4.9000000000000004</v>
      </c>
      <c r="H63" s="923">
        <v>12.28</v>
      </c>
      <c r="I63" s="929">
        <v>0.161</v>
      </c>
      <c r="J63" s="923">
        <v>60</v>
      </c>
      <c r="K63" s="913">
        <v>0.05</v>
      </c>
      <c r="L63" s="899" t="s">
        <v>1838</v>
      </c>
    </row>
    <row r="64" spans="1:12">
      <c r="A64" s="1258"/>
      <c r="B64" s="1264"/>
      <c r="C64" s="1261"/>
      <c r="D64" s="911">
        <v>41603</v>
      </c>
      <c r="E64" s="912">
        <v>0.47916666666666669</v>
      </c>
      <c r="F64" s="923">
        <v>8.4</v>
      </c>
      <c r="G64" s="923">
        <v>1.7</v>
      </c>
      <c r="H64" s="923">
        <v>12.04</v>
      </c>
      <c r="I64" s="930">
        <v>0.17399999999999999</v>
      </c>
      <c r="J64" s="924">
        <v>40</v>
      </c>
      <c r="K64" s="913">
        <v>0.5</v>
      </c>
      <c r="L64" s="899" t="s">
        <v>1838</v>
      </c>
    </row>
    <row r="65" spans="1:12">
      <c r="A65" s="1258"/>
      <c r="B65" s="1262" t="s">
        <v>252</v>
      </c>
      <c r="C65" s="1259" t="s">
        <v>1850</v>
      </c>
      <c r="D65" s="921">
        <v>41361</v>
      </c>
      <c r="E65" s="912">
        <v>0.46180555555555558</v>
      </c>
      <c r="F65" s="923">
        <v>8.0399999999999991</v>
      </c>
      <c r="G65" s="923">
        <v>2.5</v>
      </c>
      <c r="H65" s="923">
        <v>12.75</v>
      </c>
      <c r="I65" s="929">
        <v>0.26600000000000001</v>
      </c>
      <c r="J65" s="923">
        <v>10.73</v>
      </c>
      <c r="K65" s="913">
        <v>0.1</v>
      </c>
      <c r="L65" s="899" t="s">
        <v>1838</v>
      </c>
    </row>
    <row r="66" spans="1:12">
      <c r="A66" s="1258"/>
      <c r="B66" s="1263"/>
      <c r="C66" s="1260"/>
      <c r="D66" s="910">
        <v>41389</v>
      </c>
      <c r="E66" s="912">
        <v>0.47569444444444442</v>
      </c>
      <c r="F66" s="923">
        <v>8.5500000000000007</v>
      </c>
      <c r="G66" s="923">
        <v>4.8</v>
      </c>
      <c r="H66" s="923">
        <v>11.86</v>
      </c>
      <c r="I66" s="929">
        <v>0.27</v>
      </c>
      <c r="J66" s="923">
        <v>26.47</v>
      </c>
      <c r="K66" s="913">
        <v>0.25</v>
      </c>
      <c r="L66" s="899" t="s">
        <v>1841</v>
      </c>
    </row>
    <row r="67" spans="1:12">
      <c r="A67" s="1258"/>
      <c r="B67" s="1263"/>
      <c r="C67" s="1260"/>
      <c r="D67" s="910">
        <v>41415</v>
      </c>
      <c r="E67" s="912">
        <v>0.5</v>
      </c>
      <c r="F67" s="923">
        <v>7.87</v>
      </c>
      <c r="G67" s="923">
        <v>10.8</v>
      </c>
      <c r="H67" s="923">
        <v>8.67</v>
      </c>
      <c r="I67" s="929">
        <v>0.121</v>
      </c>
      <c r="J67" s="923">
        <v>100</v>
      </c>
      <c r="K67" s="913">
        <v>0.05</v>
      </c>
      <c r="L67" s="899" t="s">
        <v>1841</v>
      </c>
    </row>
    <row r="68" spans="1:12">
      <c r="A68" s="1258"/>
      <c r="B68" s="1263"/>
      <c r="C68" s="1260"/>
      <c r="D68" s="910">
        <v>41443</v>
      </c>
      <c r="E68" s="912">
        <v>0.53541666666666665</v>
      </c>
      <c r="F68" s="923">
        <v>7.94</v>
      </c>
      <c r="G68" s="923">
        <v>16.8</v>
      </c>
      <c r="H68" s="923">
        <v>8.9499999999999993</v>
      </c>
      <c r="I68" s="929">
        <v>8.3000000000000004E-2</v>
      </c>
      <c r="J68" s="923">
        <v>38.43</v>
      </c>
      <c r="K68" s="913">
        <v>0.15</v>
      </c>
      <c r="L68" s="899" t="s">
        <v>1841</v>
      </c>
    </row>
    <row r="69" spans="1:12">
      <c r="A69" s="1258"/>
      <c r="B69" s="1263"/>
      <c r="C69" s="1260"/>
      <c r="D69" s="910">
        <v>41478</v>
      </c>
      <c r="E69" s="912">
        <v>0.51944444444444449</v>
      </c>
      <c r="F69" s="923">
        <v>7.96</v>
      </c>
      <c r="G69" s="923">
        <v>20.3</v>
      </c>
      <c r="H69" s="923">
        <v>8.3000000000000007</v>
      </c>
      <c r="I69" s="929">
        <v>0.13900000000000001</v>
      </c>
      <c r="J69" s="923">
        <v>9.57</v>
      </c>
      <c r="K69" s="913">
        <v>0.25</v>
      </c>
      <c r="L69" s="899" t="s">
        <v>1841</v>
      </c>
    </row>
    <row r="70" spans="1:12">
      <c r="A70" s="1258"/>
      <c r="B70" s="1263"/>
      <c r="C70" s="1260"/>
      <c r="D70" s="910">
        <v>41513</v>
      </c>
      <c r="E70" s="912">
        <v>0.51944444444444449</v>
      </c>
      <c r="F70" s="923">
        <v>7.9</v>
      </c>
      <c r="G70" s="923">
        <v>18.91</v>
      </c>
      <c r="H70" s="923">
        <v>8.66</v>
      </c>
      <c r="I70" s="929">
        <v>0.10100000000000001</v>
      </c>
      <c r="J70" s="923">
        <v>72</v>
      </c>
      <c r="K70" s="913">
        <v>0.05</v>
      </c>
      <c r="L70" s="899" t="s">
        <v>1843</v>
      </c>
    </row>
    <row r="71" spans="1:12">
      <c r="A71" s="1258"/>
      <c r="B71" s="1263"/>
      <c r="C71" s="1260"/>
      <c r="D71" s="910">
        <v>41542</v>
      </c>
      <c r="E71" s="912">
        <v>0.5395833333333333</v>
      </c>
      <c r="F71" s="923">
        <v>8.1199999999999992</v>
      </c>
      <c r="G71" s="923">
        <v>9.9</v>
      </c>
      <c r="H71" s="923">
        <v>10.65</v>
      </c>
      <c r="I71" s="929">
        <v>0.124</v>
      </c>
      <c r="J71" s="923">
        <v>250</v>
      </c>
      <c r="K71" s="913">
        <v>0</v>
      </c>
      <c r="L71" s="899" t="s">
        <v>1843</v>
      </c>
    </row>
    <row r="72" spans="1:12">
      <c r="A72" s="1258"/>
      <c r="B72" s="1263"/>
      <c r="C72" s="1260"/>
      <c r="D72" s="910">
        <v>41570</v>
      </c>
      <c r="E72" s="912">
        <v>4.5833333333333337E-2</v>
      </c>
      <c r="F72" s="923">
        <v>7.87</v>
      </c>
      <c r="G72" s="923">
        <v>5.0999999999999996</v>
      </c>
      <c r="H72" s="923">
        <v>12.09</v>
      </c>
      <c r="I72" s="930">
        <v>0.16</v>
      </c>
      <c r="J72" s="923">
        <v>60</v>
      </c>
      <c r="K72" s="913">
        <v>0.05</v>
      </c>
      <c r="L72" s="909" t="s">
        <v>1838</v>
      </c>
    </row>
    <row r="73" spans="1:12">
      <c r="A73" s="1258"/>
      <c r="B73" s="1264"/>
      <c r="C73" s="1261"/>
      <c r="D73" s="911">
        <v>41603</v>
      </c>
      <c r="E73" s="912">
        <v>0.48958333333333331</v>
      </c>
      <c r="F73" s="923">
        <v>8.3699999999999992</v>
      </c>
      <c r="G73" s="923">
        <v>1.8</v>
      </c>
      <c r="H73" s="923">
        <v>12.92</v>
      </c>
      <c r="I73" s="930">
        <v>0.16800000000000001</v>
      </c>
      <c r="J73" s="923">
        <v>40</v>
      </c>
      <c r="K73" s="913">
        <v>0.2</v>
      </c>
      <c r="L73" s="909" t="s">
        <v>1838</v>
      </c>
    </row>
    <row r="74" spans="1:12">
      <c r="A74" s="1258"/>
      <c r="B74" s="1262" t="s">
        <v>253</v>
      </c>
      <c r="C74" s="1259" t="s">
        <v>1851</v>
      </c>
      <c r="D74" s="921">
        <v>41361</v>
      </c>
      <c r="E74" s="912">
        <v>0.47916666666666669</v>
      </c>
      <c r="F74" s="923">
        <v>8.31</v>
      </c>
      <c r="G74" s="923">
        <v>3.3</v>
      </c>
      <c r="H74" s="923">
        <v>12.9</v>
      </c>
      <c r="I74" s="929">
        <v>0.30299999999999999</v>
      </c>
      <c r="J74" s="923">
        <v>12.42</v>
      </c>
      <c r="K74" s="913">
        <v>0.1</v>
      </c>
      <c r="L74" s="899" t="s">
        <v>1838</v>
      </c>
    </row>
    <row r="75" spans="1:12">
      <c r="A75" s="1258"/>
      <c r="B75" s="1263"/>
      <c r="C75" s="1260"/>
      <c r="D75" s="910">
        <v>41389</v>
      </c>
      <c r="E75" s="912">
        <v>0.49305555555555558</v>
      </c>
      <c r="F75" s="923">
        <v>8.5500000000000007</v>
      </c>
      <c r="G75" s="923">
        <v>5.0999999999999996</v>
      </c>
      <c r="H75" s="923">
        <v>11.87</v>
      </c>
      <c r="I75" s="929">
        <v>0.313</v>
      </c>
      <c r="J75" s="923">
        <v>35.18</v>
      </c>
      <c r="K75" s="913">
        <v>0.15</v>
      </c>
      <c r="L75" s="899" t="s">
        <v>1841</v>
      </c>
    </row>
    <row r="76" spans="1:12">
      <c r="A76" s="1258"/>
      <c r="B76" s="1263"/>
      <c r="C76" s="1260"/>
      <c r="D76" s="910">
        <v>41415</v>
      </c>
      <c r="E76" s="912">
        <v>0.51041666666666663</v>
      </c>
      <c r="F76" s="923">
        <v>7.87</v>
      </c>
      <c r="G76" s="923">
        <v>10.6</v>
      </c>
      <c r="H76" s="923">
        <v>9.23</v>
      </c>
      <c r="I76" s="929">
        <v>0.123</v>
      </c>
      <c r="J76" s="923">
        <v>110</v>
      </c>
      <c r="K76" s="913">
        <v>0.1</v>
      </c>
      <c r="L76" s="899" t="s">
        <v>1843</v>
      </c>
    </row>
    <row r="77" spans="1:12">
      <c r="A77" s="1258"/>
      <c r="B77" s="1263"/>
      <c r="C77" s="1260"/>
      <c r="D77" s="910">
        <v>41443</v>
      </c>
      <c r="E77" s="912">
        <v>5.0694444444444452E-2</v>
      </c>
      <c r="F77" s="923">
        <v>7.83</v>
      </c>
      <c r="G77" s="923">
        <v>16.3</v>
      </c>
      <c r="H77" s="923">
        <v>9.2100000000000009</v>
      </c>
      <c r="I77" s="929">
        <v>0.11600000000000001</v>
      </c>
      <c r="J77" s="923">
        <v>47.12</v>
      </c>
      <c r="K77" s="913">
        <v>0.15</v>
      </c>
      <c r="L77" s="899" t="s">
        <v>1841</v>
      </c>
    </row>
    <row r="78" spans="1:12">
      <c r="A78" s="1258"/>
      <c r="B78" s="1263"/>
      <c r="C78" s="1260"/>
      <c r="D78" s="910">
        <v>41478</v>
      </c>
      <c r="E78" s="912">
        <v>0.53472222222222221</v>
      </c>
      <c r="F78" s="923">
        <v>7.97</v>
      </c>
      <c r="G78" s="923">
        <v>19.899999999999999</v>
      </c>
      <c r="H78" s="923">
        <v>9.2799999999999994</v>
      </c>
      <c r="I78" s="929">
        <v>0.129</v>
      </c>
      <c r="J78" s="923">
        <v>9.14</v>
      </c>
      <c r="K78" s="913">
        <v>0.25</v>
      </c>
      <c r="L78" s="899" t="s">
        <v>1841</v>
      </c>
    </row>
    <row r="79" spans="1:12">
      <c r="A79" s="1258"/>
      <c r="B79" s="1263"/>
      <c r="C79" s="1260"/>
      <c r="D79" s="910">
        <v>41513</v>
      </c>
      <c r="E79" s="912">
        <v>0.52777777777777779</v>
      </c>
      <c r="F79" s="923">
        <v>7.86</v>
      </c>
      <c r="G79" s="923">
        <v>18.43</v>
      </c>
      <c r="H79" s="923">
        <v>7.72</v>
      </c>
      <c r="I79" s="929">
        <v>0.111</v>
      </c>
      <c r="J79" s="923">
        <v>80</v>
      </c>
      <c r="K79" s="913">
        <v>0.05</v>
      </c>
      <c r="L79" s="899" t="s">
        <v>1843</v>
      </c>
    </row>
    <row r="80" spans="1:12">
      <c r="A80" s="1258"/>
      <c r="B80" s="1263"/>
      <c r="C80" s="1260"/>
      <c r="D80" s="910">
        <v>41542</v>
      </c>
      <c r="E80" s="912">
        <v>5.2777777777777778E-2</v>
      </c>
      <c r="F80" s="923">
        <v>8.1199999999999992</v>
      </c>
      <c r="G80" s="923">
        <v>10.3</v>
      </c>
      <c r="H80" s="923">
        <v>10.78</v>
      </c>
      <c r="I80" s="929">
        <v>0.126</v>
      </c>
      <c r="J80" s="923">
        <v>250</v>
      </c>
      <c r="K80" s="913">
        <v>0</v>
      </c>
      <c r="L80" s="899" t="s">
        <v>1843</v>
      </c>
    </row>
    <row r="81" spans="1:12">
      <c r="A81" s="1258"/>
      <c r="B81" s="1263"/>
      <c r="C81" s="1260"/>
      <c r="D81" s="910">
        <v>41570</v>
      </c>
      <c r="E81" s="912">
        <v>6.25E-2</v>
      </c>
      <c r="F81" s="923">
        <v>7.73</v>
      </c>
      <c r="G81" s="923">
        <v>5.0999999999999996</v>
      </c>
      <c r="H81" s="923">
        <v>12.43</v>
      </c>
      <c r="I81" s="929">
        <v>0.158</v>
      </c>
      <c r="J81" s="923">
        <v>70</v>
      </c>
      <c r="K81" s="913">
        <v>0.05</v>
      </c>
      <c r="L81" s="899" t="s">
        <v>1838</v>
      </c>
    </row>
    <row r="82" spans="1:12">
      <c r="A82" s="1258"/>
      <c r="B82" s="1264"/>
      <c r="C82" s="1261"/>
      <c r="D82" s="911">
        <v>41603</v>
      </c>
      <c r="E82" s="912">
        <v>0.49861111111111112</v>
      </c>
      <c r="F82" s="927">
        <v>7.94</v>
      </c>
      <c r="G82" s="927">
        <v>1.9</v>
      </c>
      <c r="H82" s="927">
        <v>12.6</v>
      </c>
      <c r="I82" s="931">
        <v>0.17100000000000001</v>
      </c>
      <c r="J82" s="924">
        <v>45</v>
      </c>
      <c r="K82" s="913">
        <v>0.2</v>
      </c>
      <c r="L82" s="899" t="s">
        <v>1838</v>
      </c>
    </row>
    <row r="83" spans="1:12">
      <c r="A83" s="1258" t="s">
        <v>270</v>
      </c>
      <c r="B83" s="1265" t="s">
        <v>256</v>
      </c>
      <c r="C83" s="1266" t="s">
        <v>1852</v>
      </c>
      <c r="D83" s="921">
        <v>41361</v>
      </c>
      <c r="E83" s="939"/>
      <c r="F83" s="937"/>
      <c r="G83" s="937"/>
      <c r="H83" s="937"/>
      <c r="I83" s="938"/>
      <c r="J83" s="937"/>
      <c r="K83" s="943"/>
      <c r="L83" s="899" t="s">
        <v>1839</v>
      </c>
    </row>
    <row r="84" spans="1:12">
      <c r="A84" s="1258"/>
      <c r="B84" s="1265"/>
      <c r="C84" s="1267"/>
      <c r="D84" s="910">
        <v>41389</v>
      </c>
      <c r="E84" s="939"/>
      <c r="F84" s="937"/>
      <c r="G84" s="937"/>
      <c r="H84" s="937"/>
      <c r="I84" s="938"/>
      <c r="J84" s="937"/>
      <c r="K84" s="943"/>
      <c r="L84" s="899" t="s">
        <v>1839</v>
      </c>
    </row>
    <row r="85" spans="1:12">
      <c r="A85" s="1258"/>
      <c r="B85" s="1265"/>
      <c r="C85" s="1267"/>
      <c r="D85" s="910">
        <v>41415</v>
      </c>
      <c r="E85" s="939"/>
      <c r="F85" s="937"/>
      <c r="G85" s="937"/>
      <c r="H85" s="937"/>
      <c r="I85" s="938"/>
      <c r="J85" s="937"/>
      <c r="K85" s="943"/>
      <c r="L85" s="899" t="s">
        <v>1842</v>
      </c>
    </row>
    <row r="86" spans="1:12">
      <c r="A86" s="1258"/>
      <c r="B86" s="1265"/>
      <c r="C86" s="1267"/>
      <c r="D86" s="910">
        <v>41443</v>
      </c>
      <c r="E86" s="909">
        <v>0.44513888888888892</v>
      </c>
      <c r="F86" s="923">
        <v>8.3699999999999992</v>
      </c>
      <c r="G86" s="923">
        <v>11.1</v>
      </c>
      <c r="H86" s="923">
        <v>9.8800000000000008</v>
      </c>
      <c r="I86" s="929">
        <v>7.0000000000000007E-2</v>
      </c>
      <c r="J86" s="923">
        <v>11.1</v>
      </c>
      <c r="K86" s="913">
        <v>0.15</v>
      </c>
      <c r="L86" s="899" t="s">
        <v>1838</v>
      </c>
    </row>
    <row r="87" spans="1:12">
      <c r="A87" s="1258"/>
      <c r="B87" s="1265"/>
      <c r="C87" s="1267"/>
      <c r="D87" s="910">
        <v>41478</v>
      </c>
      <c r="E87" s="909">
        <v>0.41111111111111115</v>
      </c>
      <c r="F87" s="923">
        <v>7.9</v>
      </c>
      <c r="G87" s="923">
        <v>13.6</v>
      </c>
      <c r="H87" s="923">
        <v>9.9</v>
      </c>
      <c r="I87" s="929">
        <v>6.8000000000000005E-2</v>
      </c>
      <c r="J87" s="923">
        <v>2.84</v>
      </c>
      <c r="K87" s="913">
        <v>0.05</v>
      </c>
      <c r="L87" s="899" t="s">
        <v>1838</v>
      </c>
    </row>
    <row r="88" spans="1:12">
      <c r="A88" s="1258"/>
      <c r="B88" s="1265"/>
      <c r="C88" s="1267"/>
      <c r="D88" s="910">
        <v>41513</v>
      </c>
      <c r="E88" s="909">
        <v>0.43611111111111112</v>
      </c>
      <c r="F88" s="923">
        <v>8.3000000000000007</v>
      </c>
      <c r="G88" s="923">
        <v>12.53</v>
      </c>
      <c r="H88" s="923">
        <v>8.09</v>
      </c>
      <c r="I88" s="929">
        <v>5.5E-2</v>
      </c>
      <c r="J88" s="923">
        <v>10.96</v>
      </c>
      <c r="K88" s="913">
        <v>0.05</v>
      </c>
      <c r="L88" s="899" t="s">
        <v>1841</v>
      </c>
    </row>
    <row r="89" spans="1:12">
      <c r="A89" s="1258"/>
      <c r="B89" s="1265"/>
      <c r="C89" s="1267"/>
      <c r="D89" s="910">
        <v>41542</v>
      </c>
      <c r="E89" s="909">
        <v>0.44722222222222219</v>
      </c>
      <c r="F89" s="923">
        <v>7.83</v>
      </c>
      <c r="G89" s="923">
        <v>6.7</v>
      </c>
      <c r="H89" s="923">
        <v>10.7</v>
      </c>
      <c r="I89" s="929">
        <v>8.2000000000000003E-2</v>
      </c>
      <c r="J89" s="923">
        <v>97</v>
      </c>
      <c r="K89" s="913">
        <v>0</v>
      </c>
      <c r="L89" s="899" t="s">
        <v>1843</v>
      </c>
    </row>
    <row r="90" spans="1:12">
      <c r="A90" s="1258"/>
      <c r="B90" s="1265"/>
      <c r="C90" s="1267"/>
      <c r="D90" s="910">
        <v>41570</v>
      </c>
      <c r="E90" s="909">
        <v>0.44444444444444442</v>
      </c>
      <c r="F90" s="923">
        <v>7.67</v>
      </c>
      <c r="G90" s="923">
        <v>2.1</v>
      </c>
      <c r="H90" s="923">
        <v>12.48</v>
      </c>
      <c r="I90" s="929">
        <v>9.0999999999999998E-2</v>
      </c>
      <c r="J90" s="923">
        <v>13.27</v>
      </c>
      <c r="K90" s="913">
        <v>0</v>
      </c>
      <c r="L90" s="899" t="s">
        <v>1838</v>
      </c>
    </row>
    <row r="91" spans="1:12">
      <c r="A91" s="1258"/>
      <c r="B91" s="1265"/>
      <c r="C91" s="1268"/>
      <c r="D91" s="911">
        <v>41603</v>
      </c>
      <c r="E91" s="948"/>
      <c r="F91" s="949"/>
      <c r="G91" s="949"/>
      <c r="H91" s="949"/>
      <c r="I91" s="950"/>
      <c r="J91" s="949"/>
      <c r="K91" s="943"/>
      <c r="L91" s="899" t="s">
        <v>1839</v>
      </c>
    </row>
    <row r="92" spans="1:12" ht="15.75" customHeight="1">
      <c r="A92" s="1257" t="s">
        <v>1156</v>
      </c>
      <c r="B92" s="1262" t="s">
        <v>684</v>
      </c>
      <c r="C92" s="1259" t="s">
        <v>1853</v>
      </c>
      <c r="D92" s="921">
        <v>41361</v>
      </c>
      <c r="E92" s="909">
        <v>0.48958333333333331</v>
      </c>
      <c r="F92" s="923">
        <v>7.83</v>
      </c>
      <c r="G92" s="923">
        <v>6.6</v>
      </c>
      <c r="H92" s="923">
        <v>11.36</v>
      </c>
      <c r="I92" s="929">
        <v>1.69</v>
      </c>
      <c r="J92" s="923">
        <v>1.4</v>
      </c>
      <c r="K92" s="913">
        <v>0.05</v>
      </c>
      <c r="L92" s="899" t="s">
        <v>1838</v>
      </c>
    </row>
    <row r="93" spans="1:12" ht="15.75" customHeight="1">
      <c r="A93" s="1257"/>
      <c r="B93" s="1263"/>
      <c r="C93" s="1260"/>
      <c r="D93" s="910">
        <v>41389</v>
      </c>
      <c r="E93" s="909">
        <v>0.50694444444444442</v>
      </c>
      <c r="F93" s="923">
        <v>7.89</v>
      </c>
      <c r="G93" s="923">
        <v>9</v>
      </c>
      <c r="H93" s="923">
        <v>10.08</v>
      </c>
      <c r="I93" s="929">
        <v>7.1999999999999995E-2</v>
      </c>
      <c r="J93" s="923">
        <v>1.93</v>
      </c>
      <c r="K93" s="913">
        <v>0.1</v>
      </c>
      <c r="L93" s="899" t="s">
        <v>1841</v>
      </c>
    </row>
    <row r="94" spans="1:12" ht="15.75" customHeight="1">
      <c r="A94" s="1257"/>
      <c r="B94" s="1263"/>
      <c r="C94" s="1260"/>
      <c r="D94" s="910">
        <v>41415</v>
      </c>
      <c r="E94" s="909">
        <v>0.52083333333333337</v>
      </c>
      <c r="F94" s="923">
        <v>7.87</v>
      </c>
      <c r="G94" s="923">
        <v>13.4</v>
      </c>
      <c r="H94" s="923">
        <v>8.24</v>
      </c>
      <c r="I94" s="929">
        <v>1.62</v>
      </c>
      <c r="J94" s="923">
        <v>1.1499999999999999</v>
      </c>
      <c r="K94" s="913">
        <v>0.25</v>
      </c>
      <c r="L94" s="899" t="s">
        <v>1838</v>
      </c>
    </row>
    <row r="95" spans="1:12">
      <c r="A95" s="1257"/>
      <c r="B95" s="1263"/>
      <c r="C95" s="1260"/>
      <c r="D95" s="910">
        <v>41443</v>
      </c>
      <c r="E95" s="909">
        <v>7.4999999999999997E-2</v>
      </c>
      <c r="F95" s="923">
        <v>7.83</v>
      </c>
      <c r="G95" s="923">
        <v>14.3</v>
      </c>
      <c r="H95" s="923">
        <v>9.2100000000000009</v>
      </c>
      <c r="I95" s="929">
        <v>1.57</v>
      </c>
      <c r="J95" s="923">
        <v>0.13900000000000001</v>
      </c>
      <c r="K95" s="913">
        <v>0.15</v>
      </c>
      <c r="L95" s="899" t="s">
        <v>1843</v>
      </c>
    </row>
    <row r="96" spans="1:12">
      <c r="A96" s="1257"/>
      <c r="B96" s="1263"/>
      <c r="C96" s="1260"/>
      <c r="D96" s="910">
        <v>41478</v>
      </c>
      <c r="E96" s="909">
        <v>4.4444444444444446E-2</v>
      </c>
      <c r="F96" s="923">
        <v>7.81</v>
      </c>
      <c r="G96" s="923">
        <v>18.100000000000001</v>
      </c>
      <c r="H96" s="923">
        <v>8.07</v>
      </c>
      <c r="I96" s="929">
        <v>1.02</v>
      </c>
      <c r="J96" s="923">
        <v>0.20300000000000001</v>
      </c>
      <c r="K96" s="913">
        <v>0.3</v>
      </c>
      <c r="L96" s="899" t="s">
        <v>1838</v>
      </c>
    </row>
    <row r="97" spans="1:12">
      <c r="A97" s="1257"/>
      <c r="B97" s="1263"/>
      <c r="C97" s="1260"/>
      <c r="D97" s="910">
        <v>41513</v>
      </c>
      <c r="E97" s="909">
        <v>0.53819444444444442</v>
      </c>
      <c r="F97" s="923">
        <v>8.23</v>
      </c>
      <c r="G97" s="923">
        <v>18.37</v>
      </c>
      <c r="H97" s="923">
        <v>7.95</v>
      </c>
      <c r="I97" s="929">
        <v>1.5980000000000001</v>
      </c>
      <c r="J97" s="923">
        <v>0.1</v>
      </c>
      <c r="K97" s="913">
        <v>0.5</v>
      </c>
      <c r="L97" s="899" t="s">
        <v>1838</v>
      </c>
    </row>
    <row r="98" spans="1:12">
      <c r="A98" s="1257"/>
      <c r="B98" s="1263"/>
      <c r="C98" s="1260"/>
      <c r="D98" s="910">
        <v>41542</v>
      </c>
      <c r="E98" s="912">
        <v>6.458333333333334E-2</v>
      </c>
      <c r="F98" s="923">
        <v>8.59</v>
      </c>
      <c r="G98" s="923">
        <v>12.9</v>
      </c>
      <c r="H98" s="923">
        <v>9.5299999999999994</v>
      </c>
      <c r="I98" s="929">
        <v>1.67</v>
      </c>
      <c r="J98" s="923">
        <v>2.12</v>
      </c>
      <c r="K98" s="914">
        <v>0</v>
      </c>
      <c r="L98" s="899" t="s">
        <v>1838</v>
      </c>
    </row>
    <row r="99" spans="1:12">
      <c r="A99" s="1257"/>
      <c r="B99" s="1263"/>
      <c r="C99" s="1260"/>
      <c r="D99" s="910">
        <v>41570</v>
      </c>
      <c r="E99" s="912">
        <v>7.013888888888889E-2</v>
      </c>
      <c r="F99" s="923">
        <v>8.14</v>
      </c>
      <c r="G99" s="923">
        <v>9.8000000000000007</v>
      </c>
      <c r="H99" s="923">
        <v>10.25</v>
      </c>
      <c r="I99" s="929">
        <v>1.75</v>
      </c>
      <c r="J99" s="923">
        <v>0.35099999999999998</v>
      </c>
      <c r="K99" s="913">
        <v>0</v>
      </c>
      <c r="L99" s="899" t="s">
        <v>1838</v>
      </c>
    </row>
    <row r="100" spans="1:12">
      <c r="A100" s="1257"/>
      <c r="B100" s="1264"/>
      <c r="C100" s="1261"/>
      <c r="D100" s="911">
        <v>41603</v>
      </c>
      <c r="E100" s="912">
        <v>0.50555555555555554</v>
      </c>
      <c r="F100" s="923">
        <v>8.15</v>
      </c>
      <c r="G100" s="923">
        <v>6.1</v>
      </c>
      <c r="H100" s="923">
        <v>11.04</v>
      </c>
      <c r="I100" s="929">
        <v>1.73</v>
      </c>
      <c r="J100" s="923">
        <v>1.23</v>
      </c>
      <c r="K100" s="913">
        <v>0.2</v>
      </c>
      <c r="L100" s="899" t="s">
        <v>1838</v>
      </c>
    </row>
    <row r="101" spans="1:12" ht="15.75" customHeight="1">
      <c r="A101" s="1258" t="s">
        <v>272</v>
      </c>
      <c r="B101" s="1262" t="s">
        <v>257</v>
      </c>
      <c r="C101" s="1259" t="s">
        <v>1854</v>
      </c>
      <c r="D101" s="921">
        <v>41361</v>
      </c>
      <c r="E101" s="944"/>
      <c r="F101" s="937"/>
      <c r="G101" s="937"/>
      <c r="H101" s="937"/>
      <c r="I101" s="938"/>
      <c r="J101" s="937"/>
      <c r="K101" s="943"/>
      <c r="L101" s="899" t="s">
        <v>1839</v>
      </c>
    </row>
    <row r="102" spans="1:12" ht="15.75" customHeight="1">
      <c r="A102" s="1258"/>
      <c r="B102" s="1263"/>
      <c r="C102" s="1260"/>
      <c r="D102" s="910">
        <v>41389</v>
      </c>
      <c r="E102" s="944"/>
      <c r="F102" s="937"/>
      <c r="G102" s="937"/>
      <c r="H102" s="937"/>
      <c r="I102" s="938"/>
      <c r="J102" s="937"/>
      <c r="K102" s="943"/>
      <c r="L102" s="899" t="s">
        <v>1842</v>
      </c>
    </row>
    <row r="103" spans="1:12" ht="15.75" customHeight="1">
      <c r="A103" s="1258"/>
      <c r="B103" s="1263"/>
      <c r="C103" s="1260"/>
      <c r="D103" s="910">
        <v>41415</v>
      </c>
      <c r="E103" s="944"/>
      <c r="F103" s="937"/>
      <c r="G103" s="937"/>
      <c r="H103" s="937"/>
      <c r="I103" s="938"/>
      <c r="J103" s="937"/>
      <c r="K103" s="943"/>
      <c r="L103" s="899" t="s">
        <v>1842</v>
      </c>
    </row>
    <row r="104" spans="1:12" ht="15.75" customHeight="1">
      <c r="A104" s="1258"/>
      <c r="B104" s="1263"/>
      <c r="C104" s="1260"/>
      <c r="D104" s="910">
        <v>41443</v>
      </c>
      <c r="E104" s="912">
        <v>0.11180555555555556</v>
      </c>
      <c r="F104" s="923">
        <v>8.1199999999999992</v>
      </c>
      <c r="G104" s="923">
        <v>12.8</v>
      </c>
      <c r="H104" s="923">
        <v>9.9600000000000009</v>
      </c>
      <c r="I104" s="929">
        <v>6.0999999999999999E-2</v>
      </c>
      <c r="J104" s="923">
        <v>0.38500000000000001</v>
      </c>
      <c r="K104" s="913">
        <v>0.05</v>
      </c>
      <c r="L104" s="899" t="s">
        <v>1838</v>
      </c>
    </row>
    <row r="105" spans="1:12" ht="15.75" customHeight="1">
      <c r="A105" s="1258"/>
      <c r="B105" s="1263"/>
      <c r="C105" s="1260"/>
      <c r="D105" s="910">
        <v>41478</v>
      </c>
      <c r="E105" s="912">
        <v>9.1666666666666674E-2</v>
      </c>
      <c r="F105" s="923">
        <v>8.09</v>
      </c>
      <c r="G105" s="923">
        <v>17.600000000000001</v>
      </c>
      <c r="H105" s="923">
        <v>9.4700000000000006</v>
      </c>
      <c r="I105" s="929">
        <v>0.106</v>
      </c>
      <c r="J105" s="923">
        <v>0.24</v>
      </c>
      <c r="K105" s="913">
        <v>0.05</v>
      </c>
      <c r="L105" s="899" t="s">
        <v>1838</v>
      </c>
    </row>
    <row r="106" spans="1:12" ht="15.75" customHeight="1">
      <c r="A106" s="1258"/>
      <c r="B106" s="1263"/>
      <c r="C106" s="1260"/>
      <c r="D106" s="910">
        <v>41513</v>
      </c>
      <c r="E106" s="912">
        <v>7.7777777777777779E-2</v>
      </c>
      <c r="F106" s="923">
        <v>7.98</v>
      </c>
      <c r="G106" s="923">
        <v>14.68</v>
      </c>
      <c r="H106" s="923">
        <v>8.49</v>
      </c>
      <c r="I106" s="929">
        <v>0.13100000000000001</v>
      </c>
      <c r="J106" s="923">
        <v>0.31</v>
      </c>
      <c r="K106" s="913">
        <v>0.05</v>
      </c>
      <c r="L106" s="899" t="s">
        <v>1838</v>
      </c>
    </row>
    <row r="107" spans="1:12" ht="15.75" customHeight="1">
      <c r="A107" s="1258"/>
      <c r="B107" s="1263"/>
      <c r="C107" s="1260"/>
      <c r="D107" s="910">
        <v>41542</v>
      </c>
      <c r="E107" s="912">
        <v>0.1076388888888889</v>
      </c>
      <c r="F107" s="923">
        <v>7.93</v>
      </c>
      <c r="G107" s="923">
        <v>8.9</v>
      </c>
      <c r="H107" s="923">
        <v>7.94</v>
      </c>
      <c r="I107" s="929">
        <v>8.1000000000000003E-2</v>
      </c>
      <c r="J107" s="923">
        <v>10.07</v>
      </c>
      <c r="K107" s="913">
        <v>0.05</v>
      </c>
      <c r="L107" s="899" t="s">
        <v>1843</v>
      </c>
    </row>
    <row r="108" spans="1:12" ht="15.75" customHeight="1">
      <c r="A108" s="1258"/>
      <c r="B108" s="1263"/>
      <c r="C108" s="1260"/>
      <c r="D108" s="910">
        <v>41570</v>
      </c>
      <c r="E108" s="912">
        <v>0.11458333333333333</v>
      </c>
      <c r="F108" s="923">
        <v>8.07</v>
      </c>
      <c r="G108" s="923">
        <v>6.4</v>
      </c>
      <c r="H108" s="923">
        <v>11.43</v>
      </c>
      <c r="I108" s="929">
        <v>0.43</v>
      </c>
      <c r="J108" s="923">
        <v>1.57</v>
      </c>
      <c r="K108" s="913">
        <v>0</v>
      </c>
      <c r="L108" s="899" t="s">
        <v>1838</v>
      </c>
    </row>
    <row r="109" spans="1:12" ht="15.75" customHeight="1">
      <c r="A109" s="1258"/>
      <c r="B109" s="1264"/>
      <c r="C109" s="1261"/>
      <c r="D109" s="911">
        <v>41603</v>
      </c>
      <c r="E109" s="912">
        <v>4.3055555555555562E-2</v>
      </c>
      <c r="F109" s="923">
        <v>7.99</v>
      </c>
      <c r="G109" s="923">
        <v>0.2</v>
      </c>
      <c r="H109" s="923">
        <v>12.2</v>
      </c>
      <c r="I109" s="929">
        <v>8.8999999999999996E-2</v>
      </c>
      <c r="J109" s="923">
        <v>0.45</v>
      </c>
      <c r="K109" s="913">
        <v>0.01</v>
      </c>
      <c r="L109" s="899" t="s">
        <v>1838</v>
      </c>
    </row>
    <row r="110" spans="1:12" ht="15.75" customHeight="1">
      <c r="A110" s="1258"/>
      <c r="B110" s="1262" t="s">
        <v>258</v>
      </c>
      <c r="C110" s="1259" t="s">
        <v>1855</v>
      </c>
      <c r="D110" s="921">
        <v>41361</v>
      </c>
      <c r="E110" s="944"/>
      <c r="F110" s="937"/>
      <c r="G110" s="937"/>
      <c r="H110" s="937"/>
      <c r="I110" s="938"/>
      <c r="J110" s="937"/>
      <c r="K110" s="943"/>
      <c r="L110" s="899" t="s">
        <v>1840</v>
      </c>
    </row>
    <row r="111" spans="1:12" ht="15.75" customHeight="1">
      <c r="A111" s="1258"/>
      <c r="B111" s="1263"/>
      <c r="C111" s="1260"/>
      <c r="D111" s="910">
        <v>41389</v>
      </c>
      <c r="E111" s="944"/>
      <c r="F111" s="937"/>
      <c r="G111" s="937"/>
      <c r="H111" s="937"/>
      <c r="I111" s="938"/>
      <c r="J111" s="937"/>
      <c r="K111" s="943"/>
      <c r="L111" s="899" t="s">
        <v>1842</v>
      </c>
    </row>
    <row r="112" spans="1:12" ht="15.75" customHeight="1">
      <c r="A112" s="1258"/>
      <c r="B112" s="1263"/>
      <c r="C112" s="1260"/>
      <c r="D112" s="910">
        <v>41415</v>
      </c>
      <c r="E112" s="944"/>
      <c r="F112" s="937"/>
      <c r="G112" s="937"/>
      <c r="H112" s="937"/>
      <c r="I112" s="938"/>
      <c r="J112" s="937"/>
      <c r="K112" s="943"/>
      <c r="L112" s="899" t="s">
        <v>1842</v>
      </c>
    </row>
    <row r="113" spans="1:12" ht="15.75" customHeight="1">
      <c r="A113" s="1258"/>
      <c r="B113" s="1263"/>
      <c r="C113" s="1260"/>
      <c r="D113" s="910">
        <v>41443</v>
      </c>
      <c r="E113" s="912">
        <v>0.12152777777777778</v>
      </c>
      <c r="F113" s="923">
        <v>8.1199999999999992</v>
      </c>
      <c r="G113" s="923">
        <v>15.6</v>
      </c>
      <c r="H113" s="923">
        <v>9.31</v>
      </c>
      <c r="I113" s="929">
        <v>0.17299999999999999</v>
      </c>
      <c r="J113" s="923">
        <v>3.35</v>
      </c>
      <c r="K113" s="913">
        <v>0.4</v>
      </c>
      <c r="L113" s="899" t="s">
        <v>1841</v>
      </c>
    </row>
    <row r="114" spans="1:12" ht="15.75" customHeight="1">
      <c r="A114" s="1258"/>
      <c r="B114" s="1263"/>
      <c r="C114" s="1260"/>
      <c r="D114" s="910">
        <v>41478</v>
      </c>
      <c r="E114" s="912">
        <v>0.10347222222222223</v>
      </c>
      <c r="F114" s="923">
        <v>8.0500000000000007</v>
      </c>
      <c r="G114" s="923">
        <v>20</v>
      </c>
      <c r="H114" s="923">
        <v>8.6300000000000008</v>
      </c>
      <c r="I114" s="929">
        <v>0.21299999999999999</v>
      </c>
      <c r="J114" s="923">
        <v>0.46200000000000002</v>
      </c>
      <c r="K114" s="913">
        <v>0.05</v>
      </c>
      <c r="L114" s="899" t="s">
        <v>1838</v>
      </c>
    </row>
    <row r="115" spans="1:12" ht="15.75" customHeight="1">
      <c r="A115" s="1258"/>
      <c r="B115" s="1263"/>
      <c r="C115" s="1260"/>
      <c r="D115" s="910">
        <v>41513</v>
      </c>
      <c r="E115" s="912">
        <v>8.7500000000000008E-2</v>
      </c>
      <c r="F115" s="923">
        <v>8.18</v>
      </c>
      <c r="G115" s="923">
        <v>16.88</v>
      </c>
      <c r="H115" s="923">
        <v>7.43</v>
      </c>
      <c r="I115" s="929">
        <v>0.214</v>
      </c>
      <c r="J115" s="923">
        <v>2.97</v>
      </c>
      <c r="K115" s="913">
        <v>0.05</v>
      </c>
      <c r="L115" s="899" t="s">
        <v>1841</v>
      </c>
    </row>
    <row r="116" spans="1:12" ht="15.75" customHeight="1">
      <c r="A116" s="1258"/>
      <c r="B116" s="1263"/>
      <c r="C116" s="1260"/>
      <c r="D116" s="910">
        <v>41542</v>
      </c>
      <c r="E116" s="912">
        <v>0.11805555555555557</v>
      </c>
      <c r="F116" s="923">
        <v>8.1</v>
      </c>
      <c r="G116" s="923">
        <v>11.1</v>
      </c>
      <c r="H116" s="923">
        <v>10.029999999999999</v>
      </c>
      <c r="I116" s="929">
        <v>0.16400000000000001</v>
      </c>
      <c r="J116" s="923">
        <v>35.409999999999997</v>
      </c>
      <c r="K116" s="913">
        <v>0</v>
      </c>
      <c r="L116" s="899" t="s">
        <v>1843</v>
      </c>
    </row>
    <row r="117" spans="1:12" ht="15.75" customHeight="1">
      <c r="A117" s="1258"/>
      <c r="B117" s="1263"/>
      <c r="C117" s="1260"/>
      <c r="D117" s="910">
        <v>41570</v>
      </c>
      <c r="E117" s="912">
        <v>0.125</v>
      </c>
      <c r="F117" s="923">
        <v>7.82</v>
      </c>
      <c r="G117" s="923">
        <v>5.8</v>
      </c>
      <c r="H117" s="923">
        <v>11.34</v>
      </c>
      <c r="I117" s="929">
        <v>0.183</v>
      </c>
      <c r="J117" s="923">
        <v>3.58</v>
      </c>
      <c r="K117" s="913">
        <v>0.05</v>
      </c>
      <c r="L117" s="899" t="s">
        <v>1838</v>
      </c>
    </row>
    <row r="118" spans="1:12" ht="15.75" customHeight="1">
      <c r="A118" s="1258"/>
      <c r="B118" s="1264"/>
      <c r="C118" s="1261"/>
      <c r="D118" s="911">
        <v>41603</v>
      </c>
      <c r="E118" s="912">
        <v>5.4166666666666669E-2</v>
      </c>
      <c r="F118" s="923">
        <v>7.99</v>
      </c>
      <c r="G118" s="923">
        <v>0.5</v>
      </c>
      <c r="H118" s="923">
        <v>13.1</v>
      </c>
      <c r="I118" s="929">
        <v>0.183</v>
      </c>
      <c r="J118" s="923">
        <v>2.4700000000000002</v>
      </c>
      <c r="K118" s="913">
        <v>0.3</v>
      </c>
      <c r="L118" s="899" t="s">
        <v>1838</v>
      </c>
    </row>
    <row r="119" spans="1:12" ht="15.75" customHeight="1">
      <c r="A119" s="1258"/>
      <c r="B119" s="1262" t="s">
        <v>681</v>
      </c>
      <c r="C119" s="1259" t="s">
        <v>683</v>
      </c>
      <c r="D119" s="921">
        <v>41361</v>
      </c>
      <c r="E119" s="912">
        <v>0.36458333333333331</v>
      </c>
      <c r="F119" s="923">
        <v>8.61</v>
      </c>
      <c r="G119" s="923">
        <v>1.6</v>
      </c>
      <c r="H119" s="923">
        <v>13.11</v>
      </c>
      <c r="I119" s="929">
        <v>0.57599999999999996</v>
      </c>
      <c r="J119" s="923">
        <v>0.77</v>
      </c>
      <c r="K119" s="913">
        <v>0.02</v>
      </c>
      <c r="L119" s="899" t="s">
        <v>1838</v>
      </c>
    </row>
    <row r="120" spans="1:12" ht="15.75" customHeight="1">
      <c r="A120" s="1258"/>
      <c r="B120" s="1263"/>
      <c r="C120" s="1260"/>
      <c r="D120" s="910">
        <v>41389</v>
      </c>
      <c r="E120" s="912">
        <v>0.35069444444444442</v>
      </c>
      <c r="F120" s="923">
        <v>8.2100000000000009</v>
      </c>
      <c r="G120" s="923">
        <v>2.1</v>
      </c>
      <c r="H120" s="923">
        <v>11.4</v>
      </c>
      <c r="I120" s="929">
        <v>0.59899999999999998</v>
      </c>
      <c r="J120" s="923">
        <v>0.52500000000000002</v>
      </c>
      <c r="K120" s="913">
        <v>0.2</v>
      </c>
      <c r="L120" s="899" t="s">
        <v>1838</v>
      </c>
    </row>
    <row r="121" spans="1:12" ht="15.75" customHeight="1">
      <c r="A121" s="1258"/>
      <c r="B121" s="1263"/>
      <c r="C121" s="1260"/>
      <c r="D121" s="910">
        <v>41415</v>
      </c>
      <c r="E121" s="912">
        <v>0.3888888888888889</v>
      </c>
      <c r="F121" s="923">
        <v>8.36</v>
      </c>
      <c r="G121" s="923">
        <v>7.2</v>
      </c>
      <c r="H121" s="923">
        <v>9.15</v>
      </c>
      <c r="I121" s="929">
        <v>0.63</v>
      </c>
      <c r="J121" s="923">
        <v>0.312</v>
      </c>
      <c r="K121" s="913">
        <v>0.05</v>
      </c>
      <c r="L121" s="899" t="s">
        <v>1838</v>
      </c>
    </row>
    <row r="122" spans="1:12" ht="15.75" customHeight="1">
      <c r="A122" s="1258"/>
      <c r="B122" s="1263"/>
      <c r="C122" s="1260"/>
      <c r="D122" s="910">
        <v>41443</v>
      </c>
      <c r="E122" s="912">
        <v>0.375</v>
      </c>
      <c r="F122" s="923">
        <v>8.7200000000000006</v>
      </c>
      <c r="G122" s="923">
        <v>11.3</v>
      </c>
      <c r="H122" s="923">
        <v>10.31</v>
      </c>
      <c r="I122" s="929">
        <v>0.60899999999999999</v>
      </c>
      <c r="J122" s="923">
        <v>0.112</v>
      </c>
      <c r="K122" s="913">
        <v>0.2</v>
      </c>
      <c r="L122" s="899" t="s">
        <v>1838</v>
      </c>
    </row>
    <row r="123" spans="1:12" ht="15.75" customHeight="1">
      <c r="A123" s="1258"/>
      <c r="B123" s="1263"/>
      <c r="C123" s="1260"/>
      <c r="D123" s="910">
        <v>41478</v>
      </c>
      <c r="E123" s="912">
        <v>0.37152777777777773</v>
      </c>
      <c r="F123" s="923">
        <v>7.84</v>
      </c>
      <c r="G123" s="923">
        <v>12</v>
      </c>
      <c r="H123" s="923">
        <v>8.83</v>
      </c>
      <c r="I123" s="929">
        <v>0.64100000000000001</v>
      </c>
      <c r="J123" s="923">
        <v>9.7000000000000003E-2</v>
      </c>
      <c r="K123" s="913">
        <v>0.4</v>
      </c>
      <c r="L123" s="899" t="s">
        <v>1838</v>
      </c>
    </row>
    <row r="124" spans="1:12" ht="15.75" customHeight="1">
      <c r="A124" s="1258"/>
      <c r="B124" s="1263"/>
      <c r="C124" s="1260"/>
      <c r="D124" s="910">
        <v>41513</v>
      </c>
      <c r="E124" s="912">
        <v>0.39166666666666666</v>
      </c>
      <c r="F124" s="923">
        <v>8.3800000000000008</v>
      </c>
      <c r="G124" s="923">
        <v>12.38</v>
      </c>
      <c r="H124" s="923">
        <v>9</v>
      </c>
      <c r="I124" s="929">
        <v>0.63700000000000001</v>
      </c>
      <c r="J124" s="923">
        <v>1.74</v>
      </c>
      <c r="K124" s="913">
        <v>0.05</v>
      </c>
      <c r="L124" s="899" t="s">
        <v>1838</v>
      </c>
    </row>
    <row r="125" spans="1:12" ht="15.75" customHeight="1">
      <c r="A125" s="1258"/>
      <c r="B125" s="1263"/>
      <c r="C125" s="1260"/>
      <c r="D125" s="910">
        <v>41542</v>
      </c>
      <c r="E125" s="912">
        <v>0.39374999999999999</v>
      </c>
      <c r="F125" s="923">
        <v>8.26</v>
      </c>
      <c r="G125" s="923">
        <v>9.9</v>
      </c>
      <c r="H125" s="923">
        <v>9.2799999999999994</v>
      </c>
      <c r="I125" s="929">
        <v>0.68300000000000005</v>
      </c>
      <c r="J125" s="923">
        <v>1.49</v>
      </c>
      <c r="K125" s="913">
        <v>0</v>
      </c>
      <c r="L125" s="899" t="s">
        <v>1838</v>
      </c>
    </row>
    <row r="126" spans="1:12" ht="15.75" customHeight="1">
      <c r="A126" s="1258"/>
      <c r="B126" s="1263"/>
      <c r="C126" s="1260"/>
      <c r="D126" s="910">
        <v>41570</v>
      </c>
      <c r="E126" s="912">
        <v>0.38541666666666669</v>
      </c>
      <c r="F126" s="923">
        <v>7.97</v>
      </c>
      <c r="G126" s="923">
        <v>4.5999999999999996</v>
      </c>
      <c r="H126" s="923">
        <v>11.2</v>
      </c>
      <c r="I126" s="929">
        <v>0.72699999999999998</v>
      </c>
      <c r="J126" s="923">
        <v>1.57</v>
      </c>
      <c r="K126" s="913">
        <v>0.05</v>
      </c>
      <c r="L126" s="899" t="s">
        <v>1838</v>
      </c>
    </row>
    <row r="127" spans="1:12" ht="15.75" customHeight="1">
      <c r="A127" s="1258"/>
      <c r="B127" s="1264"/>
      <c r="C127" s="1261"/>
      <c r="D127" s="911">
        <v>41603</v>
      </c>
      <c r="E127" s="912">
        <v>0.3888888888888889</v>
      </c>
      <c r="F127" s="923">
        <v>8.01</v>
      </c>
      <c r="G127" s="923">
        <v>2.4</v>
      </c>
      <c r="H127" s="923">
        <v>11.65</v>
      </c>
      <c r="I127" s="929">
        <v>0.73399999999999999</v>
      </c>
      <c r="J127" s="923">
        <v>1.74</v>
      </c>
      <c r="K127" s="913">
        <v>0.2</v>
      </c>
      <c r="L127" s="899" t="s">
        <v>1838</v>
      </c>
    </row>
    <row r="128" spans="1:12" ht="17.25" customHeight="1">
      <c r="A128" s="1258"/>
      <c r="B128" s="1262" t="s">
        <v>680</v>
      </c>
      <c r="C128" s="1259" t="s">
        <v>682</v>
      </c>
      <c r="D128" s="921">
        <v>41361</v>
      </c>
      <c r="E128" s="912">
        <v>0.41736111111111113</v>
      </c>
      <c r="F128" s="923">
        <v>8.01</v>
      </c>
      <c r="G128" s="923">
        <v>2.1</v>
      </c>
      <c r="H128" s="923">
        <v>12.93</v>
      </c>
      <c r="I128" s="929">
        <v>0.60799999999999998</v>
      </c>
      <c r="J128" s="923">
        <v>1.53</v>
      </c>
      <c r="K128" s="913">
        <v>0.01</v>
      </c>
      <c r="L128" s="899" t="s">
        <v>1838</v>
      </c>
    </row>
    <row r="129" spans="1:12" ht="17.25" customHeight="1">
      <c r="A129" s="1258"/>
      <c r="B129" s="1263"/>
      <c r="C129" s="1260"/>
      <c r="D129" s="910">
        <v>41389</v>
      </c>
      <c r="E129" s="912">
        <v>0.40208333333333335</v>
      </c>
      <c r="F129" s="923">
        <v>8.25</v>
      </c>
      <c r="G129" s="923">
        <v>2.6</v>
      </c>
      <c r="H129" s="923">
        <v>12.49</v>
      </c>
      <c r="I129" s="929">
        <v>0.67100000000000004</v>
      </c>
      <c r="J129" s="923">
        <v>1.96</v>
      </c>
      <c r="K129" s="913">
        <v>0.1</v>
      </c>
      <c r="L129" s="899" t="s">
        <v>1841</v>
      </c>
    </row>
    <row r="130" spans="1:12" ht="17.25" customHeight="1">
      <c r="A130" s="1258"/>
      <c r="B130" s="1263"/>
      <c r="C130" s="1260"/>
      <c r="D130" s="910">
        <v>41415</v>
      </c>
      <c r="E130" s="912">
        <v>0.47361111111111115</v>
      </c>
      <c r="F130" s="923">
        <v>8.01</v>
      </c>
      <c r="G130" s="923">
        <v>10</v>
      </c>
      <c r="H130" s="923">
        <v>9.41</v>
      </c>
      <c r="I130" s="929">
        <v>0.66</v>
      </c>
      <c r="J130" s="923">
        <v>0.95</v>
      </c>
      <c r="K130" s="913">
        <v>0.05</v>
      </c>
      <c r="L130" s="899" t="s">
        <v>1838</v>
      </c>
    </row>
    <row r="131" spans="1:12" ht="17.25" customHeight="1">
      <c r="A131" s="1258"/>
      <c r="B131" s="1263"/>
      <c r="C131" s="1260"/>
      <c r="D131" s="910">
        <v>41443</v>
      </c>
      <c r="E131" s="912">
        <v>0.49513888888888885</v>
      </c>
      <c r="F131" s="923">
        <v>7.95</v>
      </c>
      <c r="G131" s="923">
        <v>13.1</v>
      </c>
      <c r="H131" s="923">
        <v>9.7200000000000006</v>
      </c>
      <c r="I131" s="929">
        <v>0.67</v>
      </c>
      <c r="J131" s="923">
        <v>0.74</v>
      </c>
      <c r="K131" s="913">
        <v>0.1</v>
      </c>
      <c r="L131" s="899" t="s">
        <v>1838</v>
      </c>
    </row>
    <row r="132" spans="1:12" ht="17.25" customHeight="1">
      <c r="A132" s="1258"/>
      <c r="B132" s="1263"/>
      <c r="C132" s="1260"/>
      <c r="D132" s="910">
        <v>41478</v>
      </c>
      <c r="E132" s="912">
        <v>0.48472222222222222</v>
      </c>
      <c r="F132" s="923">
        <v>7.91</v>
      </c>
      <c r="G132" s="923">
        <v>19.2</v>
      </c>
      <c r="H132" s="923">
        <v>10.16</v>
      </c>
      <c r="I132" s="929">
        <v>0.65</v>
      </c>
      <c r="J132" s="923">
        <v>0.9</v>
      </c>
      <c r="K132" s="913">
        <v>0.05</v>
      </c>
      <c r="L132" s="899" t="s">
        <v>1838</v>
      </c>
    </row>
    <row r="133" spans="1:12" ht="17.25" customHeight="1">
      <c r="A133" s="1258"/>
      <c r="B133" s="1263"/>
      <c r="C133" s="1260"/>
      <c r="D133" s="910">
        <v>41513</v>
      </c>
      <c r="E133" s="912">
        <v>0.48888888888888887</v>
      </c>
      <c r="F133" s="923">
        <v>8.15</v>
      </c>
      <c r="G133" s="923">
        <v>15.66</v>
      </c>
      <c r="H133" s="923">
        <v>8.07</v>
      </c>
      <c r="I133" s="929">
        <v>0.54800000000000004</v>
      </c>
      <c r="J133" s="923">
        <v>0.55000000000000004</v>
      </c>
      <c r="K133" s="913">
        <v>0.15</v>
      </c>
      <c r="L133" s="899" t="s">
        <v>1838</v>
      </c>
    </row>
    <row r="134" spans="1:12" ht="17.25" customHeight="1">
      <c r="A134" s="1258"/>
      <c r="B134" s="1263"/>
      <c r="C134" s="1260"/>
      <c r="D134" s="910">
        <v>41542</v>
      </c>
      <c r="E134" s="912">
        <v>0.50277777777777777</v>
      </c>
      <c r="F134" s="923">
        <v>8.58</v>
      </c>
      <c r="G134" s="923">
        <v>11.9</v>
      </c>
      <c r="H134" s="923">
        <v>7.48</v>
      </c>
      <c r="I134" s="929">
        <v>0.68</v>
      </c>
      <c r="J134" s="923">
        <v>6.23</v>
      </c>
      <c r="K134" s="913">
        <v>0</v>
      </c>
      <c r="L134" s="947" t="s">
        <v>1838</v>
      </c>
    </row>
    <row r="135" spans="1:12">
      <c r="A135" s="1258"/>
      <c r="B135" s="1263"/>
      <c r="C135" s="1260"/>
      <c r="D135" s="910">
        <v>41570</v>
      </c>
      <c r="E135" s="912">
        <v>0.51388888888888895</v>
      </c>
      <c r="F135" s="923">
        <v>8.14</v>
      </c>
      <c r="G135" s="923">
        <v>8.3000000000000007</v>
      </c>
      <c r="H135" s="923">
        <v>11.79</v>
      </c>
      <c r="I135" s="929">
        <v>0.67300000000000004</v>
      </c>
      <c r="J135" s="923">
        <v>2.98</v>
      </c>
      <c r="K135" s="913">
        <v>0</v>
      </c>
      <c r="L135" s="899" t="s">
        <v>1838</v>
      </c>
    </row>
    <row r="136" spans="1:12">
      <c r="A136" s="1258"/>
      <c r="B136" s="1264"/>
      <c r="C136" s="917"/>
      <c r="D136" s="911">
        <v>41603</v>
      </c>
      <c r="E136" s="912">
        <v>0.45833333333333331</v>
      </c>
      <c r="F136" s="923">
        <v>8.3699999999999992</v>
      </c>
      <c r="G136" s="923">
        <v>3.7</v>
      </c>
      <c r="H136" s="923">
        <v>12.8</v>
      </c>
      <c r="I136" s="930">
        <v>0.70399999999999996</v>
      </c>
      <c r="J136" s="923">
        <v>2.52</v>
      </c>
      <c r="K136" s="913">
        <v>0.25</v>
      </c>
      <c r="L136" s="899" t="s">
        <v>1838</v>
      </c>
    </row>
    <row r="137" spans="1:12">
      <c r="A137" s="1258" t="s">
        <v>275</v>
      </c>
      <c r="B137" s="1262" t="s">
        <v>254</v>
      </c>
      <c r="C137" s="1259" t="s">
        <v>1856</v>
      </c>
      <c r="D137" s="921">
        <v>41361</v>
      </c>
      <c r="E137" s="912">
        <v>0.50555555555555554</v>
      </c>
      <c r="F137" s="923">
        <v>8.1999999999999993</v>
      </c>
      <c r="G137" s="923">
        <v>0</v>
      </c>
      <c r="H137" s="923">
        <v>12.05</v>
      </c>
      <c r="I137" s="929">
        <v>1.44</v>
      </c>
      <c r="J137" s="923">
        <v>0.12</v>
      </c>
      <c r="K137" s="913">
        <v>0</v>
      </c>
      <c r="L137" s="899" t="s">
        <v>1838</v>
      </c>
    </row>
    <row r="138" spans="1:12">
      <c r="A138" s="1258"/>
      <c r="B138" s="1263"/>
      <c r="C138" s="1260"/>
      <c r="D138" s="910">
        <v>41389</v>
      </c>
      <c r="E138" s="912">
        <v>0.53819444444444442</v>
      </c>
      <c r="F138" s="923">
        <v>8.41</v>
      </c>
      <c r="G138" s="923">
        <v>3.4</v>
      </c>
      <c r="H138" s="923">
        <v>11.62</v>
      </c>
      <c r="I138" s="929">
        <v>1.34</v>
      </c>
      <c r="J138" s="923">
        <v>1.3</v>
      </c>
      <c r="K138" s="913">
        <v>0.05</v>
      </c>
      <c r="L138" s="899" t="s">
        <v>1838</v>
      </c>
    </row>
    <row r="139" spans="1:12">
      <c r="A139" s="1258"/>
      <c r="B139" s="1263"/>
      <c r="C139" s="1260"/>
      <c r="D139" s="910">
        <v>41415</v>
      </c>
      <c r="E139" s="912">
        <v>6.5277777777777782E-2</v>
      </c>
      <c r="F139" s="923">
        <v>8.19</v>
      </c>
      <c r="G139" s="923">
        <v>13.3</v>
      </c>
      <c r="H139" s="923">
        <v>7.23</v>
      </c>
      <c r="I139" s="929">
        <v>0.7</v>
      </c>
      <c r="J139" s="923">
        <v>1.6</v>
      </c>
      <c r="K139" s="913">
        <v>0.05</v>
      </c>
      <c r="L139" s="899" t="s">
        <v>1838</v>
      </c>
    </row>
    <row r="140" spans="1:12">
      <c r="A140" s="1258"/>
      <c r="B140" s="1263"/>
      <c r="C140" s="1260"/>
      <c r="D140" s="910">
        <v>41443</v>
      </c>
      <c r="E140" s="912">
        <v>9.2361111111111116E-2</v>
      </c>
      <c r="F140" s="923">
        <v>8.08</v>
      </c>
      <c r="G140" s="923">
        <v>15</v>
      </c>
      <c r="H140" s="923">
        <v>9.1300000000000008</v>
      </c>
      <c r="I140" s="929">
        <v>1.0900000000000001</v>
      </c>
      <c r="J140" s="923">
        <v>0.16</v>
      </c>
      <c r="K140" s="913">
        <v>0.1</v>
      </c>
      <c r="L140" s="899" t="s">
        <v>1838</v>
      </c>
    </row>
    <row r="141" spans="1:12">
      <c r="A141" s="1258"/>
      <c r="B141" s="1263"/>
      <c r="C141" s="1260"/>
      <c r="D141" s="910">
        <v>41478</v>
      </c>
      <c r="E141" s="912">
        <v>6.6666666666666666E-2</v>
      </c>
      <c r="F141" s="923">
        <v>8.17</v>
      </c>
      <c r="G141" s="923">
        <v>19.3</v>
      </c>
      <c r="H141" s="923">
        <v>8.51</v>
      </c>
      <c r="I141" s="929">
        <v>1.39</v>
      </c>
      <c r="J141" s="923">
        <v>1.4999999999999999E-2</v>
      </c>
      <c r="K141" s="913">
        <v>0.05</v>
      </c>
      <c r="L141" s="899" t="s">
        <v>1843</v>
      </c>
    </row>
    <row r="142" spans="1:12">
      <c r="A142" s="1258"/>
      <c r="B142" s="1263"/>
      <c r="C142" s="1260"/>
      <c r="D142" s="910">
        <v>41513</v>
      </c>
      <c r="E142" s="912">
        <v>5.347222222222222E-2</v>
      </c>
      <c r="F142" s="923">
        <v>8.23</v>
      </c>
      <c r="G142" s="923">
        <v>17.14</v>
      </c>
      <c r="H142" s="923">
        <v>8.1999999999999993</v>
      </c>
      <c r="I142" s="929">
        <v>1.2789999999999999</v>
      </c>
      <c r="J142" s="923">
        <v>5.3999999999999999E-2</v>
      </c>
      <c r="K142" s="913">
        <v>0.05</v>
      </c>
      <c r="L142" s="899" t="s">
        <v>1838</v>
      </c>
    </row>
    <row r="143" spans="1:12">
      <c r="A143" s="1258"/>
      <c r="B143" s="1263"/>
      <c r="C143" s="1260"/>
      <c r="D143" s="910">
        <v>41542</v>
      </c>
      <c r="E143" s="912">
        <v>8.6805555555555566E-2</v>
      </c>
      <c r="F143" s="923">
        <v>8.07</v>
      </c>
      <c r="G143" s="923">
        <v>11.6</v>
      </c>
      <c r="H143" s="923">
        <v>8.94</v>
      </c>
      <c r="I143" s="929">
        <v>0.74</v>
      </c>
      <c r="J143" s="923">
        <v>0.26100000000000001</v>
      </c>
      <c r="K143" s="913">
        <v>0.1</v>
      </c>
      <c r="L143" s="899" t="s">
        <v>1838</v>
      </c>
    </row>
    <row r="144" spans="1:12">
      <c r="A144" s="1258"/>
      <c r="B144" s="1263"/>
      <c r="C144" s="1260"/>
      <c r="D144" s="910">
        <v>41570</v>
      </c>
      <c r="E144" s="912">
        <v>9.375E-2</v>
      </c>
      <c r="F144" s="923">
        <v>7.87</v>
      </c>
      <c r="G144" s="923">
        <v>6.1</v>
      </c>
      <c r="H144" s="923">
        <v>11.07</v>
      </c>
      <c r="I144" s="929">
        <v>0.84</v>
      </c>
      <c r="J144" s="923">
        <v>1.56</v>
      </c>
      <c r="K144" s="913">
        <v>0.1</v>
      </c>
      <c r="L144" s="899" t="s">
        <v>1838</v>
      </c>
    </row>
    <row r="145" spans="1:12">
      <c r="A145" s="1258"/>
      <c r="B145" s="1264"/>
      <c r="C145" s="1261"/>
      <c r="D145" s="911">
        <v>41603</v>
      </c>
      <c r="E145" s="912">
        <v>0.5229166666666667</v>
      </c>
      <c r="F145" s="923">
        <v>7.87</v>
      </c>
      <c r="G145" s="923">
        <v>0.1</v>
      </c>
      <c r="H145" s="923">
        <v>11.85</v>
      </c>
      <c r="I145" s="929">
        <v>1.1499999999999999</v>
      </c>
      <c r="J145" s="923">
        <v>0.21</v>
      </c>
      <c r="K145" s="913">
        <v>0</v>
      </c>
      <c r="L145" s="899" t="s">
        <v>1838</v>
      </c>
    </row>
    <row r="146" spans="1:12">
      <c r="A146" s="1258" t="s">
        <v>1844</v>
      </c>
      <c r="B146" s="1262" t="s">
        <v>255</v>
      </c>
      <c r="C146" s="1259" t="s">
        <v>1857</v>
      </c>
      <c r="D146" s="921">
        <v>41361</v>
      </c>
      <c r="E146" s="912">
        <v>0.52777777777777779</v>
      </c>
      <c r="F146" s="923">
        <v>8.35</v>
      </c>
      <c r="G146" s="923">
        <v>0</v>
      </c>
      <c r="H146" s="923">
        <v>12.22</v>
      </c>
      <c r="I146" s="929">
        <v>0.74399999999999999</v>
      </c>
      <c r="J146" s="923">
        <v>0.27</v>
      </c>
      <c r="K146" s="913">
        <v>0</v>
      </c>
      <c r="L146" s="899" t="s">
        <v>1838</v>
      </c>
    </row>
    <row r="147" spans="1:12">
      <c r="A147" s="1258"/>
      <c r="B147" s="1263"/>
      <c r="C147" s="1260"/>
      <c r="D147" s="910">
        <v>41389</v>
      </c>
      <c r="E147" s="912">
        <v>4.8611111111111112E-2</v>
      </c>
      <c r="F147" s="923">
        <v>8.09</v>
      </c>
      <c r="G147" s="923">
        <v>4.2</v>
      </c>
      <c r="H147" s="923">
        <v>10.69</v>
      </c>
      <c r="I147" s="929">
        <v>0.53500000000000003</v>
      </c>
      <c r="J147" s="923">
        <v>1.8</v>
      </c>
      <c r="K147" s="913">
        <v>0.1</v>
      </c>
      <c r="L147" s="899" t="s">
        <v>1838</v>
      </c>
    </row>
    <row r="148" spans="1:12">
      <c r="A148" s="1258"/>
      <c r="B148" s="1263"/>
      <c r="C148" s="1260"/>
      <c r="D148" s="910">
        <v>41415</v>
      </c>
      <c r="E148" s="912">
        <v>7.3611111111111113E-2</v>
      </c>
      <c r="F148" s="923">
        <v>8.08</v>
      </c>
      <c r="G148" s="923">
        <v>10.1</v>
      </c>
      <c r="H148" s="923">
        <v>8.49</v>
      </c>
      <c r="I148" s="929">
        <v>0.22700000000000001</v>
      </c>
      <c r="J148" s="923">
        <v>5.6</v>
      </c>
      <c r="K148" s="913">
        <v>0.05</v>
      </c>
      <c r="L148" s="899" t="s">
        <v>1838</v>
      </c>
    </row>
    <row r="149" spans="1:12">
      <c r="A149" s="1258"/>
      <c r="B149" s="1263"/>
      <c r="C149" s="1260"/>
      <c r="D149" s="910">
        <v>41443</v>
      </c>
      <c r="E149" s="912">
        <v>9.930555555555555E-2</v>
      </c>
      <c r="F149" s="923">
        <v>8.09</v>
      </c>
      <c r="G149" s="923">
        <v>15.1</v>
      </c>
      <c r="H149" s="923">
        <v>8.6199999999999992</v>
      </c>
      <c r="I149" s="929">
        <v>0.42499999999999999</v>
      </c>
      <c r="J149" s="923">
        <v>0.31</v>
      </c>
      <c r="K149" s="913">
        <v>0.1</v>
      </c>
      <c r="L149" s="899" t="s">
        <v>1838</v>
      </c>
    </row>
    <row r="150" spans="1:12">
      <c r="A150" s="1258"/>
      <c r="B150" s="1263"/>
      <c r="C150" s="1260"/>
      <c r="D150" s="910">
        <v>41478</v>
      </c>
      <c r="E150" s="912">
        <v>7.6388888888888895E-2</v>
      </c>
      <c r="F150" s="923">
        <v>8.16</v>
      </c>
      <c r="G150" s="923">
        <v>17.3</v>
      </c>
      <c r="H150" s="923">
        <v>8.56</v>
      </c>
      <c r="I150" s="929">
        <v>0.46600000000000003</v>
      </c>
      <c r="J150" s="923">
        <v>0.115</v>
      </c>
      <c r="K150" s="913">
        <v>0.05</v>
      </c>
      <c r="L150" s="899" t="s">
        <v>1838</v>
      </c>
    </row>
    <row r="151" spans="1:12">
      <c r="A151" s="1258"/>
      <c r="B151" s="1263"/>
      <c r="C151" s="1260"/>
      <c r="D151" s="910">
        <v>41513</v>
      </c>
      <c r="E151" s="912">
        <v>6.3194444444444442E-2</v>
      </c>
      <c r="F151" s="923">
        <v>8.33</v>
      </c>
      <c r="G151" s="923">
        <v>15.9</v>
      </c>
      <c r="H151" s="923">
        <v>7.06</v>
      </c>
      <c r="I151" s="929">
        <v>0.59899999999999998</v>
      </c>
      <c r="J151" s="923">
        <v>0.4</v>
      </c>
      <c r="K151" s="913">
        <v>0.05</v>
      </c>
      <c r="L151" s="899" t="s">
        <v>1838</v>
      </c>
    </row>
    <row r="152" spans="1:12">
      <c r="A152" s="1258"/>
      <c r="B152" s="1263"/>
      <c r="C152" s="1260"/>
      <c r="D152" s="910">
        <v>41542</v>
      </c>
      <c r="E152" s="912">
        <v>9.4444444444444442E-2</v>
      </c>
      <c r="F152" s="923">
        <v>8.0500000000000007</v>
      </c>
      <c r="G152" s="923">
        <v>11.2</v>
      </c>
      <c r="H152" s="923">
        <v>9.33</v>
      </c>
      <c r="I152" s="929">
        <v>0.26700000000000002</v>
      </c>
      <c r="J152" s="923">
        <v>3</v>
      </c>
      <c r="K152" s="913">
        <v>0.05</v>
      </c>
      <c r="L152" s="899" t="s">
        <v>1838</v>
      </c>
    </row>
    <row r="153" spans="1:12">
      <c r="A153" s="1258"/>
      <c r="B153" s="1263"/>
      <c r="C153" s="1260"/>
      <c r="D153" s="910">
        <v>41570</v>
      </c>
      <c r="E153" s="912">
        <v>0.10069444444444443</v>
      </c>
      <c r="F153" s="923">
        <v>8.07</v>
      </c>
      <c r="G153" s="923">
        <v>6.4</v>
      </c>
      <c r="H153" s="923">
        <v>11.43</v>
      </c>
      <c r="I153" s="929">
        <v>0.43</v>
      </c>
      <c r="J153" s="923">
        <v>2.79</v>
      </c>
      <c r="K153" s="913">
        <v>0.1</v>
      </c>
      <c r="L153" s="899" t="s">
        <v>1838</v>
      </c>
    </row>
    <row r="154" spans="1:12">
      <c r="A154" s="1258"/>
      <c r="B154" s="1264"/>
      <c r="C154" s="1261"/>
      <c r="D154" s="911">
        <v>41603</v>
      </c>
      <c r="E154" s="912">
        <v>0.53125</v>
      </c>
      <c r="F154" s="923">
        <v>8.1300000000000008</v>
      </c>
      <c r="G154" s="923">
        <v>0.1</v>
      </c>
      <c r="H154" s="923">
        <v>13.37</v>
      </c>
      <c r="I154" s="929">
        <v>0.46100000000000002</v>
      </c>
      <c r="J154" s="923">
        <v>0.56999999999999995</v>
      </c>
      <c r="K154" s="913">
        <v>0.1</v>
      </c>
      <c r="L154" s="899" t="s">
        <v>1838</v>
      </c>
    </row>
  </sheetData>
  <mergeCells count="41">
    <mergeCell ref="B2:B10"/>
    <mergeCell ref="C2:C10"/>
    <mergeCell ref="B119:B127"/>
    <mergeCell ref="C119:C127"/>
    <mergeCell ref="B110:B118"/>
    <mergeCell ref="C110:C118"/>
    <mergeCell ref="B92:B100"/>
    <mergeCell ref="C92:C100"/>
    <mergeCell ref="C83:C91"/>
    <mergeCell ref="C56:C64"/>
    <mergeCell ref="C11:C19"/>
    <mergeCell ref="C20:C28"/>
    <mergeCell ref="B20:B28"/>
    <mergeCell ref="B11:B19"/>
    <mergeCell ref="B29:B37"/>
    <mergeCell ref="B38:B46"/>
    <mergeCell ref="B47:B55"/>
    <mergeCell ref="C29:C37"/>
    <mergeCell ref="C38:C46"/>
    <mergeCell ref="C47:C55"/>
    <mergeCell ref="C65:C73"/>
    <mergeCell ref="B56:B64"/>
    <mergeCell ref="B65:B73"/>
    <mergeCell ref="C74:C82"/>
    <mergeCell ref="B146:B154"/>
    <mergeCell ref="C146:C154"/>
    <mergeCell ref="C128:C135"/>
    <mergeCell ref="C137:C145"/>
    <mergeCell ref="B74:B82"/>
    <mergeCell ref="B101:B109"/>
    <mergeCell ref="C101:C109"/>
    <mergeCell ref="B128:B136"/>
    <mergeCell ref="B137:B145"/>
    <mergeCell ref="B83:B91"/>
    <mergeCell ref="A2:A28"/>
    <mergeCell ref="A29:A82"/>
    <mergeCell ref="A146:A154"/>
    <mergeCell ref="A137:A145"/>
    <mergeCell ref="A101:A136"/>
    <mergeCell ref="A92:A100"/>
    <mergeCell ref="A83:A91"/>
  </mergeCells>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92D050"/>
  </sheetPr>
  <dimension ref="A1:BL95"/>
  <sheetViews>
    <sheetView topLeftCell="A25" workbookViewId="0">
      <selection activeCell="I20" sqref="I20"/>
    </sheetView>
  </sheetViews>
  <sheetFormatPr defaultRowHeight="14"/>
  <cols>
    <col min="1" max="1" width="6.81640625" bestFit="1" customWidth="1"/>
    <col min="2" max="2" width="26.6328125" bestFit="1" customWidth="1"/>
    <col min="3" max="3" width="5.08984375" bestFit="1" customWidth="1"/>
    <col min="4" max="4" width="8.1796875" bestFit="1" customWidth="1"/>
    <col min="5" max="5" width="6.54296875" bestFit="1" customWidth="1"/>
    <col min="6" max="6" width="7.1796875" bestFit="1" customWidth="1"/>
    <col min="7" max="7" width="6.90625" bestFit="1" customWidth="1"/>
    <col min="8" max="8" width="10.08984375" bestFit="1" customWidth="1"/>
    <col min="10" max="10" width="26.6328125" bestFit="1" customWidth="1"/>
    <col min="12" max="12" width="26.6328125" bestFit="1" customWidth="1"/>
    <col min="17" max="17" width="8.08984375" bestFit="1" customWidth="1"/>
    <col min="18" max="18" width="49.36328125" bestFit="1" customWidth="1"/>
    <col min="19" max="19" width="8.90625" customWidth="1"/>
    <col min="22" max="22" width="10.54296875" customWidth="1"/>
    <col min="26" max="26" width="25.54296875" bestFit="1" customWidth="1"/>
    <col min="30" max="30" width="11.453125" bestFit="1" customWidth="1"/>
    <col min="31" max="31" width="10.08984375" bestFit="1" customWidth="1"/>
    <col min="32" max="32" width="7.54296875" bestFit="1" customWidth="1"/>
    <col min="45" max="45" width="10.08984375" style="83" bestFit="1" customWidth="1"/>
    <col min="47" max="47" width="13.54296875" bestFit="1" customWidth="1"/>
    <col min="51" max="51" width="12.54296875" bestFit="1" customWidth="1"/>
    <col min="54" max="54" width="10.54296875" bestFit="1" customWidth="1"/>
    <col min="56" max="56" width="12.54296875" bestFit="1" customWidth="1"/>
    <col min="57" max="57" width="10.453125" bestFit="1" customWidth="1"/>
    <col min="59" max="59" width="14.90625" bestFit="1" customWidth="1"/>
    <col min="60" max="60" width="16.6328125" bestFit="1" customWidth="1"/>
    <col min="61" max="61" width="10.36328125" bestFit="1" customWidth="1"/>
    <col min="62" max="62" width="16.6328125" bestFit="1" customWidth="1"/>
    <col min="63" max="63" width="16.08984375" bestFit="1" customWidth="1"/>
    <col min="64" max="64" width="16.6328125" bestFit="1" customWidth="1"/>
  </cols>
  <sheetData>
    <row r="1" spans="1:63" ht="27" thickBot="1">
      <c r="A1" s="80"/>
      <c r="K1" s="1273" t="s">
        <v>1109</v>
      </c>
      <c r="L1" s="1273"/>
      <c r="M1" s="1273"/>
      <c r="N1" s="1273"/>
      <c r="Q1" s="692" t="s">
        <v>11</v>
      </c>
      <c r="R1" s="692" t="s">
        <v>1142</v>
      </c>
      <c r="S1" s="691" t="s">
        <v>206</v>
      </c>
      <c r="T1" s="674" t="s">
        <v>1144</v>
      </c>
      <c r="U1" s="674" t="s">
        <v>451</v>
      </c>
      <c r="V1" s="690" t="s">
        <v>68</v>
      </c>
      <c r="AR1" s="17" t="s">
        <v>1173</v>
      </c>
      <c r="AS1" s="750" t="s">
        <v>1174</v>
      </c>
      <c r="AT1" s="752" t="s">
        <v>1175</v>
      </c>
      <c r="AU1" s="17" t="s">
        <v>1321</v>
      </c>
      <c r="AV1" s="215" t="s">
        <v>743</v>
      </c>
      <c r="AW1" s="215" t="s">
        <v>1323</v>
      </c>
      <c r="AX1" s="215" t="s">
        <v>1322</v>
      </c>
      <c r="AY1" s="215" t="s">
        <v>1324</v>
      </c>
      <c r="AZ1" s="753">
        <v>2.7000000000000001E-3</v>
      </c>
      <c r="BA1" s="215" t="s">
        <v>1326</v>
      </c>
      <c r="BB1" s="215" t="s">
        <v>1327</v>
      </c>
      <c r="BD1" s="17" t="s">
        <v>1324</v>
      </c>
      <c r="BE1" s="17" t="s">
        <v>1330</v>
      </c>
      <c r="BF1" s="17" t="s">
        <v>1328</v>
      </c>
      <c r="BG1" s="17" t="s">
        <v>1329</v>
      </c>
      <c r="BJ1" s="1274" t="s">
        <v>1340</v>
      </c>
      <c r="BK1" s="1274"/>
    </row>
    <row r="2" spans="1:63" ht="16" thickBot="1">
      <c r="A2" s="728" t="s">
        <v>11</v>
      </c>
      <c r="B2" s="728" t="s">
        <v>10</v>
      </c>
      <c r="C2" s="728"/>
      <c r="D2" s="729">
        <v>41491</v>
      </c>
      <c r="E2" s="729">
        <v>41526</v>
      </c>
      <c r="F2" s="729">
        <v>41540</v>
      </c>
      <c r="G2" s="1017">
        <v>41568</v>
      </c>
      <c r="K2" s="640" t="s">
        <v>11</v>
      </c>
      <c r="L2" s="640" t="s">
        <v>10</v>
      </c>
      <c r="M2" s="641" t="s">
        <v>1104</v>
      </c>
      <c r="N2" s="640" t="s">
        <v>1105</v>
      </c>
      <c r="Q2" s="1275" t="s">
        <v>1149</v>
      </c>
      <c r="R2" s="1276"/>
      <c r="S2" s="1276"/>
      <c r="T2" s="1276"/>
      <c r="U2" s="1276"/>
      <c r="V2" s="1277"/>
      <c r="Y2" s="689">
        <v>41542</v>
      </c>
      <c r="Z2" s="688"/>
      <c r="AA2" s="688"/>
      <c r="AB2" s="688"/>
      <c r="AS2" s="751">
        <v>39295</v>
      </c>
      <c r="AT2" s="749">
        <v>6.61</v>
      </c>
      <c r="AU2" s="644">
        <v>24</v>
      </c>
      <c r="AV2">
        <f>AT2*1.3</f>
        <v>8.593</v>
      </c>
      <c r="AW2">
        <f>POWER(AT2,0.943)</f>
        <v>5.9353997804148282</v>
      </c>
      <c r="AX2">
        <f>AW2*1.39</f>
        <v>8.2502056947766107</v>
      </c>
      <c r="AY2" s="6">
        <f>AU2*AX2*$AZ$1</f>
        <v>0.53461332902152436</v>
      </c>
      <c r="AZ2" s="17" t="s">
        <v>76</v>
      </c>
      <c r="BA2">
        <f>SUM(AY2:AY32)</f>
        <v>34.119387807678557</v>
      </c>
      <c r="BB2">
        <f>BA2/1.215</f>
        <v>28.081800664756013</v>
      </c>
      <c r="BD2" s="6">
        <f>AU2*AV2*$AZ$1</f>
        <v>0.55682640000000005</v>
      </c>
      <c r="BE2" s="17" t="s">
        <v>76</v>
      </c>
      <c r="BF2">
        <f>SUM(BD2:BD32)</f>
        <v>37.023552899999991</v>
      </c>
      <c r="BG2">
        <f>BF2/1.215</f>
        <v>30.472059999999992</v>
      </c>
      <c r="BJ2" s="17" t="s">
        <v>1326</v>
      </c>
      <c r="BK2" s="17" t="s">
        <v>1334</v>
      </c>
    </row>
    <row r="3" spans="1:63" ht="16.5" thickTop="1" thickBot="1">
      <c r="A3" s="1282" t="s">
        <v>19</v>
      </c>
      <c r="B3" s="1283"/>
      <c r="C3" s="1283"/>
      <c r="D3" s="1283"/>
      <c r="E3" s="1283"/>
      <c r="F3" s="1283"/>
      <c r="G3" s="1283"/>
      <c r="K3" s="610" t="s">
        <v>297</v>
      </c>
      <c r="L3" s="611" t="s">
        <v>206</v>
      </c>
      <c r="M3" s="1051">
        <v>401</v>
      </c>
      <c r="N3" s="613" t="s">
        <v>1071</v>
      </c>
      <c r="Q3" s="631" t="s">
        <v>244</v>
      </c>
      <c r="R3" s="631" t="s">
        <v>618</v>
      </c>
      <c r="S3" s="695">
        <v>345</v>
      </c>
      <c r="T3" s="695">
        <v>165</v>
      </c>
      <c r="U3" s="695">
        <v>16</v>
      </c>
      <c r="V3" s="695">
        <v>6</v>
      </c>
      <c r="Y3" s="635" t="s">
        <v>1141</v>
      </c>
      <c r="Z3" s="635" t="s">
        <v>1140</v>
      </c>
      <c r="AA3" s="636" t="s">
        <v>1139</v>
      </c>
      <c r="AB3" s="635" t="s">
        <v>1138</v>
      </c>
      <c r="AS3" s="751">
        <v>39296</v>
      </c>
      <c r="AT3" s="748">
        <v>7.45</v>
      </c>
      <c r="AU3" s="644">
        <v>24</v>
      </c>
      <c r="AV3">
        <f t="shared" ref="AV3:AV66" si="0">AT3*1.3</f>
        <v>9.6850000000000005</v>
      </c>
      <c r="AW3">
        <f t="shared" ref="AW3:AW66" si="1">POWER(AT3,0.943)</f>
        <v>6.6442102247618626</v>
      </c>
      <c r="AX3">
        <f t="shared" ref="AX3:AX66" si="2">AW3*1.39</f>
        <v>9.2354522124189877</v>
      </c>
      <c r="AY3" s="6">
        <f t="shared" ref="AY3:AY66" si="3">AU3*AX3*$AZ$1</f>
        <v>0.59845730336475045</v>
      </c>
      <c r="AZ3" s="17" t="s">
        <v>1325</v>
      </c>
      <c r="BA3">
        <f>SUM(AY33:AY62)</f>
        <v>794.52105905517919</v>
      </c>
      <c r="BB3">
        <f>BA3/1.215</f>
        <v>653.92679757627911</v>
      </c>
      <c r="BD3" s="6">
        <f t="shared" ref="BD3:BD66" si="4">AU3*AV3*$AZ$1</f>
        <v>0.62758800000000003</v>
      </c>
      <c r="BE3" s="17" t="s">
        <v>1325</v>
      </c>
      <c r="BF3">
        <f>SUM(BD33:BD62)</f>
        <v>905.48902350000014</v>
      </c>
      <c r="BG3">
        <f>BF3/1.215</f>
        <v>745.25845555555566</v>
      </c>
      <c r="BI3" s="17" t="s">
        <v>76</v>
      </c>
      <c r="BJ3" s="5">
        <f>BF2*5</f>
        <v>185.11776449999996</v>
      </c>
      <c r="BK3" s="5">
        <f>BJ3/1.215</f>
        <v>152.36029999999997</v>
      </c>
    </row>
    <row r="4" spans="1:63" ht="16.5" thickTop="1" thickBot="1">
      <c r="A4" s="610" t="s">
        <v>1095</v>
      </c>
      <c r="B4" s="611" t="s">
        <v>206</v>
      </c>
      <c r="C4" s="613" t="s">
        <v>1071</v>
      </c>
      <c r="D4" s="1048">
        <v>1049</v>
      </c>
      <c r="E4" s="1037">
        <v>962</v>
      </c>
      <c r="F4" s="1037">
        <v>712</v>
      </c>
      <c r="G4" s="1039">
        <v>367</v>
      </c>
      <c r="H4" s="583"/>
      <c r="I4" s="584"/>
      <c r="K4" s="610" t="s">
        <v>297</v>
      </c>
      <c r="L4" s="595" t="s">
        <v>185</v>
      </c>
      <c r="M4" s="1051">
        <v>106</v>
      </c>
      <c r="N4" s="595" t="s">
        <v>1071</v>
      </c>
      <c r="Q4" s="631" t="s">
        <v>1090</v>
      </c>
      <c r="R4" s="631" t="s">
        <v>1143</v>
      </c>
      <c r="S4" s="695">
        <v>283</v>
      </c>
      <c r="T4" s="695">
        <v>167</v>
      </c>
      <c r="U4" s="695">
        <v>14</v>
      </c>
      <c r="V4" s="695">
        <v>8</v>
      </c>
      <c r="Y4" s="1059">
        <v>64</v>
      </c>
      <c r="Z4" s="584" t="s">
        <v>206</v>
      </c>
      <c r="AA4" s="1061">
        <v>902</v>
      </c>
      <c r="AB4" s="637" t="s">
        <v>1071</v>
      </c>
      <c r="AE4" s="80">
        <v>41511</v>
      </c>
      <c r="AF4">
        <v>1927</v>
      </c>
      <c r="AS4" s="751">
        <v>39297</v>
      </c>
      <c r="AT4" s="748">
        <v>6.22</v>
      </c>
      <c r="AU4" s="644">
        <v>22</v>
      </c>
      <c r="AV4">
        <f t="shared" si="0"/>
        <v>8.0860000000000003</v>
      </c>
      <c r="AW4">
        <f t="shared" si="1"/>
        <v>5.6045962614054856</v>
      </c>
      <c r="AX4">
        <f t="shared" si="2"/>
        <v>7.7903888033536246</v>
      </c>
      <c r="AY4" s="6">
        <f t="shared" si="3"/>
        <v>0.46274909491920529</v>
      </c>
      <c r="AZ4" s="17" t="s">
        <v>78</v>
      </c>
      <c r="BA4">
        <f>SUM(AY63:AY93)</f>
        <v>28.224570136869403</v>
      </c>
      <c r="BB4">
        <f>BA4/1.215</f>
        <v>23.230098878081812</v>
      </c>
      <c r="BD4" s="6">
        <f t="shared" si="4"/>
        <v>0.48030840000000002</v>
      </c>
      <c r="BE4" s="17" t="s">
        <v>78</v>
      </c>
      <c r="BF4">
        <f>SUM(BD63:BD93)</f>
        <v>28.495370699999992</v>
      </c>
      <c r="BG4">
        <f>BF4/1.215</f>
        <v>23.452979999999993</v>
      </c>
      <c r="BI4" s="17" t="s">
        <v>1325</v>
      </c>
      <c r="BJ4" s="5">
        <f>BF3*15</f>
        <v>13582.335352500002</v>
      </c>
      <c r="BK4" s="5">
        <f>BJ4/1.215</f>
        <v>11178.876833333334</v>
      </c>
    </row>
    <row r="5" spans="1:63" ht="16.5" thickTop="1" thickBot="1">
      <c r="A5" s="610" t="s">
        <v>1095</v>
      </c>
      <c r="B5" s="595" t="s">
        <v>185</v>
      </c>
      <c r="C5" s="595" t="s">
        <v>1071</v>
      </c>
      <c r="D5" s="1048">
        <v>557</v>
      </c>
      <c r="E5" s="1037">
        <v>851</v>
      </c>
      <c r="F5" s="1037">
        <v>323</v>
      </c>
      <c r="G5" s="1039">
        <v>108</v>
      </c>
      <c r="H5" s="583"/>
      <c r="I5" s="589"/>
      <c r="K5" s="610" t="s">
        <v>297</v>
      </c>
      <c r="L5" s="595" t="s">
        <v>245</v>
      </c>
      <c r="M5" s="1051">
        <v>22</v>
      </c>
      <c r="N5" s="613" t="s">
        <v>1071</v>
      </c>
      <c r="Q5" s="631" t="s">
        <v>246</v>
      </c>
      <c r="R5" s="631" t="s">
        <v>619</v>
      </c>
      <c r="S5" s="695">
        <v>338</v>
      </c>
      <c r="T5" s="695">
        <v>169</v>
      </c>
      <c r="U5" s="695">
        <v>169</v>
      </c>
      <c r="V5" s="695">
        <v>6</v>
      </c>
      <c r="Y5" s="1059">
        <v>64</v>
      </c>
      <c r="Z5" s="589" t="s">
        <v>185</v>
      </c>
      <c r="AA5" s="1061">
        <v>175</v>
      </c>
      <c r="AB5" s="589" t="s">
        <v>1071</v>
      </c>
      <c r="AD5" t="s">
        <v>1155</v>
      </c>
      <c r="AE5" s="80">
        <v>41512</v>
      </c>
      <c r="AF5">
        <v>1909</v>
      </c>
      <c r="AS5" s="751">
        <v>39298</v>
      </c>
      <c r="AT5" s="748">
        <v>5.95</v>
      </c>
      <c r="AU5" s="644">
        <v>24</v>
      </c>
      <c r="AV5">
        <f t="shared" si="0"/>
        <v>7.7350000000000003</v>
      </c>
      <c r="AW5">
        <f t="shared" si="1"/>
        <v>5.3748889860524898</v>
      </c>
      <c r="AX5">
        <f t="shared" si="2"/>
        <v>7.4710956906129606</v>
      </c>
      <c r="AY5" s="6">
        <f t="shared" si="3"/>
        <v>0.48412700075171983</v>
      </c>
      <c r="BD5" s="6">
        <f t="shared" si="4"/>
        <v>0.50122800000000012</v>
      </c>
      <c r="BI5" s="17" t="s">
        <v>78</v>
      </c>
      <c r="BJ5" s="5">
        <f>BF4*5</f>
        <v>142.47685349999995</v>
      </c>
      <c r="BK5" s="5">
        <f>BJ5/1.215</f>
        <v>117.26489999999995</v>
      </c>
    </row>
    <row r="6" spans="1:63" ht="16.5" thickTop="1" thickBot="1">
      <c r="A6" s="610" t="s">
        <v>1095</v>
      </c>
      <c r="B6" s="595" t="s">
        <v>245</v>
      </c>
      <c r="C6" s="613" t="s">
        <v>1071</v>
      </c>
      <c r="D6" s="1048">
        <v>53</v>
      </c>
      <c r="E6" s="1037">
        <v>53</v>
      </c>
      <c r="F6" s="1037">
        <v>31</v>
      </c>
      <c r="G6" s="1039">
        <v>5</v>
      </c>
      <c r="H6" s="583"/>
      <c r="I6" s="589"/>
      <c r="K6" s="610" t="s">
        <v>297</v>
      </c>
      <c r="L6" s="595" t="s">
        <v>179</v>
      </c>
      <c r="M6" s="1051">
        <v>26</v>
      </c>
      <c r="N6" s="595" t="s">
        <v>1071</v>
      </c>
      <c r="Q6" s="1275" t="s">
        <v>1147</v>
      </c>
      <c r="R6" s="1276"/>
      <c r="S6" s="1276"/>
      <c r="T6" s="1276"/>
      <c r="U6" s="1276"/>
      <c r="V6" s="1277"/>
      <c r="Y6" s="1059">
        <v>64</v>
      </c>
      <c r="Z6" s="589" t="s">
        <v>245</v>
      </c>
      <c r="AA6" s="1061">
        <v>11</v>
      </c>
      <c r="AB6" s="637" t="s">
        <v>1071</v>
      </c>
      <c r="AD6" t="s">
        <v>1155</v>
      </c>
      <c r="AE6" s="80">
        <v>41513</v>
      </c>
      <c r="AF6">
        <v>1902</v>
      </c>
      <c r="AS6" s="751">
        <v>39299</v>
      </c>
      <c r="AT6" s="748">
        <v>4.21</v>
      </c>
      <c r="AU6" s="644">
        <v>29</v>
      </c>
      <c r="AV6">
        <f t="shared" si="0"/>
        <v>5.4729999999999999</v>
      </c>
      <c r="AW6">
        <f t="shared" si="1"/>
        <v>3.8788056216554305</v>
      </c>
      <c r="AX6">
        <f t="shared" si="2"/>
        <v>5.3915398141010478</v>
      </c>
      <c r="AY6" s="6">
        <f t="shared" si="3"/>
        <v>0.42215756744411209</v>
      </c>
      <c r="BD6" s="6">
        <f t="shared" si="4"/>
        <v>0.42853589999999997</v>
      </c>
      <c r="BI6" s="91" t="s">
        <v>1333</v>
      </c>
      <c r="BJ6" s="91" t="s">
        <v>1331</v>
      </c>
      <c r="BK6" s="53" t="s">
        <v>1339</v>
      </c>
    </row>
    <row r="7" spans="1:63" ht="16.5" thickTop="1" thickBot="1">
      <c r="A7" s="610" t="s">
        <v>1095</v>
      </c>
      <c r="B7" s="595" t="s">
        <v>179</v>
      </c>
      <c r="C7" s="595" t="s">
        <v>1071</v>
      </c>
      <c r="D7" s="1048">
        <v>28</v>
      </c>
      <c r="E7" s="1037">
        <v>11</v>
      </c>
      <c r="F7" s="1037">
        <v>57</v>
      </c>
      <c r="G7" s="1039">
        <v>2</v>
      </c>
      <c r="H7" s="583"/>
      <c r="I7" s="589"/>
      <c r="K7" s="610" t="s">
        <v>297</v>
      </c>
      <c r="L7" s="642" t="s">
        <v>180</v>
      </c>
      <c r="M7" s="1052">
        <v>8</v>
      </c>
      <c r="N7" s="595" t="s">
        <v>1071</v>
      </c>
      <c r="Q7" s="631" t="s">
        <v>256</v>
      </c>
      <c r="R7" s="631" t="s">
        <v>610</v>
      </c>
      <c r="S7" s="693">
        <v>260</v>
      </c>
      <c r="T7" s="693">
        <v>37</v>
      </c>
      <c r="U7" s="693">
        <v>16</v>
      </c>
      <c r="V7" s="693">
        <v>23</v>
      </c>
      <c r="Y7" s="1059">
        <v>64</v>
      </c>
      <c r="Z7" s="589" t="s">
        <v>179</v>
      </c>
      <c r="AA7" s="1061">
        <v>86</v>
      </c>
      <c r="AB7" s="589" t="s">
        <v>1071</v>
      </c>
      <c r="AD7" t="s">
        <v>1155</v>
      </c>
      <c r="AE7" s="80">
        <v>41514</v>
      </c>
      <c r="AF7">
        <v>1916</v>
      </c>
      <c r="AS7" s="751">
        <v>39300</v>
      </c>
      <c r="AT7" s="748">
        <v>4.16</v>
      </c>
      <c r="AU7" s="644">
        <v>27</v>
      </c>
      <c r="AV7">
        <f t="shared" si="0"/>
        <v>5.4080000000000004</v>
      </c>
      <c r="AW7">
        <f t="shared" si="1"/>
        <v>3.8353500756224101</v>
      </c>
      <c r="AX7">
        <f t="shared" si="2"/>
        <v>5.3311366051151499</v>
      </c>
      <c r="AY7" s="6">
        <f t="shared" si="3"/>
        <v>0.38863985851289445</v>
      </c>
      <c r="BD7" s="6">
        <f t="shared" si="4"/>
        <v>0.39424320000000007</v>
      </c>
      <c r="BF7" s="53"/>
      <c r="BG7" s="91" t="s">
        <v>1332</v>
      </c>
      <c r="BH7" s="53"/>
      <c r="BI7" s="765">
        <v>250</v>
      </c>
      <c r="BJ7" s="184">
        <v>170</v>
      </c>
      <c r="BK7" s="53">
        <f>BJ7/1.215</f>
        <v>139.91769547325103</v>
      </c>
    </row>
    <row r="8" spans="1:63" ht="16.5" thickTop="1" thickBot="1">
      <c r="A8" s="610" t="s">
        <v>1095</v>
      </c>
      <c r="B8" s="642" t="s">
        <v>180</v>
      </c>
      <c r="C8" s="595" t="s">
        <v>1071</v>
      </c>
      <c r="D8" s="1049">
        <v>7</v>
      </c>
      <c r="E8" s="1050">
        <v>2</v>
      </c>
      <c r="F8" s="1050">
        <v>15</v>
      </c>
      <c r="G8" s="1050">
        <v>2</v>
      </c>
      <c r="H8" s="583"/>
      <c r="I8" s="590"/>
      <c r="K8" s="610" t="s">
        <v>297</v>
      </c>
      <c r="L8" s="595" t="s">
        <v>184</v>
      </c>
      <c r="M8" s="1051">
        <v>7.6</v>
      </c>
      <c r="N8" s="595" t="s">
        <v>1096</v>
      </c>
      <c r="Q8" s="1275" t="s">
        <v>1145</v>
      </c>
      <c r="R8" s="1276"/>
      <c r="S8" s="1276"/>
      <c r="T8" s="1276"/>
      <c r="U8" s="1276"/>
      <c r="V8" s="1276"/>
      <c r="Y8" s="1059">
        <v>32</v>
      </c>
      <c r="Z8" s="584" t="s">
        <v>206</v>
      </c>
      <c r="AA8" s="1061">
        <v>1635</v>
      </c>
      <c r="AB8" s="637" t="s">
        <v>1071</v>
      </c>
      <c r="AD8" t="s">
        <v>1155</v>
      </c>
      <c r="AE8" s="80">
        <v>41515</v>
      </c>
      <c r="AF8">
        <v>1902</v>
      </c>
      <c r="AS8" s="751">
        <v>39301</v>
      </c>
      <c r="AT8" s="748">
        <v>4.13</v>
      </c>
      <c r="AU8" s="644">
        <v>26</v>
      </c>
      <c r="AV8">
        <f t="shared" si="0"/>
        <v>5.3689999999999998</v>
      </c>
      <c r="AW8">
        <f t="shared" si="1"/>
        <v>3.809262476868954</v>
      </c>
      <c r="AX8">
        <f t="shared" si="2"/>
        <v>5.2948748428478458</v>
      </c>
      <c r="AY8" s="6">
        <f t="shared" si="3"/>
        <v>0.3717002139679188</v>
      </c>
      <c r="BD8" s="6">
        <f t="shared" si="4"/>
        <v>0.37690380000000001</v>
      </c>
      <c r="BF8" s="91" t="s">
        <v>1333</v>
      </c>
      <c r="BG8" s="91" t="s">
        <v>1331</v>
      </c>
      <c r="BH8" s="91" t="s">
        <v>454</v>
      </c>
      <c r="BI8" s="765">
        <v>500</v>
      </c>
      <c r="BJ8" s="184">
        <v>215</v>
      </c>
      <c r="BK8" s="53">
        <f>BJ8/1.215</f>
        <v>176.95473251028807</v>
      </c>
    </row>
    <row r="9" spans="1:63" ht="16.5" thickTop="1" thickBot="1">
      <c r="A9" s="610" t="s">
        <v>1095</v>
      </c>
      <c r="B9" s="595" t="s">
        <v>184</v>
      </c>
      <c r="C9" s="595" t="s">
        <v>1096</v>
      </c>
      <c r="D9" s="725">
        <v>16.399999999999999</v>
      </c>
      <c r="E9" s="606">
        <v>20.2</v>
      </c>
      <c r="F9" s="606">
        <v>20.399999999999999</v>
      </c>
      <c r="G9" s="726">
        <v>4</v>
      </c>
      <c r="H9" s="583"/>
      <c r="I9" s="589"/>
      <c r="K9" s="610" t="s">
        <v>297</v>
      </c>
      <c r="L9" s="611" t="s">
        <v>181</v>
      </c>
      <c r="M9" s="1053">
        <v>0.3</v>
      </c>
      <c r="N9" s="595" t="s">
        <v>1071</v>
      </c>
      <c r="O9">
        <f>AVERAGE(M8,M16)</f>
        <v>10.199999999999999</v>
      </c>
      <c r="Q9" s="631" t="s">
        <v>538</v>
      </c>
      <c r="R9" s="631" t="s">
        <v>587</v>
      </c>
      <c r="S9" s="693">
        <v>274</v>
      </c>
      <c r="T9" s="693">
        <v>121</v>
      </c>
      <c r="U9" s="693">
        <v>2</v>
      </c>
      <c r="V9" s="693">
        <v>16</v>
      </c>
      <c r="Y9" s="1059">
        <v>32</v>
      </c>
      <c r="Z9" s="589" t="s">
        <v>185</v>
      </c>
      <c r="AA9" s="1061">
        <v>632</v>
      </c>
      <c r="AB9" s="589" t="s">
        <v>1071</v>
      </c>
      <c r="AD9" t="s">
        <v>1155</v>
      </c>
      <c r="AE9" s="80">
        <v>41516</v>
      </c>
      <c r="AF9">
        <v>1889</v>
      </c>
      <c r="AS9" s="751">
        <v>39302</v>
      </c>
      <c r="AT9" s="748">
        <v>6.7</v>
      </c>
      <c r="AU9" s="644">
        <v>28</v>
      </c>
      <c r="AV9">
        <f t="shared" si="0"/>
        <v>8.7100000000000009</v>
      </c>
      <c r="AW9">
        <f t="shared" si="1"/>
        <v>6.0115787268758503</v>
      </c>
      <c r="AX9">
        <f t="shared" si="2"/>
        <v>8.356094430357432</v>
      </c>
      <c r="AY9" s="6">
        <f t="shared" si="3"/>
        <v>0.6317207389350219</v>
      </c>
      <c r="BD9" s="6">
        <f t="shared" si="4"/>
        <v>0.65847600000000006</v>
      </c>
      <c r="BF9" s="53">
        <v>100</v>
      </c>
      <c r="BG9" s="53">
        <f>BH9/365</f>
        <v>169.86301369863014</v>
      </c>
      <c r="BH9" s="53">
        <v>62000</v>
      </c>
      <c r="BI9" s="765">
        <v>1000</v>
      </c>
      <c r="BJ9" s="184">
        <v>250</v>
      </c>
      <c r="BK9" s="53">
        <f>BJ9/1.215</f>
        <v>205.76131687242798</v>
      </c>
    </row>
    <row r="10" spans="1:63" ht="16.5" thickTop="1" thickBot="1">
      <c r="A10" s="1284" t="s">
        <v>20</v>
      </c>
      <c r="B10" s="1285"/>
      <c r="C10" s="1285"/>
      <c r="D10" s="1285"/>
      <c r="E10" s="1285"/>
      <c r="F10" s="1285"/>
      <c r="G10" s="1285"/>
      <c r="H10" s="583"/>
      <c r="I10" s="584"/>
      <c r="K10" s="610" t="s">
        <v>297</v>
      </c>
      <c r="L10" s="611" t="s">
        <v>181</v>
      </c>
      <c r="M10" s="1053">
        <v>0.3</v>
      </c>
      <c r="N10" s="595" t="s">
        <v>1071</v>
      </c>
      <c r="Q10" s="631" t="s">
        <v>520</v>
      </c>
      <c r="R10" s="631" t="s">
        <v>589</v>
      </c>
      <c r="S10" s="693">
        <v>323</v>
      </c>
      <c r="T10" s="693">
        <v>94</v>
      </c>
      <c r="U10" s="693">
        <v>9</v>
      </c>
      <c r="V10" s="693">
        <v>20</v>
      </c>
      <c r="Y10" s="1059">
        <v>32</v>
      </c>
      <c r="Z10" s="589" t="s">
        <v>245</v>
      </c>
      <c r="AA10" s="1061">
        <v>44</v>
      </c>
      <c r="AB10" s="637" t="s">
        <v>1071</v>
      </c>
      <c r="AD10" t="s">
        <v>1155</v>
      </c>
      <c r="AE10" s="80">
        <v>41517</v>
      </c>
      <c r="AF10">
        <v>1923</v>
      </c>
      <c r="AS10" s="751">
        <v>39303</v>
      </c>
      <c r="AT10" s="748">
        <v>5.35</v>
      </c>
      <c r="AU10" s="644">
        <v>26</v>
      </c>
      <c r="AV10">
        <f t="shared" si="0"/>
        <v>6.9550000000000001</v>
      </c>
      <c r="AW10">
        <f t="shared" si="1"/>
        <v>4.8622537108467245</v>
      </c>
      <c r="AX10">
        <f t="shared" si="2"/>
        <v>6.7585326580769465</v>
      </c>
      <c r="AY10" s="6">
        <f t="shared" si="3"/>
        <v>0.47444899259700168</v>
      </c>
      <c r="BD10" s="6">
        <f t="shared" si="4"/>
        <v>0.48824100000000004</v>
      </c>
      <c r="BF10" s="53">
        <v>500</v>
      </c>
      <c r="BG10" s="53">
        <f>BH10/365</f>
        <v>216.43835616438355</v>
      </c>
      <c r="BH10" s="53">
        <v>79000</v>
      </c>
      <c r="BI10" s="765">
        <v>1500</v>
      </c>
      <c r="BJ10" s="184">
        <v>290</v>
      </c>
      <c r="BK10" s="53">
        <f>BJ10/1.215</f>
        <v>238.68312757201645</v>
      </c>
    </row>
    <row r="11" spans="1:63" ht="16.5" thickTop="1" thickBot="1">
      <c r="A11" s="610" t="s">
        <v>1097</v>
      </c>
      <c r="B11" s="611" t="s">
        <v>206</v>
      </c>
      <c r="C11" s="613" t="s">
        <v>1071</v>
      </c>
      <c r="D11" s="1048">
        <v>1078</v>
      </c>
      <c r="E11" s="1037">
        <v>592</v>
      </c>
      <c r="F11" s="1037">
        <v>610</v>
      </c>
      <c r="G11" s="1037">
        <v>406</v>
      </c>
      <c r="H11" s="583"/>
      <c r="I11" s="589"/>
      <c r="K11" s="610" t="s">
        <v>402</v>
      </c>
      <c r="L11" s="611" t="s">
        <v>206</v>
      </c>
      <c r="M11" s="1051">
        <v>382</v>
      </c>
      <c r="N11" s="613" t="s">
        <v>1071</v>
      </c>
      <c r="Q11" s="631" t="s">
        <v>262</v>
      </c>
      <c r="R11" s="631" t="s">
        <v>263</v>
      </c>
      <c r="S11" s="693">
        <v>414</v>
      </c>
      <c r="T11" s="693">
        <v>122</v>
      </c>
      <c r="U11" s="693">
        <v>19</v>
      </c>
      <c r="V11" s="693">
        <v>26</v>
      </c>
      <c r="Y11" s="1059">
        <v>32</v>
      </c>
      <c r="Z11" s="589" t="s">
        <v>179</v>
      </c>
      <c r="AA11" s="1061">
        <v>137</v>
      </c>
      <c r="AB11" s="589" t="s">
        <v>1071</v>
      </c>
      <c r="AD11" t="s">
        <v>1155</v>
      </c>
      <c r="AE11" s="80">
        <v>41518</v>
      </c>
      <c r="AF11">
        <v>1954</v>
      </c>
      <c r="AS11" s="751">
        <v>39304</v>
      </c>
      <c r="AT11" s="748">
        <v>3.51</v>
      </c>
      <c r="AU11" s="644">
        <v>28</v>
      </c>
      <c r="AV11">
        <f t="shared" si="0"/>
        <v>4.5629999999999997</v>
      </c>
      <c r="AW11">
        <f t="shared" si="1"/>
        <v>3.2675678236305705</v>
      </c>
      <c r="AX11">
        <f t="shared" si="2"/>
        <v>4.5419192748464923</v>
      </c>
      <c r="AY11" s="6">
        <f t="shared" si="3"/>
        <v>0.34336909717839481</v>
      </c>
      <c r="BD11" s="6">
        <f t="shared" si="4"/>
        <v>0.34496280000000001</v>
      </c>
      <c r="BF11" s="53">
        <v>1000</v>
      </c>
      <c r="BG11" s="53">
        <f>BH11/365</f>
        <v>252.05479452054794</v>
      </c>
      <c r="BH11" s="53">
        <v>92000</v>
      </c>
    </row>
    <row r="12" spans="1:63" ht="16.5" thickTop="1" thickBot="1">
      <c r="A12" s="610" t="s">
        <v>1097</v>
      </c>
      <c r="B12" s="595" t="s">
        <v>185</v>
      </c>
      <c r="C12" s="595" t="s">
        <v>1071</v>
      </c>
      <c r="D12" s="1048">
        <v>327</v>
      </c>
      <c r="E12" s="1037">
        <v>415</v>
      </c>
      <c r="F12" s="1037">
        <v>207</v>
      </c>
      <c r="G12" s="1037">
        <v>250</v>
      </c>
      <c r="H12" s="583"/>
      <c r="I12" s="589"/>
      <c r="K12" s="610" t="s">
        <v>402</v>
      </c>
      <c r="L12" s="595" t="s">
        <v>185</v>
      </c>
      <c r="M12" s="1051">
        <v>106</v>
      </c>
      <c r="N12" s="595" t="s">
        <v>1071</v>
      </c>
      <c r="Q12" s="1278" t="s">
        <v>264</v>
      </c>
      <c r="R12" s="1279"/>
      <c r="S12" s="1279"/>
      <c r="T12" s="1279"/>
      <c r="U12" s="1279"/>
      <c r="V12" s="1280"/>
      <c r="Y12" s="1059">
        <v>5</v>
      </c>
      <c r="Z12" s="584" t="s">
        <v>206</v>
      </c>
      <c r="AA12" s="1061">
        <v>347</v>
      </c>
      <c r="AB12" s="637" t="s">
        <v>1071</v>
      </c>
      <c r="AD12" t="s">
        <v>1155</v>
      </c>
      <c r="AE12" s="80">
        <v>41519</v>
      </c>
      <c r="AF12">
        <v>1977</v>
      </c>
      <c r="AS12" s="751">
        <v>39305</v>
      </c>
      <c r="AT12" s="748">
        <v>4.09</v>
      </c>
      <c r="AU12" s="644">
        <v>27</v>
      </c>
      <c r="AV12">
        <f t="shared" si="0"/>
        <v>5.3170000000000002</v>
      </c>
      <c r="AW12">
        <f t="shared" si="1"/>
        <v>3.7744621916420646</v>
      </c>
      <c r="AX12">
        <f t="shared" si="2"/>
        <v>5.2465024463824692</v>
      </c>
      <c r="AY12" s="6">
        <f t="shared" si="3"/>
        <v>0.38247002834128202</v>
      </c>
      <c r="BD12" s="6">
        <f t="shared" si="4"/>
        <v>0.38760929999999999</v>
      </c>
      <c r="BF12" s="53">
        <v>1500</v>
      </c>
      <c r="BG12" s="53">
        <f>BH12/365</f>
        <v>287.67123287671234</v>
      </c>
      <c r="BH12" s="53">
        <v>105000</v>
      </c>
    </row>
    <row r="13" spans="1:63" ht="16.5" thickTop="1" thickBot="1">
      <c r="A13" s="610" t="s">
        <v>1097</v>
      </c>
      <c r="B13" s="595" t="s">
        <v>245</v>
      </c>
      <c r="C13" s="613" t="s">
        <v>1071</v>
      </c>
      <c r="D13" s="1048">
        <v>206</v>
      </c>
      <c r="E13" s="1037">
        <v>43</v>
      </c>
      <c r="F13" s="1037">
        <v>27</v>
      </c>
      <c r="G13" s="1037">
        <v>6</v>
      </c>
      <c r="H13" s="583"/>
      <c r="I13" s="589"/>
      <c r="K13" s="610" t="s">
        <v>402</v>
      </c>
      <c r="L13" s="595" t="s">
        <v>245</v>
      </c>
      <c r="M13" s="1051">
        <v>21</v>
      </c>
      <c r="N13" s="613" t="s">
        <v>1071</v>
      </c>
      <c r="Q13" s="711" t="s">
        <v>595</v>
      </c>
      <c r="R13" s="631" t="s">
        <v>598</v>
      </c>
      <c r="S13" s="712">
        <v>401</v>
      </c>
      <c r="T13" s="712">
        <v>106</v>
      </c>
      <c r="U13" s="712">
        <v>22</v>
      </c>
      <c r="V13" s="712">
        <v>26</v>
      </c>
      <c r="Y13" s="1059">
        <v>5</v>
      </c>
      <c r="Z13" s="589" t="s">
        <v>185</v>
      </c>
      <c r="AA13" s="1061">
        <v>130</v>
      </c>
      <c r="AB13" s="589" t="s">
        <v>1071</v>
      </c>
      <c r="AD13" t="s">
        <v>1155</v>
      </c>
      <c r="AE13" s="80">
        <v>41520</v>
      </c>
      <c r="AF13">
        <v>1955</v>
      </c>
      <c r="AS13" s="751">
        <v>39306</v>
      </c>
      <c r="AT13" s="748">
        <v>5.23</v>
      </c>
      <c r="AU13" s="644">
        <v>32</v>
      </c>
      <c r="AV13">
        <f t="shared" si="0"/>
        <v>6.7990000000000004</v>
      </c>
      <c r="AW13">
        <f t="shared" si="1"/>
        <v>4.7593439600526892</v>
      </c>
      <c r="AX13">
        <f t="shared" si="2"/>
        <v>6.6154881044732372</v>
      </c>
      <c r="AY13" s="6">
        <f t="shared" si="3"/>
        <v>0.57157817222648777</v>
      </c>
      <c r="BD13" s="6">
        <f t="shared" si="4"/>
        <v>0.58743360000000011</v>
      </c>
    </row>
    <row r="14" spans="1:63" ht="16.5" thickTop="1" thickBot="1">
      <c r="A14" s="610" t="s">
        <v>1097</v>
      </c>
      <c r="B14" s="595" t="s">
        <v>179</v>
      </c>
      <c r="C14" s="595" t="s">
        <v>1071</v>
      </c>
      <c r="D14" s="1048">
        <v>68</v>
      </c>
      <c r="E14" s="1037">
        <v>49</v>
      </c>
      <c r="F14" s="1037">
        <v>50</v>
      </c>
      <c r="G14" s="1037">
        <v>2</v>
      </c>
      <c r="H14" s="583"/>
      <c r="I14" s="590"/>
      <c r="K14" s="610" t="s">
        <v>402</v>
      </c>
      <c r="L14" s="595" t="s">
        <v>179</v>
      </c>
      <c r="M14" s="1051">
        <v>31</v>
      </c>
      <c r="N14" s="595" t="s">
        <v>1071</v>
      </c>
      <c r="Q14" s="711" t="s">
        <v>248</v>
      </c>
      <c r="R14" s="631" t="s">
        <v>599</v>
      </c>
      <c r="S14" s="712">
        <v>382</v>
      </c>
      <c r="T14" s="712">
        <v>106</v>
      </c>
      <c r="U14" s="712">
        <v>21</v>
      </c>
      <c r="V14" s="712">
        <v>31</v>
      </c>
      <c r="Y14" s="1059">
        <v>5</v>
      </c>
      <c r="Z14" s="589" t="s">
        <v>245</v>
      </c>
      <c r="AA14" s="1061">
        <v>6</v>
      </c>
      <c r="AB14" s="637" t="s">
        <v>1071</v>
      </c>
      <c r="AD14" t="s">
        <v>1155</v>
      </c>
      <c r="AE14" s="80">
        <v>41521</v>
      </c>
      <c r="AF14">
        <v>1932</v>
      </c>
      <c r="AS14" s="751">
        <v>39307</v>
      </c>
      <c r="AT14" s="748">
        <v>55.7</v>
      </c>
      <c r="AU14" s="644">
        <v>38</v>
      </c>
      <c r="AV14">
        <f t="shared" si="0"/>
        <v>72.410000000000011</v>
      </c>
      <c r="AW14">
        <f t="shared" si="1"/>
        <v>44.293647902209557</v>
      </c>
      <c r="AX14">
        <f t="shared" si="2"/>
        <v>61.568170584071282</v>
      </c>
      <c r="AY14" s="6">
        <f t="shared" si="3"/>
        <v>6.3168943019257142</v>
      </c>
      <c r="BD14" s="6">
        <f t="shared" si="4"/>
        <v>7.429266000000001</v>
      </c>
    </row>
    <row r="15" spans="1:63" ht="16.5" thickTop="1" thickBot="1">
      <c r="A15" s="610" t="s">
        <v>1097</v>
      </c>
      <c r="B15" s="642" t="s">
        <v>180</v>
      </c>
      <c r="C15" s="595" t="s">
        <v>1071</v>
      </c>
      <c r="D15" s="1049">
        <v>28</v>
      </c>
      <c r="E15" s="1050">
        <v>15</v>
      </c>
      <c r="F15" s="1050">
        <v>13</v>
      </c>
      <c r="G15" s="1050">
        <v>2</v>
      </c>
      <c r="H15" s="583"/>
      <c r="I15" s="589"/>
      <c r="K15" s="610" t="s">
        <v>402</v>
      </c>
      <c r="L15" s="642" t="s">
        <v>180</v>
      </c>
      <c r="M15" s="1052">
        <v>8</v>
      </c>
      <c r="N15" s="595" t="s">
        <v>1071</v>
      </c>
      <c r="Q15" s="1275" t="s">
        <v>1146</v>
      </c>
      <c r="R15" s="1276"/>
      <c r="S15" s="1276"/>
      <c r="T15" s="1276"/>
      <c r="U15" s="1276"/>
      <c r="V15" s="1277"/>
      <c r="Y15" s="1059">
        <v>5</v>
      </c>
      <c r="Z15" s="589" t="s">
        <v>179</v>
      </c>
      <c r="AA15" s="1061">
        <v>22</v>
      </c>
      <c r="AB15" s="589" t="s">
        <v>1071</v>
      </c>
      <c r="AD15" t="s">
        <v>1155</v>
      </c>
      <c r="AE15" s="80">
        <v>41522</v>
      </c>
      <c r="AF15">
        <v>1899</v>
      </c>
      <c r="AS15" s="751">
        <v>39308</v>
      </c>
      <c r="AT15" s="748">
        <v>28.1</v>
      </c>
      <c r="AU15" s="644">
        <v>36</v>
      </c>
      <c r="AV15">
        <f t="shared" si="0"/>
        <v>36.53</v>
      </c>
      <c r="AW15">
        <f t="shared" si="1"/>
        <v>23.234324985455991</v>
      </c>
      <c r="AX15">
        <f t="shared" si="2"/>
        <v>32.295711729783825</v>
      </c>
      <c r="AY15" s="6">
        <f t="shared" si="3"/>
        <v>3.1391431801349881</v>
      </c>
      <c r="BD15" s="6">
        <f t="shared" si="4"/>
        <v>3.550716</v>
      </c>
      <c r="BI15">
        <v>61547</v>
      </c>
      <c r="BJ15">
        <f>BI15/BK4</f>
        <v>5.5056514994850181</v>
      </c>
    </row>
    <row r="16" spans="1:63" ht="16.5" thickTop="1" thickBot="1">
      <c r="A16" s="610" t="s">
        <v>1097</v>
      </c>
      <c r="B16" s="595" t="s">
        <v>184</v>
      </c>
      <c r="C16" s="595" t="s">
        <v>1096</v>
      </c>
      <c r="D16" s="725">
        <v>14.5</v>
      </c>
      <c r="E16" s="606">
        <v>13</v>
      </c>
      <c r="F16" s="606">
        <v>17.600000000000001</v>
      </c>
      <c r="G16" s="606">
        <v>4</v>
      </c>
      <c r="H16" s="583"/>
      <c r="I16" s="584"/>
      <c r="K16" s="610" t="s">
        <v>402</v>
      </c>
      <c r="L16" s="595" t="s">
        <v>184</v>
      </c>
      <c r="M16" s="1051">
        <v>12.8</v>
      </c>
      <c r="N16" s="595" t="s">
        <v>1096</v>
      </c>
      <c r="Q16" s="631" t="s">
        <v>186</v>
      </c>
      <c r="R16" s="631" t="s">
        <v>600</v>
      </c>
      <c r="S16" s="693">
        <v>347</v>
      </c>
      <c r="T16" s="693">
        <v>130</v>
      </c>
      <c r="U16" s="693">
        <v>6</v>
      </c>
      <c r="V16" s="693">
        <v>22</v>
      </c>
      <c r="Y16" s="1059" t="s">
        <v>439</v>
      </c>
      <c r="Z16" s="584" t="s">
        <v>206</v>
      </c>
      <c r="AA16" s="1061">
        <v>376</v>
      </c>
      <c r="AB16" s="637" t="s">
        <v>1071</v>
      </c>
      <c r="AD16" t="s">
        <v>1155</v>
      </c>
      <c r="AE16" s="80">
        <v>41523</v>
      </c>
      <c r="AF16">
        <v>1867</v>
      </c>
      <c r="AS16" s="751">
        <v>39309</v>
      </c>
      <c r="AT16" s="748">
        <v>12.3</v>
      </c>
      <c r="AU16" s="644">
        <v>29</v>
      </c>
      <c r="AV16">
        <f t="shared" si="0"/>
        <v>15.990000000000002</v>
      </c>
      <c r="AW16">
        <f t="shared" si="1"/>
        <v>10.660572304765381</v>
      </c>
      <c r="AX16">
        <f t="shared" si="2"/>
        <v>14.818195503623878</v>
      </c>
      <c r="AY16" s="6">
        <f t="shared" si="3"/>
        <v>1.1602647079337496</v>
      </c>
      <c r="BD16" s="6">
        <f t="shared" si="4"/>
        <v>1.2520170000000002</v>
      </c>
      <c r="BI16">
        <v>6.7</v>
      </c>
    </row>
    <row r="17" spans="1:64" ht="16.5" thickTop="1" thickBot="1">
      <c r="A17" s="1284" t="s">
        <v>1101</v>
      </c>
      <c r="B17" s="1285"/>
      <c r="C17" s="1285"/>
      <c r="D17" s="1285"/>
      <c r="E17" s="1285"/>
      <c r="F17" s="1285"/>
      <c r="G17" s="1285"/>
      <c r="H17" s="583"/>
      <c r="I17" s="589"/>
      <c r="Q17" s="631" t="s">
        <v>249</v>
      </c>
      <c r="R17" s="631" t="s">
        <v>266</v>
      </c>
      <c r="S17" s="693">
        <v>376</v>
      </c>
      <c r="T17" s="693">
        <v>146</v>
      </c>
      <c r="U17" s="693">
        <v>14</v>
      </c>
      <c r="V17" s="693">
        <v>25</v>
      </c>
      <c r="Y17" s="1059" t="s">
        <v>439</v>
      </c>
      <c r="Z17" s="589" t="s">
        <v>185</v>
      </c>
      <c r="AA17" s="1061">
        <v>146</v>
      </c>
      <c r="AB17" s="589" t="s">
        <v>1071</v>
      </c>
      <c r="AD17" t="s">
        <v>1155</v>
      </c>
      <c r="AE17" s="80">
        <v>41524</v>
      </c>
      <c r="AF17">
        <v>1849</v>
      </c>
      <c r="AS17" s="751">
        <v>39310</v>
      </c>
      <c r="AT17" s="748">
        <v>9.83</v>
      </c>
      <c r="AU17" s="644">
        <v>26</v>
      </c>
      <c r="AV17">
        <f t="shared" si="0"/>
        <v>12.779</v>
      </c>
      <c r="AW17">
        <f t="shared" si="1"/>
        <v>8.6293476813726251</v>
      </c>
      <c r="AX17">
        <f t="shared" si="2"/>
        <v>11.994793277107949</v>
      </c>
      <c r="AY17" s="6">
        <f t="shared" si="3"/>
        <v>0.84203448805297798</v>
      </c>
      <c r="BD17" s="6">
        <f t="shared" si="4"/>
        <v>0.89708580000000004</v>
      </c>
      <c r="BF17" s="1289" t="s">
        <v>1173</v>
      </c>
      <c r="BG17" s="1273" t="s">
        <v>1935</v>
      </c>
      <c r="BH17" s="1273"/>
      <c r="BI17" s="1273" t="s">
        <v>1938</v>
      </c>
      <c r="BJ17" s="1273"/>
      <c r="BK17" s="1273" t="s">
        <v>1939</v>
      </c>
      <c r="BL17" s="1273"/>
    </row>
    <row r="18" spans="1:64" ht="16.5" thickTop="1" thickBot="1">
      <c r="A18" s="1148">
        <v>45</v>
      </c>
      <c r="B18" s="611" t="s">
        <v>206</v>
      </c>
      <c r="C18" s="613" t="s">
        <v>1071</v>
      </c>
      <c r="D18" s="1048">
        <v>2241</v>
      </c>
      <c r="E18" s="1037">
        <v>607</v>
      </c>
      <c r="F18" s="1037">
        <v>635</v>
      </c>
      <c r="G18" s="1037">
        <v>791</v>
      </c>
      <c r="H18" s="583"/>
      <c r="I18" s="589"/>
      <c r="Q18" s="631" t="s">
        <v>250</v>
      </c>
      <c r="R18" s="631" t="s">
        <v>267</v>
      </c>
      <c r="S18" s="693">
        <v>384</v>
      </c>
      <c r="T18" s="693">
        <v>159</v>
      </c>
      <c r="U18" s="693">
        <v>21</v>
      </c>
      <c r="V18" s="693">
        <v>25</v>
      </c>
      <c r="Y18" s="1059" t="s">
        <v>439</v>
      </c>
      <c r="Z18" s="589" t="s">
        <v>245</v>
      </c>
      <c r="AA18" s="1061">
        <v>14</v>
      </c>
      <c r="AB18" s="637" t="s">
        <v>1071</v>
      </c>
      <c r="AD18" t="s">
        <v>1155</v>
      </c>
      <c r="AE18" s="80">
        <v>41525</v>
      </c>
      <c r="AF18">
        <v>1831</v>
      </c>
      <c r="AS18" s="751">
        <v>39311</v>
      </c>
      <c r="AT18" s="748">
        <v>7.12</v>
      </c>
      <c r="AU18" s="644">
        <v>24</v>
      </c>
      <c r="AV18">
        <f t="shared" si="0"/>
        <v>9.2560000000000002</v>
      </c>
      <c r="AW18">
        <f t="shared" si="1"/>
        <v>6.3663224856314375</v>
      </c>
      <c r="AX18">
        <f t="shared" si="2"/>
        <v>8.8491882550276983</v>
      </c>
      <c r="AY18" s="6">
        <f t="shared" si="3"/>
        <v>0.57342739892579486</v>
      </c>
      <c r="BD18" s="6">
        <f t="shared" si="4"/>
        <v>0.59978880000000001</v>
      </c>
      <c r="BF18" s="1290"/>
      <c r="BG18" s="91" t="s">
        <v>1936</v>
      </c>
      <c r="BH18" s="91" t="s">
        <v>1937</v>
      </c>
      <c r="BI18" s="91" t="s">
        <v>1936</v>
      </c>
      <c r="BJ18" s="91" t="s">
        <v>1937</v>
      </c>
      <c r="BK18" s="91" t="s">
        <v>1936</v>
      </c>
      <c r="BL18" s="91" t="s">
        <v>1937</v>
      </c>
    </row>
    <row r="19" spans="1:64" ht="16.5" thickTop="1" thickBot="1">
      <c r="A19" s="1148">
        <v>45</v>
      </c>
      <c r="B19" s="595" t="s">
        <v>185</v>
      </c>
      <c r="C19" s="595" t="s">
        <v>1071</v>
      </c>
      <c r="D19" s="1048">
        <v>29</v>
      </c>
      <c r="E19" s="1037">
        <v>80</v>
      </c>
      <c r="F19" s="1037">
        <v>215</v>
      </c>
      <c r="G19" s="1037">
        <v>237</v>
      </c>
      <c r="H19" s="583"/>
      <c r="I19" s="589"/>
      <c r="K19" s="584" t="s">
        <v>1112</v>
      </c>
      <c r="Q19" s="631" t="s">
        <v>251</v>
      </c>
      <c r="R19" s="631" t="s">
        <v>268</v>
      </c>
      <c r="S19" s="693">
        <v>410</v>
      </c>
      <c r="T19" s="693">
        <v>179</v>
      </c>
      <c r="U19" s="693">
        <v>16</v>
      </c>
      <c r="V19" s="693">
        <v>29</v>
      </c>
      <c r="Y19" s="1059" t="s">
        <v>439</v>
      </c>
      <c r="Z19" s="589" t="s">
        <v>179</v>
      </c>
      <c r="AA19" s="1061">
        <v>25</v>
      </c>
      <c r="AB19" s="589" t="s">
        <v>1071</v>
      </c>
      <c r="AD19" t="s">
        <v>1155</v>
      </c>
      <c r="AE19" s="80">
        <v>41526</v>
      </c>
      <c r="AF19">
        <v>1817</v>
      </c>
      <c r="AS19" s="751">
        <v>39312</v>
      </c>
      <c r="AT19" s="748">
        <v>7.07</v>
      </c>
      <c r="AU19" s="644">
        <v>24</v>
      </c>
      <c r="AV19">
        <f t="shared" si="0"/>
        <v>9.1910000000000007</v>
      </c>
      <c r="AW19">
        <f t="shared" si="1"/>
        <v>6.3241550234177826</v>
      </c>
      <c r="AX19">
        <f t="shared" si="2"/>
        <v>8.7905754825507163</v>
      </c>
      <c r="AY19" s="6">
        <f t="shared" si="3"/>
        <v>0.56962929126928652</v>
      </c>
      <c r="BD19" s="6">
        <f t="shared" si="4"/>
        <v>0.59557680000000002</v>
      </c>
      <c r="BF19" s="91" t="s">
        <v>76</v>
      </c>
      <c r="BG19" s="53">
        <v>34.119387807678557</v>
      </c>
      <c r="BH19" s="53">
        <v>28.081800664756013</v>
      </c>
      <c r="BI19" s="53">
        <v>37.023552899999991</v>
      </c>
      <c r="BJ19" s="53">
        <v>30.472059999999992</v>
      </c>
      <c r="BK19" s="53">
        <v>185.11776449999996</v>
      </c>
      <c r="BL19" s="53">
        <v>152.36029999999997</v>
      </c>
    </row>
    <row r="20" spans="1:64" ht="16.5" thickTop="1" thickBot="1">
      <c r="A20" s="1148">
        <v>45</v>
      </c>
      <c r="B20" s="595" t="s">
        <v>245</v>
      </c>
      <c r="C20" s="613" t="s">
        <v>1071</v>
      </c>
      <c r="D20" s="1048">
        <v>56</v>
      </c>
      <c r="E20" s="1037">
        <v>66</v>
      </c>
      <c r="F20" s="1037">
        <v>62</v>
      </c>
      <c r="G20" s="1037">
        <v>39</v>
      </c>
      <c r="H20" s="583"/>
      <c r="I20" s="590"/>
      <c r="K20" s="584" t="s">
        <v>1114</v>
      </c>
      <c r="Q20" s="631" t="s">
        <v>252</v>
      </c>
      <c r="R20" s="631" t="s">
        <v>601</v>
      </c>
      <c r="S20" s="693">
        <v>454</v>
      </c>
      <c r="T20" s="693">
        <v>178</v>
      </c>
      <c r="U20" s="693">
        <v>18</v>
      </c>
      <c r="V20" s="693">
        <v>28</v>
      </c>
      <c r="Y20" s="1059">
        <v>9</v>
      </c>
      <c r="Z20" s="584" t="s">
        <v>206</v>
      </c>
      <c r="AA20" s="1061">
        <v>384</v>
      </c>
      <c r="AB20" s="637" t="s">
        <v>1071</v>
      </c>
      <c r="AD20" t="s">
        <v>1155</v>
      </c>
      <c r="AE20" s="80">
        <v>41527</v>
      </c>
      <c r="AF20">
        <v>1955</v>
      </c>
      <c r="AS20" s="751">
        <v>39313</v>
      </c>
      <c r="AT20" s="748">
        <v>7.25</v>
      </c>
      <c r="AU20" s="644">
        <v>24</v>
      </c>
      <c r="AV20">
        <f t="shared" si="0"/>
        <v>9.4250000000000007</v>
      </c>
      <c r="AW20">
        <f t="shared" si="1"/>
        <v>6.4758792193601993</v>
      </c>
      <c r="AX20">
        <f t="shared" si="2"/>
        <v>9.0014721149106762</v>
      </c>
      <c r="AY20" s="6">
        <f t="shared" si="3"/>
        <v>0.58329539304621181</v>
      </c>
      <c r="BD20" s="6">
        <f t="shared" si="4"/>
        <v>0.61074000000000006</v>
      </c>
      <c r="BF20" s="91" t="s">
        <v>1325</v>
      </c>
      <c r="BG20" s="53">
        <v>794.52105905517919</v>
      </c>
      <c r="BH20" s="53">
        <v>653.92679757627911</v>
      </c>
      <c r="BI20" s="53">
        <v>905.48902350000014</v>
      </c>
      <c r="BJ20" s="53">
        <v>745.25845555555566</v>
      </c>
      <c r="BK20" s="53">
        <v>13582.335352500002</v>
      </c>
      <c r="BL20" s="53">
        <v>11178.876833333334</v>
      </c>
    </row>
    <row r="21" spans="1:64" ht="16.5" thickTop="1" thickBot="1">
      <c r="A21" s="1148">
        <v>45</v>
      </c>
      <c r="B21" s="595" t="s">
        <v>179</v>
      </c>
      <c r="C21" s="595" t="s">
        <v>1071</v>
      </c>
      <c r="D21" s="1048">
        <v>259</v>
      </c>
      <c r="E21" s="1037">
        <v>120</v>
      </c>
      <c r="F21" s="1037">
        <v>61</v>
      </c>
      <c r="G21" s="1037">
        <v>51</v>
      </c>
      <c r="H21" s="583"/>
      <c r="I21" s="589"/>
      <c r="K21" s="584" t="s">
        <v>1113</v>
      </c>
      <c r="Q21" s="631" t="s">
        <v>253</v>
      </c>
      <c r="R21" s="631" t="s">
        <v>602</v>
      </c>
      <c r="S21" s="693">
        <v>456</v>
      </c>
      <c r="T21" s="693">
        <v>185</v>
      </c>
      <c r="U21" s="693">
        <v>10</v>
      </c>
      <c r="V21" s="693">
        <v>29</v>
      </c>
      <c r="Y21" s="1059">
        <v>9</v>
      </c>
      <c r="Z21" s="589" t="s">
        <v>185</v>
      </c>
      <c r="AA21" s="1061">
        <v>159</v>
      </c>
      <c r="AB21" s="589" t="s">
        <v>1071</v>
      </c>
      <c r="AD21" t="s">
        <v>1155</v>
      </c>
      <c r="AE21" s="80">
        <v>41528</v>
      </c>
      <c r="AF21">
        <v>2093</v>
      </c>
      <c r="AS21" s="751">
        <v>39314</v>
      </c>
      <c r="AT21" s="748">
        <v>6.3</v>
      </c>
      <c r="AU21" s="644">
        <v>23</v>
      </c>
      <c r="AV21">
        <f t="shared" si="0"/>
        <v>8.19</v>
      </c>
      <c r="AW21">
        <f t="shared" si="1"/>
        <v>5.6725474598616659</v>
      </c>
      <c r="AX21">
        <f t="shared" si="2"/>
        <v>7.8848409692077146</v>
      </c>
      <c r="AY21" s="6">
        <f t="shared" si="3"/>
        <v>0.48964862418779909</v>
      </c>
      <c r="BD21" s="6">
        <f t="shared" si="4"/>
        <v>0.50859899999999991</v>
      </c>
      <c r="BF21" s="91" t="s">
        <v>78</v>
      </c>
      <c r="BG21" s="53">
        <v>28.224570136869403</v>
      </c>
      <c r="BH21" s="53">
        <v>23.230098878081812</v>
      </c>
      <c r="BI21" s="53">
        <v>28.495370699999992</v>
      </c>
      <c r="BJ21" s="53">
        <v>23.452979999999993</v>
      </c>
      <c r="BK21" s="53">
        <v>142.47685349999995</v>
      </c>
      <c r="BL21" s="53">
        <v>117.26489999999995</v>
      </c>
    </row>
    <row r="22" spans="1:64" ht="16.5" thickTop="1" thickBot="1">
      <c r="A22" s="1148">
        <v>45</v>
      </c>
      <c r="B22" s="642" t="s">
        <v>180</v>
      </c>
      <c r="C22" s="595" t="s">
        <v>1071</v>
      </c>
      <c r="D22" s="1049">
        <v>83</v>
      </c>
      <c r="E22" s="1050">
        <v>51</v>
      </c>
      <c r="F22" s="1050">
        <v>25</v>
      </c>
      <c r="G22" s="1050">
        <v>2</v>
      </c>
      <c r="H22" s="585"/>
      <c r="I22" s="584"/>
      <c r="Q22" s="1287" t="s">
        <v>1156</v>
      </c>
      <c r="R22" s="1287"/>
      <c r="S22" s="1287"/>
      <c r="T22" s="1287"/>
      <c r="U22" s="1287"/>
      <c r="V22" s="1287"/>
      <c r="Y22" s="1059">
        <v>9</v>
      </c>
      <c r="Z22" s="589" t="s">
        <v>245</v>
      </c>
      <c r="AA22" s="1061">
        <v>21</v>
      </c>
      <c r="AB22" s="637" t="s">
        <v>1071</v>
      </c>
      <c r="AD22" t="s">
        <v>1155</v>
      </c>
      <c r="AE22" s="80">
        <v>41529</v>
      </c>
      <c r="AF22">
        <v>2270</v>
      </c>
      <c r="AS22" s="751">
        <v>39315</v>
      </c>
      <c r="AT22" s="748">
        <v>6.41</v>
      </c>
      <c r="AU22" s="644">
        <v>23</v>
      </c>
      <c r="AV22">
        <f t="shared" si="0"/>
        <v>8.3330000000000002</v>
      </c>
      <c r="AW22">
        <f t="shared" si="1"/>
        <v>5.7659002102768548</v>
      </c>
      <c r="AX22">
        <f t="shared" si="2"/>
        <v>8.0146012922848282</v>
      </c>
      <c r="AY22" s="6">
        <f t="shared" si="3"/>
        <v>0.49770674025088785</v>
      </c>
      <c r="BD22" s="6">
        <f t="shared" si="4"/>
        <v>0.51747929999999998</v>
      </c>
      <c r="BI22" s="1273" t="s">
        <v>921</v>
      </c>
      <c r="BJ22" s="1273"/>
      <c r="BK22" s="1273" t="s">
        <v>922</v>
      </c>
      <c r="BL22" s="1273"/>
    </row>
    <row r="23" spans="1:64" ht="16.5" thickTop="1" thickBot="1">
      <c r="A23" s="1148">
        <v>45</v>
      </c>
      <c r="B23" s="595" t="s">
        <v>184</v>
      </c>
      <c r="C23" s="595" t="s">
        <v>1096</v>
      </c>
      <c r="D23" s="725">
        <v>15.4</v>
      </c>
      <c r="E23" s="606">
        <v>18</v>
      </c>
      <c r="F23" s="606">
        <v>10.4</v>
      </c>
      <c r="G23" s="606">
        <v>19.8</v>
      </c>
      <c r="H23" s="585"/>
      <c r="I23" s="589"/>
      <c r="K23" s="589" t="s">
        <v>1165</v>
      </c>
      <c r="Q23" s="53" t="s">
        <v>684</v>
      </c>
      <c r="R23" s="628" t="s">
        <v>685</v>
      </c>
      <c r="S23" s="704">
        <v>1938</v>
      </c>
      <c r="T23" s="704">
        <v>1415</v>
      </c>
      <c r="U23" s="704">
        <v>13</v>
      </c>
      <c r="V23" s="704">
        <v>30</v>
      </c>
      <c r="Y23" s="1059">
        <v>9</v>
      </c>
      <c r="Z23" s="589" t="s">
        <v>179</v>
      </c>
      <c r="AA23" s="1061">
        <v>25</v>
      </c>
      <c r="AB23" s="589" t="s">
        <v>1071</v>
      </c>
      <c r="AD23" t="s">
        <v>1155</v>
      </c>
      <c r="AE23" s="80">
        <v>41530</v>
      </c>
      <c r="AF23">
        <v>3857</v>
      </c>
      <c r="AS23" s="751">
        <v>39316</v>
      </c>
      <c r="AT23" s="748">
        <v>5.83</v>
      </c>
      <c r="AU23" s="644">
        <v>27</v>
      </c>
      <c r="AV23">
        <f t="shared" si="0"/>
        <v>7.5790000000000006</v>
      </c>
      <c r="AW23">
        <f t="shared" si="1"/>
        <v>5.2726075493987326</v>
      </c>
      <c r="AX23">
        <f t="shared" si="2"/>
        <v>7.3289244936642381</v>
      </c>
      <c r="AY23" s="6">
        <f t="shared" si="3"/>
        <v>0.53427859558812296</v>
      </c>
      <c r="BD23" s="6">
        <f t="shared" si="4"/>
        <v>0.55250910000000009</v>
      </c>
      <c r="BI23" s="1273" t="s">
        <v>1938</v>
      </c>
      <c r="BJ23" s="1273"/>
      <c r="BK23" s="1273" t="s">
        <v>1938</v>
      </c>
      <c r="BL23" s="1273"/>
    </row>
    <row r="24" spans="1:64" ht="16.5" thickTop="1" thickBot="1">
      <c r="A24" s="1149">
        <v>45</v>
      </c>
      <c r="B24" s="1019" t="s">
        <v>1883</v>
      </c>
      <c r="C24" s="1019" t="s">
        <v>1884</v>
      </c>
      <c r="D24" s="53"/>
      <c r="E24" s="53"/>
      <c r="F24" s="53"/>
      <c r="G24" s="184">
        <v>5</v>
      </c>
      <c r="H24" s="585"/>
      <c r="I24" s="589"/>
      <c r="K24" s="639" t="s">
        <v>1166</v>
      </c>
      <c r="Q24" s="1286" t="s">
        <v>272</v>
      </c>
      <c r="R24" s="1286"/>
      <c r="S24" s="1286"/>
      <c r="T24" s="1286"/>
      <c r="U24" s="1286"/>
      <c r="V24" s="1286"/>
      <c r="Y24" s="1059">
        <v>12</v>
      </c>
      <c r="Z24" s="584" t="s">
        <v>206</v>
      </c>
      <c r="AA24" s="1061">
        <v>410</v>
      </c>
      <c r="AB24" s="637" t="s">
        <v>1071</v>
      </c>
      <c r="AD24" t="s">
        <v>1155</v>
      </c>
      <c r="AE24" s="80">
        <v>41531</v>
      </c>
      <c r="AF24">
        <v>5975</v>
      </c>
      <c r="AS24" s="751">
        <v>39317</v>
      </c>
      <c r="AT24" s="748">
        <v>8.5500000000000007</v>
      </c>
      <c r="AU24" s="644">
        <v>44</v>
      </c>
      <c r="AV24">
        <f t="shared" si="0"/>
        <v>11.115000000000002</v>
      </c>
      <c r="AW24">
        <f t="shared" si="1"/>
        <v>7.5656116744971822</v>
      </c>
      <c r="AX24">
        <f t="shared" si="2"/>
        <v>10.516200227551083</v>
      </c>
      <c r="AY24" s="6">
        <f t="shared" si="3"/>
        <v>1.2493245870330687</v>
      </c>
      <c r="BD24" s="6">
        <f t="shared" si="4"/>
        <v>1.3204620000000002</v>
      </c>
      <c r="BG24" s="17" t="s">
        <v>1325</v>
      </c>
      <c r="BH24" s="17" t="s">
        <v>78</v>
      </c>
      <c r="BI24" s="91" t="s">
        <v>1936</v>
      </c>
      <c r="BJ24" s="91" t="s">
        <v>1937</v>
      </c>
      <c r="BK24" s="91" t="s">
        <v>1936</v>
      </c>
      <c r="BL24" s="91" t="s">
        <v>1937</v>
      </c>
    </row>
    <row r="25" spans="1:64" ht="16.5" thickTop="1" thickBot="1">
      <c r="D25" s="1018">
        <v>41491</v>
      </c>
      <c r="E25" s="1018">
        <v>41526</v>
      </c>
      <c r="F25" s="1018">
        <v>41540</v>
      </c>
      <c r="G25" s="1018">
        <v>41558</v>
      </c>
      <c r="H25" s="1016">
        <v>406810</v>
      </c>
      <c r="I25" s="589"/>
      <c r="K25" s="639" t="s">
        <v>1167</v>
      </c>
      <c r="Q25" s="631" t="s">
        <v>258</v>
      </c>
      <c r="R25" s="631" t="s">
        <v>615</v>
      </c>
      <c r="S25" s="693">
        <v>615</v>
      </c>
      <c r="T25" s="693">
        <v>375</v>
      </c>
      <c r="U25" s="693">
        <v>21</v>
      </c>
      <c r="V25" s="693">
        <v>48</v>
      </c>
      <c r="Y25" s="1059">
        <v>12</v>
      </c>
      <c r="Z25" s="589" t="s">
        <v>185</v>
      </c>
      <c r="AA25" s="1061">
        <v>179</v>
      </c>
      <c r="AB25" s="589" t="s">
        <v>1071</v>
      </c>
      <c r="AD25" t="s">
        <v>1155</v>
      </c>
      <c r="AE25" s="80">
        <v>41532</v>
      </c>
      <c r="AF25">
        <v>7742</v>
      </c>
      <c r="AS25" s="751">
        <v>39318</v>
      </c>
      <c r="AT25" s="748">
        <v>21.2</v>
      </c>
      <c r="AU25" s="644">
        <v>46</v>
      </c>
      <c r="AV25">
        <f t="shared" si="0"/>
        <v>27.56</v>
      </c>
      <c r="AW25">
        <f t="shared" si="1"/>
        <v>17.812903569798817</v>
      </c>
      <c r="AX25">
        <f t="shared" si="2"/>
        <v>24.759935962020354</v>
      </c>
      <c r="AY25" s="6">
        <f t="shared" si="3"/>
        <v>3.0751840464829283</v>
      </c>
      <c r="BD25" s="6">
        <f t="shared" si="4"/>
        <v>3.422952</v>
      </c>
      <c r="BF25" s="17" t="s">
        <v>1941</v>
      </c>
      <c r="BG25">
        <v>27811</v>
      </c>
      <c r="BH25">
        <v>4610</v>
      </c>
      <c r="BI25">
        <f>BG25*BG27*0.0027*31</f>
        <v>35615.044710000002</v>
      </c>
      <c r="BJ25">
        <f>BI25/1.215</f>
        <v>29312.793999999998</v>
      </c>
      <c r="BK25">
        <f>BH25*BH27*0.0027*31</f>
        <v>1543.4280000000001</v>
      </c>
      <c r="BL25">
        <f>BK25/1.215</f>
        <v>1270.3111111111111</v>
      </c>
    </row>
    <row r="26" spans="1:64" ht="16.5" thickTop="1" thickBot="1">
      <c r="A26" s="1284" t="s">
        <v>1102</v>
      </c>
      <c r="B26" s="1285"/>
      <c r="C26" s="1285"/>
      <c r="D26" s="1285"/>
      <c r="E26" s="1285"/>
      <c r="F26" s="1285"/>
      <c r="G26" s="1285"/>
      <c r="H26" s="1291"/>
      <c r="I26" s="590"/>
      <c r="Q26" s="631" t="s">
        <v>257</v>
      </c>
      <c r="R26" s="631" t="s">
        <v>616</v>
      </c>
      <c r="S26" s="693">
        <v>385</v>
      </c>
      <c r="T26" s="693">
        <v>221</v>
      </c>
      <c r="U26" s="693">
        <v>12</v>
      </c>
      <c r="V26" s="693">
        <v>26</v>
      </c>
      <c r="Y26" s="1059">
        <v>12</v>
      </c>
      <c r="Z26" s="589" t="s">
        <v>245</v>
      </c>
      <c r="AA26" s="1061">
        <v>16</v>
      </c>
      <c r="AB26" s="637" t="s">
        <v>1071</v>
      </c>
      <c r="AD26" t="s">
        <v>1155</v>
      </c>
      <c r="AE26" s="80">
        <v>41533</v>
      </c>
      <c r="AF26">
        <v>10077</v>
      </c>
      <c r="AS26" s="751">
        <v>39319</v>
      </c>
      <c r="AT26" s="748">
        <v>19.399999999999999</v>
      </c>
      <c r="AU26" s="644">
        <v>38</v>
      </c>
      <c r="AV26">
        <f t="shared" si="0"/>
        <v>25.22</v>
      </c>
      <c r="AW26">
        <f t="shared" si="1"/>
        <v>16.383135806871362</v>
      </c>
      <c r="AX26">
        <f t="shared" si="2"/>
        <v>22.772558771551193</v>
      </c>
      <c r="AY26" s="6">
        <f t="shared" si="3"/>
        <v>2.3364645299611526</v>
      </c>
      <c r="BD26" s="6">
        <f t="shared" si="4"/>
        <v>2.5875719999999998</v>
      </c>
      <c r="BF26" s="17" t="s">
        <v>1942</v>
      </c>
      <c r="BG26">
        <v>3130</v>
      </c>
      <c r="BH26">
        <v>129</v>
      </c>
      <c r="BI26">
        <f>BG26*BG28*0.0027*31</f>
        <v>5318.2143000000005</v>
      </c>
      <c r="BJ26">
        <f>BI26/1.215</f>
        <v>4377.1311111111108</v>
      </c>
      <c r="BK26">
        <f>BH26*BH28*0.0027*31</f>
        <v>43.1892</v>
      </c>
      <c r="BL26">
        <f>BK26/1.215</f>
        <v>35.546666666666667</v>
      </c>
    </row>
    <row r="27" spans="1:64" ht="16.5" thickTop="1" thickBot="1">
      <c r="A27" s="611" t="s">
        <v>1098</v>
      </c>
      <c r="B27" s="611" t="s">
        <v>206</v>
      </c>
      <c r="C27" s="613" t="s">
        <v>1071</v>
      </c>
      <c r="D27" s="1048">
        <v>1272</v>
      </c>
      <c r="E27" s="1037">
        <v>864</v>
      </c>
      <c r="F27" s="1037">
        <v>968</v>
      </c>
      <c r="G27" s="1037">
        <v>715</v>
      </c>
      <c r="H27" s="1037">
        <v>602</v>
      </c>
      <c r="I27" s="589"/>
      <c r="J27" s="1281" t="s">
        <v>1882</v>
      </c>
      <c r="K27" s="1239"/>
      <c r="L27" s="1239"/>
      <c r="N27" s="10"/>
      <c r="Q27" s="631" t="s">
        <v>680</v>
      </c>
      <c r="R27" s="631" t="s">
        <v>682</v>
      </c>
      <c r="S27" s="693">
        <v>1635</v>
      </c>
      <c r="T27" s="693">
        <v>632</v>
      </c>
      <c r="U27" s="693">
        <v>44</v>
      </c>
      <c r="V27" s="694">
        <v>137</v>
      </c>
      <c r="Y27" s="1059">
        <v>12</v>
      </c>
      <c r="Z27" s="589" t="s">
        <v>179</v>
      </c>
      <c r="AA27" s="1061">
        <v>29</v>
      </c>
      <c r="AB27" s="589" t="s">
        <v>1071</v>
      </c>
      <c r="AD27" t="s">
        <v>1155</v>
      </c>
      <c r="AE27" s="80">
        <v>41534</v>
      </c>
      <c r="AF27">
        <v>11500</v>
      </c>
      <c r="AS27" s="751">
        <v>39320</v>
      </c>
      <c r="AT27" s="748">
        <v>12.4</v>
      </c>
      <c r="AU27" s="644">
        <v>37</v>
      </c>
      <c r="AV27" s="156">
        <v>14.8</v>
      </c>
      <c r="AW27">
        <f t="shared" si="1"/>
        <v>10.742284475439881</v>
      </c>
      <c r="AX27">
        <f t="shared" si="2"/>
        <v>14.931775420861433</v>
      </c>
      <c r="AY27" s="6">
        <f t="shared" si="3"/>
        <v>1.4916843645440572</v>
      </c>
      <c r="BD27" s="6">
        <f t="shared" si="4"/>
        <v>1.4785200000000001</v>
      </c>
      <c r="BF27" s="17" t="s">
        <v>1943</v>
      </c>
      <c r="BG27">
        <v>15.3</v>
      </c>
      <c r="BH27">
        <v>4</v>
      </c>
      <c r="BI27" s="1273" t="s">
        <v>1939</v>
      </c>
      <c r="BJ27" s="1273"/>
      <c r="BK27" s="1273" t="s">
        <v>1939</v>
      </c>
      <c r="BL27" s="1273"/>
    </row>
    <row r="28" spans="1:64" ht="16.5" thickTop="1" thickBot="1">
      <c r="A28" s="611" t="s">
        <v>1098</v>
      </c>
      <c r="B28" s="595" t="s">
        <v>185</v>
      </c>
      <c r="C28" s="595" t="s">
        <v>1071</v>
      </c>
      <c r="D28" s="1048">
        <v>36</v>
      </c>
      <c r="E28" s="1037">
        <v>75</v>
      </c>
      <c r="F28" s="1037">
        <v>209</v>
      </c>
      <c r="G28" s="1037">
        <v>173</v>
      </c>
      <c r="H28" s="1037">
        <v>225</v>
      </c>
      <c r="I28" s="584"/>
      <c r="J28" s="730"/>
      <c r="K28" s="730" t="s">
        <v>442</v>
      </c>
      <c r="L28" s="730" t="s">
        <v>921</v>
      </c>
      <c r="Q28" s="398" t="s">
        <v>681</v>
      </c>
      <c r="R28" s="398" t="s">
        <v>683</v>
      </c>
      <c r="S28" s="693">
        <v>902</v>
      </c>
      <c r="T28" s="693">
        <v>175</v>
      </c>
      <c r="U28" s="693">
        <v>11</v>
      </c>
      <c r="V28" s="693">
        <v>86</v>
      </c>
      <c r="Y28" s="1059" t="s">
        <v>440</v>
      </c>
      <c r="Z28" s="584" t="s">
        <v>206</v>
      </c>
      <c r="AA28" s="1061">
        <v>454</v>
      </c>
      <c r="AB28" s="637" t="s">
        <v>1071</v>
      </c>
      <c r="AD28" t="s">
        <v>1155</v>
      </c>
      <c r="AE28" s="80">
        <v>41535</v>
      </c>
      <c r="AF28">
        <v>12693</v>
      </c>
      <c r="AS28" s="751">
        <v>39321</v>
      </c>
      <c r="AT28" s="747">
        <v>11</v>
      </c>
      <c r="AU28" s="644">
        <v>51</v>
      </c>
      <c r="AV28">
        <f t="shared" si="0"/>
        <v>14.3</v>
      </c>
      <c r="AW28">
        <f t="shared" si="1"/>
        <v>9.5947420206805649</v>
      </c>
      <c r="AX28">
        <f t="shared" si="2"/>
        <v>13.336691408745985</v>
      </c>
      <c r="AY28" s="6">
        <f t="shared" si="3"/>
        <v>1.8364624069843223</v>
      </c>
      <c r="BD28" s="6">
        <f t="shared" si="4"/>
        <v>1.9691100000000004</v>
      </c>
      <c r="BF28" s="17" t="s">
        <v>1944</v>
      </c>
      <c r="BG28">
        <v>20.3</v>
      </c>
      <c r="BH28">
        <v>4</v>
      </c>
      <c r="BI28" s="91" t="s">
        <v>1936</v>
      </c>
      <c r="BJ28" s="91" t="s">
        <v>1937</v>
      </c>
      <c r="BK28" s="91" t="s">
        <v>1936</v>
      </c>
      <c r="BL28" s="91" t="s">
        <v>1937</v>
      </c>
    </row>
    <row r="29" spans="1:64" ht="16.5" thickTop="1" thickBot="1">
      <c r="A29" s="611" t="s">
        <v>1098</v>
      </c>
      <c r="B29" s="595" t="s">
        <v>245</v>
      </c>
      <c r="C29" s="613" t="s">
        <v>1071</v>
      </c>
      <c r="D29" s="1048">
        <v>149</v>
      </c>
      <c r="E29" s="1037">
        <v>57</v>
      </c>
      <c r="F29" s="1037">
        <v>49</v>
      </c>
      <c r="G29" s="1037">
        <v>34</v>
      </c>
      <c r="H29" s="1037">
        <v>32</v>
      </c>
      <c r="I29" s="584"/>
      <c r="J29" s="611" t="s">
        <v>206</v>
      </c>
      <c r="K29" s="731">
        <v>3340</v>
      </c>
      <c r="L29" s="731">
        <v>81560</v>
      </c>
      <c r="Q29" s="631" t="s">
        <v>254</v>
      </c>
      <c r="R29" s="631" t="s">
        <v>276</v>
      </c>
      <c r="S29" s="693">
        <v>555</v>
      </c>
      <c r="T29" s="693">
        <v>17</v>
      </c>
      <c r="U29" s="693">
        <v>14</v>
      </c>
      <c r="V29" s="694">
        <v>18</v>
      </c>
      <c r="Y29" s="1060" t="s">
        <v>440</v>
      </c>
      <c r="Z29" s="589" t="s">
        <v>185</v>
      </c>
      <c r="AA29" s="1061">
        <v>178</v>
      </c>
      <c r="AB29" s="637" t="s">
        <v>1071</v>
      </c>
      <c r="AD29" t="s">
        <v>1155</v>
      </c>
      <c r="AE29" s="80">
        <v>41536</v>
      </c>
      <c r="AF29">
        <v>13404</v>
      </c>
      <c r="AS29" s="751">
        <v>39322</v>
      </c>
      <c r="AT29" s="747">
        <v>6.34</v>
      </c>
      <c r="AU29" s="644">
        <v>41</v>
      </c>
      <c r="AV29">
        <f t="shared" si="0"/>
        <v>8.2420000000000009</v>
      </c>
      <c r="AW29">
        <f t="shared" si="1"/>
        <v>5.706504580244264</v>
      </c>
      <c r="AX29">
        <f t="shared" si="2"/>
        <v>7.9320413665395266</v>
      </c>
      <c r="AY29" s="6">
        <f t="shared" si="3"/>
        <v>0.87807697927592565</v>
      </c>
      <c r="BD29" s="6">
        <f t="shared" si="4"/>
        <v>0.91238940000000013</v>
      </c>
    </row>
    <row r="30" spans="1:64" ht="16.5" thickTop="1" thickBot="1">
      <c r="A30" s="611" t="s">
        <v>1098</v>
      </c>
      <c r="B30" s="595" t="s">
        <v>179</v>
      </c>
      <c r="C30" s="595" t="s">
        <v>1071</v>
      </c>
      <c r="D30" s="1048">
        <v>128</v>
      </c>
      <c r="E30" s="1037">
        <v>138</v>
      </c>
      <c r="F30" s="1037">
        <v>166</v>
      </c>
      <c r="G30" s="1037">
        <v>53</v>
      </c>
      <c r="H30" s="1037">
        <v>26</v>
      </c>
      <c r="I30" s="584"/>
      <c r="J30" s="595" t="s">
        <v>185</v>
      </c>
      <c r="K30" s="731">
        <v>94.5</v>
      </c>
      <c r="L30" s="731">
        <v>17610</v>
      </c>
      <c r="Q30" s="710" t="s">
        <v>617</v>
      </c>
      <c r="R30" s="625" t="s">
        <v>650</v>
      </c>
      <c r="S30" s="713">
        <v>712</v>
      </c>
      <c r="T30" s="713">
        <v>323</v>
      </c>
      <c r="U30" s="713">
        <v>31</v>
      </c>
      <c r="V30" s="713">
        <v>57</v>
      </c>
      <c r="Y30" s="1060" t="s">
        <v>440</v>
      </c>
      <c r="Z30" s="589" t="s">
        <v>245</v>
      </c>
      <c r="AA30" s="1061">
        <v>18</v>
      </c>
      <c r="AB30" s="589" t="s">
        <v>1071</v>
      </c>
      <c r="AD30" t="s">
        <v>1155</v>
      </c>
      <c r="AE30" s="80">
        <v>41537</v>
      </c>
      <c r="AF30">
        <v>13912</v>
      </c>
      <c r="AS30" s="751">
        <v>39323</v>
      </c>
      <c r="AT30" s="747">
        <v>5.94</v>
      </c>
      <c r="AU30" s="644">
        <v>40</v>
      </c>
      <c r="AV30">
        <f t="shared" si="0"/>
        <v>7.7220000000000004</v>
      </c>
      <c r="AW30">
        <f t="shared" si="1"/>
        <v>5.3663700562447625</v>
      </c>
      <c r="AX30">
        <f t="shared" si="2"/>
        <v>7.4592543781802192</v>
      </c>
      <c r="AY30" s="6">
        <f t="shared" si="3"/>
        <v>0.80559947284346367</v>
      </c>
      <c r="BD30" s="6">
        <f t="shared" si="4"/>
        <v>0.83397600000000005</v>
      </c>
    </row>
    <row r="31" spans="1:64" ht="16.5" thickTop="1" thickBot="1">
      <c r="A31" s="611" t="s">
        <v>1098</v>
      </c>
      <c r="B31" s="642" t="s">
        <v>180</v>
      </c>
      <c r="C31" s="595" t="s">
        <v>1071</v>
      </c>
      <c r="D31" s="1049">
        <v>88</v>
      </c>
      <c r="E31" s="1050">
        <v>60</v>
      </c>
      <c r="F31" s="1050">
        <v>30</v>
      </c>
      <c r="G31" s="1050">
        <v>26</v>
      </c>
      <c r="H31" s="1050">
        <v>3</v>
      </c>
      <c r="I31" s="589"/>
      <c r="J31" s="595" t="s">
        <v>245</v>
      </c>
      <c r="K31" s="731">
        <v>391</v>
      </c>
      <c r="L31" s="731">
        <v>4128</v>
      </c>
      <c r="Q31" s="1275" t="s">
        <v>1148</v>
      </c>
      <c r="R31" s="1276"/>
      <c r="S31" s="1276"/>
      <c r="T31" s="1276"/>
      <c r="U31" s="1276"/>
      <c r="V31" s="1277"/>
      <c r="Y31" s="1060" t="s">
        <v>440</v>
      </c>
      <c r="Z31" s="589" t="s">
        <v>179</v>
      </c>
      <c r="AA31" s="1061">
        <v>28</v>
      </c>
      <c r="AB31" s="589" t="s">
        <v>1071</v>
      </c>
      <c r="AD31" t="s">
        <v>1155</v>
      </c>
      <c r="AE31" s="80">
        <v>41538</v>
      </c>
      <c r="AF31">
        <v>14250</v>
      </c>
      <c r="AS31" s="751">
        <v>39324</v>
      </c>
      <c r="AT31" s="747">
        <v>6.22</v>
      </c>
      <c r="AU31" s="644">
        <v>48</v>
      </c>
      <c r="AV31">
        <f t="shared" si="0"/>
        <v>8.0860000000000003</v>
      </c>
      <c r="AW31">
        <f t="shared" si="1"/>
        <v>5.6045962614054856</v>
      </c>
      <c r="AX31">
        <f t="shared" si="2"/>
        <v>7.7903888033536246</v>
      </c>
      <c r="AY31" s="6">
        <f t="shared" si="3"/>
        <v>1.0096343889146298</v>
      </c>
      <c r="BD31" s="6">
        <f t="shared" si="4"/>
        <v>1.0479456000000003</v>
      </c>
      <c r="BI31" s="1270" t="s">
        <v>386</v>
      </c>
      <c r="BJ31" s="1270"/>
      <c r="BK31" s="1270"/>
      <c r="BL31" s="1270"/>
    </row>
    <row r="32" spans="1:64" ht="16.5" thickTop="1" thickBot="1">
      <c r="A32" s="611" t="s">
        <v>1098</v>
      </c>
      <c r="B32" s="595" t="s">
        <v>184</v>
      </c>
      <c r="C32" s="595" t="s">
        <v>1096</v>
      </c>
      <c r="D32" s="1048">
        <v>7</v>
      </c>
      <c r="E32" s="1037">
        <v>14.8</v>
      </c>
      <c r="F32" s="1037">
        <v>6.6</v>
      </c>
      <c r="G32" s="1037">
        <v>10.199999999999999</v>
      </c>
      <c r="H32" s="1037">
        <v>10</v>
      </c>
      <c r="I32" s="589"/>
      <c r="J32" s="595" t="s">
        <v>179</v>
      </c>
      <c r="K32" s="731">
        <v>336</v>
      </c>
      <c r="L32" s="731">
        <v>13986</v>
      </c>
      <c r="Q32" s="631" t="s">
        <v>255</v>
      </c>
      <c r="R32" s="631" t="s">
        <v>278</v>
      </c>
      <c r="S32" s="1058">
        <v>692</v>
      </c>
      <c r="T32" s="1058">
        <v>245</v>
      </c>
      <c r="U32" s="1058">
        <v>12</v>
      </c>
      <c r="V32" s="1058">
        <v>34</v>
      </c>
      <c r="Y32" s="1059" t="s">
        <v>1137</v>
      </c>
      <c r="Z32" s="584" t="s">
        <v>206</v>
      </c>
      <c r="AA32" s="1061">
        <v>456</v>
      </c>
      <c r="AB32" s="637" t="s">
        <v>1071</v>
      </c>
      <c r="AD32" t="s">
        <v>1155</v>
      </c>
      <c r="AE32" s="80">
        <v>41539</v>
      </c>
      <c r="AF32">
        <v>14500</v>
      </c>
      <c r="AS32" s="751">
        <v>39325</v>
      </c>
      <c r="AT32" s="747">
        <v>6.17</v>
      </c>
      <c r="AU32" s="644">
        <v>51</v>
      </c>
      <c r="AV32">
        <f t="shared" si="0"/>
        <v>8.0210000000000008</v>
      </c>
      <c r="AW32">
        <f t="shared" si="1"/>
        <v>5.5621014982167329</v>
      </c>
      <c r="AX32">
        <f t="shared" si="2"/>
        <v>7.7313210825212586</v>
      </c>
      <c r="AY32" s="6">
        <f t="shared" si="3"/>
        <v>1.0646029130631773</v>
      </c>
      <c r="BD32" s="6">
        <f t="shared" si="4"/>
        <v>1.1044917000000001</v>
      </c>
      <c r="BI32" s="1271">
        <v>41518</v>
      </c>
      <c r="BJ32" s="1272"/>
      <c r="BK32" s="1271">
        <v>41548</v>
      </c>
      <c r="BL32" s="1272"/>
    </row>
    <row r="33" spans="1:64" ht="16.5" thickTop="1" thickBot="1">
      <c r="A33" s="610" t="s">
        <v>1098</v>
      </c>
      <c r="B33" s="611" t="s">
        <v>181</v>
      </c>
      <c r="C33" s="595" t="s">
        <v>1071</v>
      </c>
      <c r="D33" s="1054">
        <v>25.1</v>
      </c>
      <c r="E33" s="1039">
        <v>56</v>
      </c>
      <c r="F33" s="1039">
        <v>4.7</v>
      </c>
      <c r="G33" s="1039">
        <v>12.4</v>
      </c>
      <c r="H33" s="1051">
        <v>11.7</v>
      </c>
      <c r="I33" s="589"/>
      <c r="J33" s="642" t="s">
        <v>180</v>
      </c>
      <c r="K33" s="731">
        <v>231</v>
      </c>
      <c r="L33" s="731">
        <v>2528</v>
      </c>
      <c r="M33" s="584"/>
      <c r="Q33" s="1278" t="s">
        <v>1158</v>
      </c>
      <c r="R33" s="1279"/>
      <c r="S33" s="1279"/>
      <c r="T33" s="1279"/>
      <c r="U33" s="1279"/>
      <c r="V33" s="1280"/>
      <c r="Y33" s="1059" t="s">
        <v>1137</v>
      </c>
      <c r="Z33" s="589" t="s">
        <v>185</v>
      </c>
      <c r="AA33" s="1061">
        <v>185</v>
      </c>
      <c r="AB33" s="589" t="s">
        <v>1071</v>
      </c>
      <c r="AD33" t="s">
        <v>1155</v>
      </c>
      <c r="AE33" s="80">
        <v>41540</v>
      </c>
      <c r="AF33">
        <v>14270</v>
      </c>
      <c r="AS33" s="751">
        <v>39326</v>
      </c>
      <c r="AT33" s="748">
        <v>6.42</v>
      </c>
      <c r="AU33" s="644">
        <v>48</v>
      </c>
      <c r="AV33">
        <f t="shared" si="0"/>
        <v>8.3460000000000001</v>
      </c>
      <c r="AW33">
        <f t="shared" si="1"/>
        <v>5.7743822731185572</v>
      </c>
      <c r="AX33">
        <f t="shared" si="2"/>
        <v>8.0263913596347933</v>
      </c>
      <c r="AY33" s="6">
        <f t="shared" si="3"/>
        <v>1.0402203202086693</v>
      </c>
      <c r="BD33" s="6">
        <f t="shared" si="4"/>
        <v>1.0816416</v>
      </c>
      <c r="BI33" s="1269" t="s">
        <v>1938</v>
      </c>
      <c r="BJ33" s="1269"/>
      <c r="BK33" s="1269" t="s">
        <v>1938</v>
      </c>
      <c r="BL33" s="1269"/>
    </row>
    <row r="34" spans="1:64" ht="16.5" thickTop="1" thickBot="1">
      <c r="A34" s="1009" t="s">
        <v>1098</v>
      </c>
      <c r="B34" s="1010" t="s">
        <v>181</v>
      </c>
      <c r="C34" s="1011" t="s">
        <v>1071</v>
      </c>
      <c r="D34" s="1055">
        <v>28</v>
      </c>
      <c r="E34" s="1056">
        <v>52.5</v>
      </c>
      <c r="F34" s="1056">
        <v>4.4000000000000004</v>
      </c>
      <c r="G34" s="1056">
        <v>12.1</v>
      </c>
      <c r="H34" s="1051"/>
      <c r="I34" s="590"/>
      <c r="J34" s="595" t="s">
        <v>184</v>
      </c>
      <c r="K34" s="732">
        <v>18400</v>
      </c>
      <c r="L34" s="732">
        <v>1720000</v>
      </c>
      <c r="M34" s="589"/>
      <c r="Q34" s="711" t="s">
        <v>590</v>
      </c>
      <c r="R34" s="625" t="s">
        <v>631</v>
      </c>
      <c r="S34" s="184">
        <v>610</v>
      </c>
      <c r="T34" s="184">
        <v>207</v>
      </c>
      <c r="U34" s="184">
        <v>27</v>
      </c>
      <c r="V34" s="184">
        <v>50</v>
      </c>
      <c r="Y34" s="1059" t="s">
        <v>1137</v>
      </c>
      <c r="Z34" s="589" t="s">
        <v>245</v>
      </c>
      <c r="AA34" s="1061">
        <v>10</v>
      </c>
      <c r="AB34" s="589" t="s">
        <v>1071</v>
      </c>
      <c r="AD34" t="s">
        <v>1155</v>
      </c>
      <c r="AE34" s="80">
        <v>41541</v>
      </c>
      <c r="AF34">
        <v>13934</v>
      </c>
      <c r="AS34" s="751">
        <v>39327</v>
      </c>
      <c r="AT34" s="748">
        <v>6.83</v>
      </c>
      <c r="AU34" s="644">
        <v>48</v>
      </c>
      <c r="AV34">
        <f t="shared" si="0"/>
        <v>8.8789999999999996</v>
      </c>
      <c r="AW34">
        <f t="shared" si="1"/>
        <v>6.1215122592749696</v>
      </c>
      <c r="AX34">
        <f t="shared" si="2"/>
        <v>8.5089020403922078</v>
      </c>
      <c r="AY34" s="6">
        <f t="shared" si="3"/>
        <v>1.1027537044348301</v>
      </c>
      <c r="BD34" s="6">
        <f t="shared" si="4"/>
        <v>1.1507184000000001</v>
      </c>
      <c r="BI34" s="139" t="s">
        <v>1936</v>
      </c>
      <c r="BJ34" s="139" t="s">
        <v>1937</v>
      </c>
      <c r="BK34" s="139" t="s">
        <v>1936</v>
      </c>
      <c r="BL34" s="139" t="s">
        <v>1937</v>
      </c>
    </row>
    <row r="35" spans="1:64" ht="16.5" thickTop="1" thickBot="1">
      <c r="A35" s="1288" t="s">
        <v>1106</v>
      </c>
      <c r="B35" s="1288"/>
      <c r="C35" s="1288"/>
      <c r="D35" s="1288"/>
      <c r="E35" s="1288"/>
      <c r="F35" s="1288"/>
      <c r="G35" s="1288"/>
      <c r="H35" s="1288"/>
      <c r="I35" s="589"/>
      <c r="L35" s="585"/>
      <c r="M35" s="589"/>
      <c r="Q35" s="1278" t="s">
        <v>594</v>
      </c>
      <c r="R35" s="1279"/>
      <c r="S35" s="1279"/>
      <c r="T35" s="1279"/>
      <c r="U35" s="1279"/>
      <c r="V35" s="1280"/>
      <c r="Y35" s="1059" t="s">
        <v>1137</v>
      </c>
      <c r="Z35" s="589" t="s">
        <v>179</v>
      </c>
      <c r="AA35" s="1061">
        <v>29</v>
      </c>
      <c r="AB35" s="589" t="s">
        <v>1071</v>
      </c>
      <c r="AD35" t="s">
        <v>1155</v>
      </c>
      <c r="AE35" s="80">
        <v>41542</v>
      </c>
      <c r="AF35">
        <v>13369</v>
      </c>
      <c r="AS35" s="751">
        <v>39328</v>
      </c>
      <c r="AT35" s="748">
        <v>7.88</v>
      </c>
      <c r="AU35" s="644">
        <v>46</v>
      </c>
      <c r="AV35">
        <f t="shared" si="0"/>
        <v>10.244</v>
      </c>
      <c r="AW35">
        <f t="shared" si="1"/>
        <v>7.0052594248931621</v>
      </c>
      <c r="AX35">
        <f t="shared" si="2"/>
        <v>9.7373106006014947</v>
      </c>
      <c r="AY35" s="6">
        <f t="shared" si="3"/>
        <v>1.2093739765947056</v>
      </c>
      <c r="BD35" s="6">
        <f t="shared" si="4"/>
        <v>1.2723048000000001</v>
      </c>
      <c r="BI35" s="1122">
        <f>SUM(BI25:BI26)</f>
        <v>40933.259010000002</v>
      </c>
      <c r="BJ35" s="1122">
        <f t="shared" ref="BJ35:BL35" si="5">SUM(BJ25:BJ26)</f>
        <v>33689.925111111108</v>
      </c>
      <c r="BK35" s="1122">
        <f t="shared" si="5"/>
        <v>1586.6172000000001</v>
      </c>
      <c r="BL35" s="1122">
        <f t="shared" si="5"/>
        <v>1305.8577777777778</v>
      </c>
    </row>
    <row r="36" spans="1:64" ht="16.5" thickTop="1" thickBot="1">
      <c r="A36" s="610" t="s">
        <v>1100</v>
      </c>
      <c r="B36" s="611" t="s">
        <v>206</v>
      </c>
      <c r="C36" s="613" t="s">
        <v>1071</v>
      </c>
      <c r="D36" s="1048">
        <v>978</v>
      </c>
      <c r="E36" s="1037">
        <v>453</v>
      </c>
      <c r="F36" s="1037">
        <v>676</v>
      </c>
      <c r="G36" s="1037">
        <v>723</v>
      </c>
      <c r="H36" s="1039">
        <v>633</v>
      </c>
      <c r="I36" s="583"/>
      <c r="J36" s="589"/>
      <c r="L36" s="585"/>
      <c r="M36" s="589"/>
      <c r="Q36" s="711" t="s">
        <v>687</v>
      </c>
      <c r="R36" s="631" t="s">
        <v>1159</v>
      </c>
      <c r="S36" s="184">
        <v>968</v>
      </c>
      <c r="T36" s="184">
        <v>209</v>
      </c>
      <c r="U36" s="184">
        <v>49</v>
      </c>
      <c r="V36" s="184">
        <v>166</v>
      </c>
      <c r="Y36" s="1059">
        <v>34</v>
      </c>
      <c r="Z36" s="584" t="s">
        <v>206</v>
      </c>
      <c r="AA36" s="1061">
        <v>1938</v>
      </c>
      <c r="AB36" s="637" t="s">
        <v>1071</v>
      </c>
      <c r="AD36" t="s">
        <v>1155</v>
      </c>
      <c r="AE36" s="80">
        <v>41543</v>
      </c>
      <c r="AF36">
        <v>12742</v>
      </c>
      <c r="AS36" s="751">
        <v>39329</v>
      </c>
      <c r="AT36" s="748">
        <v>6.63</v>
      </c>
      <c r="AU36" s="644">
        <v>46</v>
      </c>
      <c r="AV36">
        <f t="shared" si="0"/>
        <v>8.6189999999999998</v>
      </c>
      <c r="AW36">
        <f t="shared" si="1"/>
        <v>5.9523335167343694</v>
      </c>
      <c r="AX36">
        <f t="shared" si="2"/>
        <v>8.2737435882607731</v>
      </c>
      <c r="AY36" s="6">
        <f t="shared" si="3"/>
        <v>1.0275989536619881</v>
      </c>
      <c r="BD36" s="6">
        <f t="shared" si="4"/>
        <v>1.0704798</v>
      </c>
      <c r="BI36" s="1269" t="s">
        <v>1939</v>
      </c>
      <c r="BJ36" s="1269"/>
      <c r="BK36" s="1269" t="s">
        <v>1939</v>
      </c>
      <c r="BL36" s="1269"/>
    </row>
    <row r="37" spans="1:64" ht="16.5" thickTop="1" thickBot="1">
      <c r="A37" s="610" t="s">
        <v>1100</v>
      </c>
      <c r="B37" s="595" t="s">
        <v>185</v>
      </c>
      <c r="C37" s="595" t="s">
        <v>1071</v>
      </c>
      <c r="D37" s="1048">
        <v>38</v>
      </c>
      <c r="E37" s="1037">
        <v>88</v>
      </c>
      <c r="F37" s="1037">
        <v>228</v>
      </c>
      <c r="G37" s="1037">
        <v>168</v>
      </c>
      <c r="H37" s="1039">
        <v>231</v>
      </c>
      <c r="I37" s="583"/>
      <c r="J37" s="589"/>
      <c r="L37" s="585"/>
      <c r="M37" s="590"/>
      <c r="Q37" s="1278" t="s">
        <v>1160</v>
      </c>
      <c r="R37" s="1279"/>
      <c r="S37" s="1279"/>
      <c r="T37" s="1279"/>
      <c r="U37" s="1279"/>
      <c r="V37" s="1280"/>
      <c r="Y37" s="1059">
        <v>34</v>
      </c>
      <c r="Z37" s="589" t="s">
        <v>185</v>
      </c>
      <c r="AA37" s="1061">
        <v>1415</v>
      </c>
      <c r="AB37" s="589" t="s">
        <v>1071</v>
      </c>
      <c r="AD37" t="s">
        <v>1155</v>
      </c>
      <c r="AE37" s="80">
        <v>41544</v>
      </c>
      <c r="AF37">
        <v>12101</v>
      </c>
      <c r="AS37" s="751">
        <v>39330</v>
      </c>
      <c r="AT37" s="748">
        <v>7.11</v>
      </c>
      <c r="AU37" s="644">
        <v>45</v>
      </c>
      <c r="AV37">
        <f t="shared" si="0"/>
        <v>9.2430000000000003</v>
      </c>
      <c r="AW37">
        <f t="shared" si="1"/>
        <v>6.3578903472476282</v>
      </c>
      <c r="AX37">
        <f t="shared" si="2"/>
        <v>8.8374675826742024</v>
      </c>
      <c r="AY37" s="6">
        <f t="shared" si="3"/>
        <v>1.0737523112949157</v>
      </c>
      <c r="BD37" s="6">
        <f t="shared" si="4"/>
        <v>1.1230245000000001</v>
      </c>
      <c r="BI37" s="139" t="s">
        <v>1936</v>
      </c>
      <c r="BJ37" s="139" t="s">
        <v>1937</v>
      </c>
      <c r="BK37" s="139" t="s">
        <v>1936</v>
      </c>
      <c r="BL37" s="139" t="s">
        <v>1937</v>
      </c>
    </row>
    <row r="38" spans="1:64" ht="16.5" thickTop="1" thickBot="1">
      <c r="A38" s="610" t="s">
        <v>1100</v>
      </c>
      <c r="B38" s="595" t="s">
        <v>245</v>
      </c>
      <c r="C38" s="613" t="s">
        <v>1071</v>
      </c>
      <c r="D38" s="1048">
        <v>181</v>
      </c>
      <c r="E38" s="1037">
        <v>115</v>
      </c>
      <c r="F38" s="1037">
        <v>54</v>
      </c>
      <c r="G38" s="1037">
        <v>34</v>
      </c>
      <c r="H38" s="1039">
        <v>36</v>
      </c>
      <c r="I38" s="583"/>
      <c r="J38" s="590"/>
      <c r="L38" s="585"/>
      <c r="M38" s="589"/>
      <c r="Q38" s="711" t="s">
        <v>609</v>
      </c>
      <c r="R38" s="625" t="s">
        <v>1161</v>
      </c>
      <c r="S38" s="184">
        <v>635</v>
      </c>
      <c r="T38" s="184">
        <v>215</v>
      </c>
      <c r="U38" s="184">
        <v>62</v>
      </c>
      <c r="V38" s="184">
        <v>61</v>
      </c>
      <c r="Y38" s="1059">
        <v>34</v>
      </c>
      <c r="Z38" s="589" t="s">
        <v>245</v>
      </c>
      <c r="AA38" s="1061">
        <v>13</v>
      </c>
      <c r="AB38" s="637" t="s">
        <v>1071</v>
      </c>
      <c r="AD38" t="s">
        <v>1155</v>
      </c>
      <c r="AE38" s="80">
        <v>41545</v>
      </c>
      <c r="AF38">
        <v>11482</v>
      </c>
      <c r="AS38" s="751">
        <v>39331</v>
      </c>
      <c r="AT38" s="748">
        <v>6.72</v>
      </c>
      <c r="AU38" s="644">
        <v>42</v>
      </c>
      <c r="AV38">
        <f t="shared" si="0"/>
        <v>8.7360000000000007</v>
      </c>
      <c r="AW38">
        <f t="shared" si="1"/>
        <v>6.0284994342333285</v>
      </c>
      <c r="AX38">
        <f t="shared" si="2"/>
        <v>8.3796142135843255</v>
      </c>
      <c r="AY38" s="6">
        <f t="shared" si="3"/>
        <v>0.95024825182046246</v>
      </c>
      <c r="BD38" s="6">
        <f t="shared" si="4"/>
        <v>0.99066240000000017</v>
      </c>
      <c r="BI38" s="55">
        <f>BI35*25</f>
        <v>1023331.47525</v>
      </c>
      <c r="BJ38" s="55">
        <f>BJ35*25</f>
        <v>842248.12777777773</v>
      </c>
      <c r="BK38" s="55">
        <f>BK35*5</f>
        <v>7933.0860000000011</v>
      </c>
      <c r="BL38" s="55">
        <f>BL35*5</f>
        <v>6529.2888888888883</v>
      </c>
    </row>
    <row r="39" spans="1:64" ht="16.5" thickTop="1" thickBot="1">
      <c r="A39" s="610" t="s">
        <v>1100</v>
      </c>
      <c r="B39" s="595" t="s">
        <v>179</v>
      </c>
      <c r="C39" s="595" t="s">
        <v>1071</v>
      </c>
      <c r="D39" s="1048">
        <v>123</v>
      </c>
      <c r="E39" s="1037">
        <v>112</v>
      </c>
      <c r="F39" s="1037">
        <v>60</v>
      </c>
      <c r="G39" s="1037">
        <v>52</v>
      </c>
      <c r="H39" s="1039">
        <v>34</v>
      </c>
      <c r="I39" s="583"/>
      <c r="J39" s="589"/>
      <c r="Y39" s="1059">
        <v>34</v>
      </c>
      <c r="Z39" s="589" t="s">
        <v>179</v>
      </c>
      <c r="AA39" s="1061">
        <v>30</v>
      </c>
      <c r="AB39" s="589" t="s">
        <v>1071</v>
      </c>
      <c r="AD39" t="s">
        <v>1155</v>
      </c>
      <c r="AE39" s="80">
        <v>41546</v>
      </c>
      <c r="AF39">
        <v>11000</v>
      </c>
      <c r="AS39" s="751">
        <v>39332</v>
      </c>
      <c r="AT39" s="748">
        <v>5.58</v>
      </c>
      <c r="AU39" s="644">
        <v>49</v>
      </c>
      <c r="AV39">
        <f t="shared" si="0"/>
        <v>7.2540000000000004</v>
      </c>
      <c r="AW39">
        <f t="shared" si="1"/>
        <v>5.0591324505477715</v>
      </c>
      <c r="AX39">
        <f t="shared" si="2"/>
        <v>7.032194106261402</v>
      </c>
      <c r="AY39" s="6">
        <f t="shared" si="3"/>
        <v>0.93035928025838355</v>
      </c>
      <c r="BD39" s="6">
        <f t="shared" si="4"/>
        <v>0.95970420000000012</v>
      </c>
    </row>
    <row r="40" spans="1:64" ht="16.5" thickTop="1" thickBot="1">
      <c r="A40" s="610" t="s">
        <v>1100</v>
      </c>
      <c r="B40" s="642" t="s">
        <v>180</v>
      </c>
      <c r="C40" s="595" t="s">
        <v>1071</v>
      </c>
      <c r="D40" s="1049">
        <v>97</v>
      </c>
      <c r="E40" s="1050">
        <v>48</v>
      </c>
      <c r="F40" s="1050">
        <v>29</v>
      </c>
      <c r="G40" s="1050">
        <v>16</v>
      </c>
      <c r="H40" s="1050">
        <v>2</v>
      </c>
      <c r="I40" s="583"/>
      <c r="J40" s="584"/>
      <c r="Y40" s="1059">
        <v>18</v>
      </c>
      <c r="Z40" s="584" t="s">
        <v>206</v>
      </c>
      <c r="AA40" s="1061">
        <v>555</v>
      </c>
      <c r="AB40" s="637" t="s">
        <v>1071</v>
      </c>
      <c r="AD40" t="s">
        <v>1155</v>
      </c>
      <c r="AE40" s="80">
        <v>41547</v>
      </c>
      <c r="AF40">
        <v>10000</v>
      </c>
      <c r="AS40" s="751">
        <v>39333</v>
      </c>
      <c r="AT40" s="748">
        <v>5.93</v>
      </c>
      <c r="AU40" s="644">
        <v>39</v>
      </c>
      <c r="AV40">
        <f t="shared" si="0"/>
        <v>7.7089999999999996</v>
      </c>
      <c r="AW40">
        <f t="shared" si="1"/>
        <v>5.3578503089243519</v>
      </c>
      <c r="AX40">
        <f t="shared" si="2"/>
        <v>7.4474119294048489</v>
      </c>
      <c r="AY40" s="6">
        <f t="shared" si="3"/>
        <v>0.78421247616633072</v>
      </c>
      <c r="BD40" s="6">
        <f t="shared" si="4"/>
        <v>0.81175770000000003</v>
      </c>
      <c r="BI40" s="1270" t="s">
        <v>1945</v>
      </c>
      <c r="BJ40" s="1270"/>
      <c r="BK40" s="1270"/>
      <c r="BL40" s="1270"/>
    </row>
    <row r="41" spans="1:64" ht="16.5" thickTop="1" thickBot="1">
      <c r="A41" s="610" t="s">
        <v>1100</v>
      </c>
      <c r="B41" s="595" t="s">
        <v>184</v>
      </c>
      <c r="C41" s="595" t="s">
        <v>1096</v>
      </c>
      <c r="D41" s="1048">
        <v>9.6</v>
      </c>
      <c r="E41" s="1037">
        <v>23</v>
      </c>
      <c r="F41" s="1037">
        <v>4.5999999999999996</v>
      </c>
      <c r="G41" s="1037">
        <v>39.799999999999997</v>
      </c>
      <c r="H41" s="1039">
        <v>9.4</v>
      </c>
      <c r="I41" s="583"/>
      <c r="J41" s="589"/>
      <c r="Y41" s="1059">
        <v>18</v>
      </c>
      <c r="Z41" s="589" t="s">
        <v>185</v>
      </c>
      <c r="AA41" s="1061">
        <v>17</v>
      </c>
      <c r="AB41" s="589" t="s">
        <v>1071</v>
      </c>
      <c r="AD41" t="s">
        <v>1155</v>
      </c>
      <c r="AE41" s="80">
        <v>41548</v>
      </c>
      <c r="AF41">
        <v>9250</v>
      </c>
      <c r="AS41" s="751">
        <v>39334</v>
      </c>
      <c r="AT41" s="748">
        <v>5.81</v>
      </c>
      <c r="AU41" s="644">
        <v>44</v>
      </c>
      <c r="AV41">
        <f t="shared" si="0"/>
        <v>7.5529999999999999</v>
      </c>
      <c r="AW41">
        <f t="shared" si="1"/>
        <v>5.25554903952691</v>
      </c>
      <c r="AX41">
        <f t="shared" si="2"/>
        <v>7.3052131649424048</v>
      </c>
      <c r="AY41" s="6">
        <f t="shared" si="3"/>
        <v>0.86785932399515775</v>
      </c>
      <c r="BD41" s="6">
        <f t="shared" si="4"/>
        <v>0.89729639999999999</v>
      </c>
      <c r="BI41" s="1271">
        <v>41518</v>
      </c>
      <c r="BJ41" s="1272"/>
      <c r="BK41" s="1271">
        <v>41548</v>
      </c>
      <c r="BL41" s="1272"/>
    </row>
    <row r="42" spans="1:64" ht="16.5" thickTop="1" thickBot="1">
      <c r="A42" s="1288" t="s">
        <v>1103</v>
      </c>
      <c r="B42" s="1288"/>
      <c r="C42" s="1288"/>
      <c r="D42" s="1288"/>
      <c r="E42" s="1288"/>
      <c r="F42" s="1288"/>
      <c r="G42" s="1288"/>
      <c r="H42" s="1288"/>
      <c r="I42" s="583"/>
      <c r="J42" s="589"/>
      <c r="Y42" s="1059">
        <v>18</v>
      </c>
      <c r="Z42" s="589" t="s">
        <v>245</v>
      </c>
      <c r="AA42" s="1061">
        <v>14</v>
      </c>
      <c r="AB42" s="637" t="s">
        <v>1071</v>
      </c>
      <c r="AD42" t="s">
        <v>1155</v>
      </c>
      <c r="AE42" s="80">
        <v>41549</v>
      </c>
      <c r="AF42">
        <v>8670</v>
      </c>
      <c r="AS42" s="751">
        <v>39335</v>
      </c>
      <c r="AT42" s="748">
        <v>8.49</v>
      </c>
      <c r="AU42" s="644">
        <v>155</v>
      </c>
      <c r="AV42">
        <f t="shared" si="0"/>
        <v>11.037000000000001</v>
      </c>
      <c r="AW42">
        <f t="shared" si="1"/>
        <v>7.5155358694153085</v>
      </c>
      <c r="AX42">
        <f t="shared" si="2"/>
        <v>10.446594858487279</v>
      </c>
      <c r="AY42" s="6">
        <f t="shared" si="3"/>
        <v>4.3718999482769263</v>
      </c>
      <c r="BD42" s="6">
        <f t="shared" si="4"/>
        <v>4.6189845000000007</v>
      </c>
      <c r="BI42" s="1269" t="s">
        <v>1938</v>
      </c>
      <c r="BJ42" s="1269"/>
      <c r="BK42" s="1269" t="s">
        <v>1938</v>
      </c>
      <c r="BL42" s="1269"/>
    </row>
    <row r="43" spans="1:64" ht="16.5" thickTop="1" thickBot="1">
      <c r="A43" s="1012" t="s">
        <v>1099</v>
      </c>
      <c r="B43" s="1013" t="s">
        <v>206</v>
      </c>
      <c r="C43" s="1014" t="s">
        <v>1071</v>
      </c>
      <c r="D43" s="1014"/>
      <c r="E43" s="1015"/>
      <c r="F43" s="1057">
        <v>601</v>
      </c>
      <c r="G43" s="1057">
        <v>757</v>
      </c>
      <c r="I43" s="583"/>
      <c r="J43" s="589"/>
      <c r="Y43" s="1059">
        <v>18</v>
      </c>
      <c r="Z43" s="589" t="s">
        <v>179</v>
      </c>
      <c r="AA43" s="1061">
        <v>18</v>
      </c>
      <c r="AB43" s="589" t="s">
        <v>1071</v>
      </c>
      <c r="AD43" t="s">
        <v>1155</v>
      </c>
      <c r="AE43" s="80">
        <v>41550</v>
      </c>
      <c r="AF43">
        <v>7927</v>
      </c>
      <c r="AS43" s="751">
        <v>39336</v>
      </c>
      <c r="AT43" s="748">
        <v>33.299999999999997</v>
      </c>
      <c r="AU43" s="644">
        <v>305</v>
      </c>
      <c r="AV43">
        <f t="shared" si="0"/>
        <v>43.29</v>
      </c>
      <c r="AW43">
        <f t="shared" si="1"/>
        <v>27.268730024785995</v>
      </c>
      <c r="AX43">
        <f t="shared" si="2"/>
        <v>37.903534734452528</v>
      </c>
      <c r="AY43" s="6">
        <f t="shared" si="3"/>
        <v>31.213560853821658</v>
      </c>
      <c r="BD43" s="6">
        <f t="shared" si="4"/>
        <v>35.649315000000001</v>
      </c>
      <c r="BI43" s="139" t="s">
        <v>1936</v>
      </c>
      <c r="BJ43" s="139" t="s">
        <v>1937</v>
      </c>
      <c r="BK43" s="139" t="s">
        <v>1936</v>
      </c>
      <c r="BL43" s="139" t="s">
        <v>1937</v>
      </c>
    </row>
    <row r="44" spans="1:64" ht="16.5" thickTop="1" thickBot="1">
      <c r="A44" s="610" t="s">
        <v>1099</v>
      </c>
      <c r="B44" s="595" t="s">
        <v>185</v>
      </c>
      <c r="C44" s="595" t="s">
        <v>1071</v>
      </c>
      <c r="D44" s="595"/>
      <c r="E44" s="605"/>
      <c r="F44" s="1037">
        <v>203</v>
      </c>
      <c r="G44" s="1037">
        <v>169</v>
      </c>
      <c r="I44" s="583"/>
      <c r="J44" s="590"/>
      <c r="Y44" s="1059">
        <v>19</v>
      </c>
      <c r="Z44" s="584" t="s">
        <v>206</v>
      </c>
      <c r="AA44" s="1061">
        <v>692</v>
      </c>
      <c r="AB44" s="637" t="s">
        <v>1071</v>
      </c>
      <c r="AD44" t="s">
        <v>1155</v>
      </c>
      <c r="AE44" s="80">
        <v>41551</v>
      </c>
      <c r="AF44">
        <v>7265</v>
      </c>
      <c r="AS44" s="751">
        <v>39337</v>
      </c>
      <c r="AT44" s="748">
        <v>32.700000000000003</v>
      </c>
      <c r="AU44" s="644">
        <v>423</v>
      </c>
      <c r="AV44">
        <f t="shared" si="0"/>
        <v>42.510000000000005</v>
      </c>
      <c r="AW44">
        <f t="shared" si="1"/>
        <v>26.805167831541723</v>
      </c>
      <c r="AX44">
        <f t="shared" si="2"/>
        <v>37.259183285842994</v>
      </c>
      <c r="AY44" s="6">
        <f t="shared" si="3"/>
        <v>42.553713230761282</v>
      </c>
      <c r="BD44" s="6">
        <f t="shared" si="4"/>
        <v>48.550671000000008</v>
      </c>
      <c r="BI44" s="55">
        <f>BI20</f>
        <v>905.48902350000014</v>
      </c>
      <c r="BJ44" s="55">
        <f>BJ20</f>
        <v>745.25845555555566</v>
      </c>
      <c r="BK44" s="55">
        <f>BI21</f>
        <v>28.495370699999992</v>
      </c>
      <c r="BL44" s="55">
        <f>BJ21</f>
        <v>23.452979999999993</v>
      </c>
    </row>
    <row r="45" spans="1:64" ht="16.5" thickTop="1" thickBot="1">
      <c r="A45" s="610" t="s">
        <v>1099</v>
      </c>
      <c r="B45" s="595" t="s">
        <v>245</v>
      </c>
      <c r="C45" s="613" t="s">
        <v>1071</v>
      </c>
      <c r="D45" s="613"/>
      <c r="E45" s="727"/>
      <c r="F45" s="1037">
        <v>65</v>
      </c>
      <c r="G45" s="1037">
        <v>42</v>
      </c>
      <c r="I45" s="583"/>
      <c r="J45" s="589" t="s">
        <v>206</v>
      </c>
      <c r="Y45" s="1059">
        <v>19</v>
      </c>
      <c r="Z45" s="589" t="s">
        <v>185</v>
      </c>
      <c r="AA45" s="1061">
        <v>245</v>
      </c>
      <c r="AB45" s="589" t="s">
        <v>1071</v>
      </c>
      <c r="AD45" t="s">
        <v>1155</v>
      </c>
      <c r="AE45" s="80">
        <v>41552</v>
      </c>
      <c r="AF45">
        <v>6831</v>
      </c>
      <c r="AS45" s="751">
        <v>39338</v>
      </c>
      <c r="AT45" s="748">
        <v>30.4</v>
      </c>
      <c r="AU45" s="644">
        <v>1140</v>
      </c>
      <c r="AV45">
        <f t="shared" si="0"/>
        <v>39.519999999999996</v>
      </c>
      <c r="AW45">
        <f t="shared" si="1"/>
        <v>25.023600003810312</v>
      </c>
      <c r="AX45">
        <f t="shared" si="2"/>
        <v>34.782804005296335</v>
      </c>
      <c r="AY45" s="6">
        <f t="shared" si="3"/>
        <v>107.06147072830213</v>
      </c>
      <c r="BD45" s="6">
        <f t="shared" si="4"/>
        <v>121.64255999999999</v>
      </c>
      <c r="BI45" s="1269" t="s">
        <v>1939</v>
      </c>
      <c r="BJ45" s="1269"/>
      <c r="BK45" s="1269" t="s">
        <v>1939</v>
      </c>
      <c r="BL45" s="1269"/>
    </row>
    <row r="46" spans="1:64" ht="16.5" thickTop="1" thickBot="1">
      <c r="A46" s="610" t="s">
        <v>1099</v>
      </c>
      <c r="B46" s="595" t="s">
        <v>179</v>
      </c>
      <c r="C46" s="595" t="s">
        <v>1071</v>
      </c>
      <c r="D46" s="595"/>
      <c r="E46" s="605"/>
      <c r="F46" s="1037">
        <v>57</v>
      </c>
      <c r="G46" s="1037">
        <v>132</v>
      </c>
      <c r="I46" s="585"/>
      <c r="J46" s="740" t="s">
        <v>90</v>
      </c>
      <c r="Y46" s="1059">
        <v>19</v>
      </c>
      <c r="Z46" s="589" t="s">
        <v>245</v>
      </c>
      <c r="AA46" s="1061">
        <v>12</v>
      </c>
      <c r="AB46" s="637" t="s">
        <v>1071</v>
      </c>
      <c r="AD46" t="s">
        <v>1155</v>
      </c>
      <c r="AE46" s="80">
        <v>41553</v>
      </c>
      <c r="AF46">
        <v>6382</v>
      </c>
      <c r="AS46" s="751">
        <v>39339</v>
      </c>
      <c r="AT46" s="748">
        <v>61.9</v>
      </c>
      <c r="AU46" s="644">
        <v>844</v>
      </c>
      <c r="AV46">
        <f t="shared" si="0"/>
        <v>80.47</v>
      </c>
      <c r="AW46">
        <f t="shared" si="1"/>
        <v>48.928768161026746</v>
      </c>
      <c r="AX46">
        <f t="shared" si="2"/>
        <v>68.010987743827172</v>
      </c>
      <c r="AY46" s="6">
        <f t="shared" si="3"/>
        <v>154.98343887063339</v>
      </c>
      <c r="BD46" s="6">
        <f t="shared" si="4"/>
        <v>183.37503599999999</v>
      </c>
      <c r="BI46" s="139" t="s">
        <v>1936</v>
      </c>
      <c r="BJ46" s="139" t="s">
        <v>1937</v>
      </c>
      <c r="BK46" s="139" t="s">
        <v>1936</v>
      </c>
      <c r="BL46" s="139" t="s">
        <v>1937</v>
      </c>
    </row>
    <row r="47" spans="1:64" ht="16.5" thickTop="1" thickBot="1">
      <c r="A47" s="610" t="s">
        <v>1099</v>
      </c>
      <c r="B47" s="642" t="s">
        <v>180</v>
      </c>
      <c r="C47" s="595" t="s">
        <v>1071</v>
      </c>
      <c r="D47" s="595"/>
      <c r="E47" s="605"/>
      <c r="F47" s="1050">
        <v>23</v>
      </c>
      <c r="G47" s="1050">
        <v>16</v>
      </c>
      <c r="J47" s="1121">
        <v>2012</v>
      </c>
      <c r="K47" s="1121">
        <v>2013</v>
      </c>
      <c r="Y47" s="1059">
        <v>19</v>
      </c>
      <c r="Z47" s="589" t="s">
        <v>179</v>
      </c>
      <c r="AA47" s="1061">
        <v>34</v>
      </c>
      <c r="AB47" s="589" t="s">
        <v>1071</v>
      </c>
      <c r="AD47" t="s">
        <v>1155</v>
      </c>
      <c r="AE47" s="80">
        <v>41554</v>
      </c>
      <c r="AF47">
        <v>5927</v>
      </c>
      <c r="AS47" s="751">
        <v>39340</v>
      </c>
      <c r="AT47" s="748">
        <v>36.1</v>
      </c>
      <c r="AU47" s="644">
        <v>968</v>
      </c>
      <c r="AV47">
        <f t="shared" si="0"/>
        <v>46.930000000000007</v>
      </c>
      <c r="AW47">
        <f t="shared" si="1"/>
        <v>29.425868605516278</v>
      </c>
      <c r="AX47">
        <f t="shared" si="2"/>
        <v>40.901957361667627</v>
      </c>
      <c r="AY47" s="6">
        <f t="shared" si="3"/>
        <v>106.90135576045452</v>
      </c>
      <c r="BD47" s="6">
        <f t="shared" si="4"/>
        <v>122.65624800000002</v>
      </c>
      <c r="BI47" s="55">
        <f>BK20</f>
        <v>13582.335352500002</v>
      </c>
      <c r="BJ47" s="55">
        <f>BL20</f>
        <v>11178.876833333334</v>
      </c>
      <c r="BK47" s="55">
        <f>BK21</f>
        <v>142.47685349999995</v>
      </c>
      <c r="BL47" s="55">
        <f>BL21</f>
        <v>117.26489999999995</v>
      </c>
    </row>
    <row r="48" spans="1:64" ht="16.5" thickTop="1" thickBot="1">
      <c r="A48" s="610" t="s">
        <v>1099</v>
      </c>
      <c r="B48" s="595" t="s">
        <v>184</v>
      </c>
      <c r="C48" s="595" t="s">
        <v>1096</v>
      </c>
      <c r="D48" s="595"/>
      <c r="E48" s="605"/>
      <c r="F48" s="606">
        <v>7.2</v>
      </c>
      <c r="G48" s="606">
        <v>7.7</v>
      </c>
      <c r="I48" s="585" t="s">
        <v>69</v>
      </c>
      <c r="J48" s="742">
        <v>1965.4831145907301</v>
      </c>
      <c r="K48" s="40">
        <v>1860.3984057941102</v>
      </c>
      <c r="Y48" s="1059">
        <v>58</v>
      </c>
      <c r="Z48" s="584" t="s">
        <v>206</v>
      </c>
      <c r="AA48" s="1061">
        <v>274</v>
      </c>
      <c r="AB48" s="637" t="s">
        <v>1071</v>
      </c>
      <c r="AD48" t="s">
        <v>1155</v>
      </c>
      <c r="AE48" s="80">
        <v>41555</v>
      </c>
      <c r="AF48">
        <v>5459</v>
      </c>
      <c r="AS48" s="751">
        <v>39341</v>
      </c>
      <c r="AT48" s="748">
        <v>46.3</v>
      </c>
      <c r="AU48" s="644">
        <v>1020</v>
      </c>
      <c r="AV48">
        <f t="shared" si="0"/>
        <v>60.19</v>
      </c>
      <c r="AW48">
        <f t="shared" si="1"/>
        <v>37.208561003687038</v>
      </c>
      <c r="AX48">
        <f t="shared" si="2"/>
        <v>51.719899795124981</v>
      </c>
      <c r="AY48" s="6">
        <f t="shared" si="3"/>
        <v>142.4366040357742</v>
      </c>
      <c r="BD48" s="6">
        <f t="shared" si="4"/>
        <v>165.76326</v>
      </c>
    </row>
    <row r="49" spans="9:56" ht="16.5" thickTop="1" thickBot="1">
      <c r="I49" s="585" t="s">
        <v>70</v>
      </c>
      <c r="J49" s="742">
        <v>2595.7086926043007</v>
      </c>
      <c r="K49" s="40">
        <v>177.39944762568004</v>
      </c>
      <c r="Y49" s="1059">
        <v>58</v>
      </c>
      <c r="Z49" s="589" t="s">
        <v>185</v>
      </c>
      <c r="AA49" s="1061">
        <v>121</v>
      </c>
      <c r="AB49" s="589" t="s">
        <v>1071</v>
      </c>
      <c r="AD49" t="s">
        <v>1155</v>
      </c>
      <c r="AE49" s="80">
        <v>41556</v>
      </c>
      <c r="AF49">
        <v>4966</v>
      </c>
      <c r="AS49" s="751">
        <v>39342</v>
      </c>
      <c r="AT49" s="748">
        <v>25.2</v>
      </c>
      <c r="AU49" s="644">
        <v>781</v>
      </c>
      <c r="AV49">
        <f t="shared" si="0"/>
        <v>32.76</v>
      </c>
      <c r="AW49">
        <f t="shared" si="1"/>
        <v>20.966247584752278</v>
      </c>
      <c r="AX49">
        <f t="shared" si="2"/>
        <v>29.143084142805662</v>
      </c>
      <c r="AY49" s="6">
        <f t="shared" si="3"/>
        <v>61.454021531934302</v>
      </c>
      <c r="BD49" s="6">
        <f t="shared" si="4"/>
        <v>69.081012000000001</v>
      </c>
    </row>
    <row r="50" spans="9:56" ht="16.5" thickTop="1" thickBot="1">
      <c r="I50" s="585" t="s">
        <v>71</v>
      </c>
      <c r="J50" s="742">
        <v>1513.9777530242402</v>
      </c>
      <c r="K50" s="40">
        <v>302.29806461526005</v>
      </c>
      <c r="Y50" s="1059">
        <v>58</v>
      </c>
      <c r="Z50" s="589" t="s">
        <v>245</v>
      </c>
      <c r="AA50" s="1061"/>
      <c r="AB50" s="637" t="s">
        <v>1071</v>
      </c>
      <c r="AD50" t="s">
        <v>1155</v>
      </c>
      <c r="AE50" s="80">
        <v>41557</v>
      </c>
      <c r="AF50">
        <v>4470</v>
      </c>
      <c r="AS50" s="751">
        <v>39343</v>
      </c>
      <c r="AT50" s="748">
        <v>17.5</v>
      </c>
      <c r="AU50" s="644">
        <v>618</v>
      </c>
      <c r="AV50">
        <f t="shared" si="0"/>
        <v>22.75</v>
      </c>
      <c r="AW50">
        <f t="shared" si="1"/>
        <v>14.865683423180267</v>
      </c>
      <c r="AX50">
        <f t="shared" si="2"/>
        <v>20.66329995822057</v>
      </c>
      <c r="AY50" s="6">
        <f t="shared" si="3"/>
        <v>34.478782310286846</v>
      </c>
      <c r="BD50" s="6">
        <f t="shared" si="4"/>
        <v>37.960650000000001</v>
      </c>
    </row>
    <row r="51" spans="9:56" ht="16.5" thickTop="1" thickBot="1">
      <c r="I51" s="585" t="s">
        <v>72</v>
      </c>
      <c r="J51" s="743">
        <v>967.72126776570019</v>
      </c>
      <c r="K51" s="40">
        <v>939.52506730950006</v>
      </c>
      <c r="Y51" s="1059">
        <v>58</v>
      </c>
      <c r="Z51" s="589" t="s">
        <v>179</v>
      </c>
      <c r="AA51" s="1061">
        <v>16</v>
      </c>
      <c r="AB51" s="589" t="s">
        <v>1071</v>
      </c>
      <c r="AD51" t="s">
        <v>1155</v>
      </c>
      <c r="AE51" s="80">
        <v>41558</v>
      </c>
      <c r="AF51">
        <v>4004</v>
      </c>
      <c r="AS51" s="751">
        <v>39344</v>
      </c>
      <c r="AT51" s="748">
        <v>15.7</v>
      </c>
      <c r="AU51" s="644">
        <v>506</v>
      </c>
      <c r="AV51">
        <f t="shared" si="0"/>
        <v>20.41</v>
      </c>
      <c r="AW51">
        <f t="shared" si="1"/>
        <v>13.419408462209207</v>
      </c>
      <c r="AX51">
        <f t="shared" si="2"/>
        <v>18.652977762470798</v>
      </c>
      <c r="AY51" s="6">
        <f t="shared" si="3"/>
        <v>25.483698219087607</v>
      </c>
      <c r="BD51" s="6">
        <f t="shared" si="4"/>
        <v>27.884142000000004</v>
      </c>
    </row>
    <row r="52" spans="9:56" ht="16.5" thickTop="1" thickBot="1">
      <c r="I52" s="585" t="s">
        <v>73</v>
      </c>
      <c r="J52" s="742">
        <v>2298.63635836506</v>
      </c>
      <c r="K52" s="40">
        <v>14514.113572394941</v>
      </c>
      <c r="Y52" s="1059" t="s">
        <v>1136</v>
      </c>
      <c r="Z52" s="584" t="s">
        <v>206</v>
      </c>
      <c r="AA52" s="1061">
        <v>323</v>
      </c>
      <c r="AB52" s="637" t="s">
        <v>1071</v>
      </c>
      <c r="AD52" t="s">
        <v>1155</v>
      </c>
      <c r="AE52" s="80">
        <v>41559</v>
      </c>
      <c r="AF52">
        <v>3724</v>
      </c>
      <c r="AS52" s="751">
        <v>39345</v>
      </c>
      <c r="AT52" s="748">
        <v>11.7</v>
      </c>
      <c r="AU52" s="644">
        <v>438</v>
      </c>
      <c r="AV52">
        <f t="shared" si="0"/>
        <v>15.209999999999999</v>
      </c>
      <c r="AW52">
        <f t="shared" si="1"/>
        <v>10.169492201801432</v>
      </c>
      <c r="AX52">
        <f t="shared" si="2"/>
        <v>14.13559416050399</v>
      </c>
      <c r="AY52" s="6">
        <f t="shared" si="3"/>
        <v>16.71675365421202</v>
      </c>
      <c r="BD52" s="6">
        <f t="shared" si="4"/>
        <v>17.987345999999999</v>
      </c>
    </row>
    <row r="53" spans="9:56" ht="16.5" thickTop="1" thickBot="1">
      <c r="I53" s="585" t="s">
        <v>74</v>
      </c>
      <c r="J53" s="744">
        <v>883.70773540560003</v>
      </c>
      <c r="K53" s="40">
        <v>1515.9710016045001</v>
      </c>
      <c r="Y53" s="1059" t="s">
        <v>1136</v>
      </c>
      <c r="Z53" s="589" t="s">
        <v>185</v>
      </c>
      <c r="AA53" s="1061">
        <v>94</v>
      </c>
      <c r="AB53" s="589" t="s">
        <v>1071</v>
      </c>
      <c r="AD53" t="s">
        <v>1155</v>
      </c>
      <c r="AE53" s="80">
        <v>41560</v>
      </c>
      <c r="AF53">
        <v>3466</v>
      </c>
      <c r="AS53" s="751">
        <v>39346</v>
      </c>
      <c r="AT53" s="748">
        <v>9.0399999999999991</v>
      </c>
      <c r="AU53" s="644">
        <v>385</v>
      </c>
      <c r="AV53">
        <f t="shared" si="0"/>
        <v>11.751999999999999</v>
      </c>
      <c r="AW53">
        <f t="shared" si="1"/>
        <v>7.9738273847343608</v>
      </c>
      <c r="AX53">
        <f t="shared" si="2"/>
        <v>11.08362006478076</v>
      </c>
      <c r="AY53" s="6">
        <f t="shared" si="3"/>
        <v>11.521423057339602</v>
      </c>
      <c r="BD53" s="6">
        <f t="shared" si="4"/>
        <v>12.216203999999999</v>
      </c>
    </row>
    <row r="54" spans="9:56" ht="16.5" thickTop="1" thickBot="1">
      <c r="I54" s="585" t="s">
        <v>75</v>
      </c>
      <c r="J54" s="744">
        <v>1797.4112727836477</v>
      </c>
      <c r="K54" s="40">
        <v>1194.95063396772</v>
      </c>
      <c r="Y54" s="1059" t="s">
        <v>1136</v>
      </c>
      <c r="Z54" s="589" t="s">
        <v>245</v>
      </c>
      <c r="AA54" s="1061">
        <v>9</v>
      </c>
      <c r="AB54" s="637" t="s">
        <v>1071</v>
      </c>
      <c r="AD54" t="s">
        <v>1155</v>
      </c>
      <c r="AE54" s="80">
        <v>41561</v>
      </c>
      <c r="AF54">
        <v>3210</v>
      </c>
      <c r="AS54" s="751">
        <v>39347</v>
      </c>
      <c r="AT54" s="748">
        <v>8.6199999999999992</v>
      </c>
      <c r="AU54" s="644">
        <v>342</v>
      </c>
      <c r="AV54">
        <f t="shared" si="0"/>
        <v>11.206</v>
      </c>
      <c r="AW54">
        <f t="shared" si="1"/>
        <v>7.6240081462269353</v>
      </c>
      <c r="AX54">
        <f t="shared" si="2"/>
        <v>10.597371323255439</v>
      </c>
      <c r="AY54" s="6">
        <f t="shared" si="3"/>
        <v>9.7856126798940721</v>
      </c>
      <c r="BD54" s="6">
        <f t="shared" si="4"/>
        <v>10.3476204</v>
      </c>
    </row>
    <row r="55" spans="9:56" ht="16.5" thickTop="1" thickBot="1">
      <c r="I55" s="585" t="s">
        <v>76</v>
      </c>
      <c r="J55" s="744">
        <v>961.35484886342999</v>
      </c>
      <c r="K55" s="40">
        <v>3340</v>
      </c>
      <c r="Y55" s="1059" t="s">
        <v>1136</v>
      </c>
      <c r="Z55" s="589" t="s">
        <v>179</v>
      </c>
      <c r="AA55" s="1061">
        <v>20</v>
      </c>
      <c r="AB55" s="589" t="s">
        <v>1071</v>
      </c>
      <c r="AD55" t="s">
        <v>1155</v>
      </c>
      <c r="AE55" s="80">
        <v>41562</v>
      </c>
      <c r="AF55">
        <v>2955</v>
      </c>
      <c r="AS55" s="751">
        <v>39348</v>
      </c>
      <c r="AT55" s="748">
        <v>7.95</v>
      </c>
      <c r="AU55" s="644">
        <v>313</v>
      </c>
      <c r="AV55">
        <f t="shared" si="0"/>
        <v>10.335000000000001</v>
      </c>
      <c r="AW55">
        <f t="shared" si="1"/>
        <v>7.0639269969790286</v>
      </c>
      <c r="AX55">
        <f t="shared" si="2"/>
        <v>9.8188585258008487</v>
      </c>
      <c r="AY55" s="6">
        <f t="shared" si="3"/>
        <v>8.2979173401542976</v>
      </c>
      <c r="BD55" s="6">
        <f t="shared" si="4"/>
        <v>8.7341085000000014</v>
      </c>
    </row>
    <row r="56" spans="9:56" ht="16.5" thickTop="1" thickBot="1">
      <c r="I56" s="585" t="s">
        <v>77</v>
      </c>
      <c r="J56" s="742">
        <v>676.53264544267506</v>
      </c>
      <c r="K56" s="40">
        <v>81560</v>
      </c>
      <c r="Y56" s="1059" t="s">
        <v>1135</v>
      </c>
      <c r="Z56" s="584" t="s">
        <v>206</v>
      </c>
      <c r="AA56" s="1061">
        <v>414</v>
      </c>
      <c r="AB56" s="637" t="s">
        <v>1071</v>
      </c>
      <c r="AD56" t="s">
        <v>1155</v>
      </c>
      <c r="AE56" s="80">
        <v>41563</v>
      </c>
      <c r="AF56">
        <v>2701</v>
      </c>
      <c r="AS56" s="751">
        <v>39349</v>
      </c>
      <c r="AT56" s="748">
        <v>7.88</v>
      </c>
      <c r="AU56" s="644">
        <v>264</v>
      </c>
      <c r="AV56" s="156">
        <v>10.8</v>
      </c>
      <c r="AW56">
        <f t="shared" si="1"/>
        <v>7.0052594248931621</v>
      </c>
      <c r="AX56">
        <f t="shared" si="2"/>
        <v>9.7373106006014947</v>
      </c>
      <c r="AY56" s="6">
        <f t="shared" si="3"/>
        <v>6.9407549961087467</v>
      </c>
      <c r="BD56" s="6">
        <f t="shared" si="4"/>
        <v>7.6982400000000011</v>
      </c>
    </row>
    <row r="57" spans="9:56" ht="16.5" thickTop="1" thickBot="1">
      <c r="I57" s="585" t="s">
        <v>78</v>
      </c>
      <c r="J57" s="742">
        <v>759.96843593832</v>
      </c>
      <c r="K57" s="40">
        <v>9228</v>
      </c>
      <c r="Y57" s="1059" t="s">
        <v>1135</v>
      </c>
      <c r="Z57" s="589" t="s">
        <v>185</v>
      </c>
      <c r="AA57" s="1061">
        <v>122</v>
      </c>
      <c r="AB57" s="589" t="s">
        <v>1071</v>
      </c>
      <c r="AD57" t="s">
        <v>1155</v>
      </c>
      <c r="AE57" s="80">
        <v>41564</v>
      </c>
      <c r="AF57">
        <v>2418</v>
      </c>
      <c r="AS57" s="751">
        <v>39350</v>
      </c>
      <c r="AT57" s="748">
        <v>5.9</v>
      </c>
      <c r="AU57" s="644">
        <v>238</v>
      </c>
      <c r="AV57">
        <f t="shared" si="0"/>
        <v>7.6700000000000008</v>
      </c>
      <c r="AW57">
        <f t="shared" si="1"/>
        <v>5.3322861472891079</v>
      </c>
      <c r="AX57">
        <f t="shared" si="2"/>
        <v>7.4118777447318598</v>
      </c>
      <c r="AY57" s="6">
        <f t="shared" si="3"/>
        <v>4.7628726387646934</v>
      </c>
      <c r="BD57" s="6">
        <f t="shared" si="4"/>
        <v>4.9287420000000006</v>
      </c>
    </row>
    <row r="58" spans="9:56" ht="16.5" thickTop="1" thickBot="1">
      <c r="I58" s="585" t="s">
        <v>79</v>
      </c>
      <c r="J58" s="742">
        <v>692.71354842480002</v>
      </c>
      <c r="Y58" s="1059" t="s">
        <v>1135</v>
      </c>
      <c r="Z58" s="589" t="s">
        <v>245</v>
      </c>
      <c r="AA58" s="1061">
        <v>19</v>
      </c>
      <c r="AB58" s="637" t="s">
        <v>1071</v>
      </c>
      <c r="AD58" t="s">
        <v>1155</v>
      </c>
      <c r="AE58" s="80">
        <v>41565</v>
      </c>
      <c r="AF58">
        <v>2118</v>
      </c>
      <c r="AS58" s="751">
        <v>39351</v>
      </c>
      <c r="AT58" s="748">
        <v>5.85</v>
      </c>
      <c r="AU58" s="644">
        <v>214</v>
      </c>
      <c r="AV58">
        <f t="shared" si="0"/>
        <v>7.6049999999999995</v>
      </c>
      <c r="AW58">
        <f t="shared" si="1"/>
        <v>5.2896627239636436</v>
      </c>
      <c r="AX58">
        <f t="shared" si="2"/>
        <v>7.3526311863094644</v>
      </c>
      <c r="AY58" s="6">
        <f t="shared" si="3"/>
        <v>4.2483502994496085</v>
      </c>
      <c r="BD58" s="6">
        <f t="shared" si="4"/>
        <v>4.3941689999999998</v>
      </c>
    </row>
    <row r="59" spans="9:56" ht="16.5" thickTop="1" thickBot="1">
      <c r="I59" s="585" t="s">
        <v>80</v>
      </c>
      <c r="J59" s="743">
        <v>773.46684448488008</v>
      </c>
      <c r="Y59" s="1059" t="s">
        <v>1135</v>
      </c>
      <c r="Z59" s="589" t="s">
        <v>179</v>
      </c>
      <c r="AA59" s="1061">
        <v>26</v>
      </c>
      <c r="AB59" s="589" t="s">
        <v>1071</v>
      </c>
      <c r="AD59" t="s">
        <v>1155</v>
      </c>
      <c r="AE59" s="80">
        <v>41566</v>
      </c>
      <c r="AF59">
        <v>2004</v>
      </c>
      <c r="AS59" s="751">
        <v>39352</v>
      </c>
      <c r="AT59" s="748">
        <v>5.69</v>
      </c>
      <c r="AU59" s="644">
        <v>203</v>
      </c>
      <c r="AV59">
        <f t="shared" si="0"/>
        <v>7.3970000000000011</v>
      </c>
      <c r="AW59">
        <f t="shared" si="1"/>
        <v>5.1531272530937784</v>
      </c>
      <c r="AX59">
        <f t="shared" si="2"/>
        <v>7.1628468818003519</v>
      </c>
      <c r="AY59" s="6">
        <f t="shared" si="3"/>
        <v>3.9259563759147729</v>
      </c>
      <c r="BD59" s="6">
        <f t="shared" si="4"/>
        <v>4.0542957000000008</v>
      </c>
    </row>
    <row r="60" spans="9:56" ht="16.5" thickTop="1" thickBot="1">
      <c r="I60" s="583" t="s">
        <v>346</v>
      </c>
      <c r="J60" s="742">
        <v>15886.682517693385</v>
      </c>
      <c r="K60" s="742">
        <f>SUM(K48:K59)</f>
        <v>114632.6561933117</v>
      </c>
      <c r="Y60" s="1059">
        <v>25</v>
      </c>
      <c r="Z60" s="584" t="s">
        <v>206</v>
      </c>
      <c r="AA60" s="1061">
        <v>260</v>
      </c>
      <c r="AB60" s="637" t="s">
        <v>1071</v>
      </c>
      <c r="AD60" t="s">
        <v>1155</v>
      </c>
      <c r="AE60" s="80">
        <v>41567</v>
      </c>
      <c r="AF60">
        <v>1992</v>
      </c>
      <c r="AS60" s="751">
        <v>39353</v>
      </c>
      <c r="AT60" s="748">
        <v>4.55</v>
      </c>
      <c r="AU60" s="644">
        <v>186</v>
      </c>
      <c r="AV60">
        <f t="shared" si="0"/>
        <v>5.915</v>
      </c>
      <c r="AW60">
        <f t="shared" si="1"/>
        <v>4.1735416032217634</v>
      </c>
      <c r="AX60">
        <f t="shared" si="2"/>
        <v>5.8012228284782505</v>
      </c>
      <c r="AY60" s="6">
        <f t="shared" si="3"/>
        <v>2.913374104461778</v>
      </c>
      <c r="BD60" s="6">
        <f t="shared" si="4"/>
        <v>2.9705130000000004</v>
      </c>
    </row>
    <row r="61" spans="9:56" ht="16.5" thickTop="1" thickBot="1">
      <c r="Y61" s="1059">
        <v>25</v>
      </c>
      <c r="Z61" s="589" t="s">
        <v>185</v>
      </c>
      <c r="AA61" s="1061">
        <v>37</v>
      </c>
      <c r="AB61" s="589" t="s">
        <v>1071</v>
      </c>
      <c r="AD61" t="s">
        <v>1155</v>
      </c>
      <c r="AE61" s="80">
        <v>41568</v>
      </c>
      <c r="AF61">
        <v>1992</v>
      </c>
      <c r="AS61" s="751">
        <v>39354</v>
      </c>
      <c r="AT61" s="748">
        <v>5.39</v>
      </c>
      <c r="AU61" s="644">
        <v>169</v>
      </c>
      <c r="AV61">
        <f t="shared" si="0"/>
        <v>7.0069999999999997</v>
      </c>
      <c r="AW61">
        <f t="shared" si="1"/>
        <v>4.89652758598774</v>
      </c>
      <c r="AX61">
        <f t="shared" si="2"/>
        <v>6.806173344522958</v>
      </c>
      <c r="AY61" s="6">
        <f t="shared" si="3"/>
        <v>3.1056568971058258</v>
      </c>
      <c r="BD61" s="6">
        <f t="shared" si="4"/>
        <v>3.1972941000000001</v>
      </c>
    </row>
    <row r="62" spans="9:56" ht="16.5" thickTop="1" thickBot="1">
      <c r="Y62" s="1059">
        <v>25</v>
      </c>
      <c r="Z62" s="589" t="s">
        <v>245</v>
      </c>
      <c r="AA62" s="1061">
        <v>16</v>
      </c>
      <c r="AB62" s="637" t="s">
        <v>1071</v>
      </c>
      <c r="AD62" t="s">
        <v>1155</v>
      </c>
      <c r="AE62" s="80">
        <v>41569</v>
      </c>
      <c r="AF62">
        <v>1988</v>
      </c>
      <c r="AS62" s="751">
        <v>39355</v>
      </c>
      <c r="AT62" s="748">
        <v>4.45</v>
      </c>
      <c r="AU62" s="644">
        <v>155</v>
      </c>
      <c r="AV62">
        <f t="shared" si="0"/>
        <v>5.7850000000000001</v>
      </c>
      <c r="AW62">
        <f t="shared" si="1"/>
        <v>4.0869892026255839</v>
      </c>
      <c r="AX62">
        <f t="shared" si="2"/>
        <v>5.6809149916495612</v>
      </c>
      <c r="AY62" s="6">
        <f t="shared" si="3"/>
        <v>2.3774629240053415</v>
      </c>
      <c r="BD62" s="6">
        <f t="shared" si="4"/>
        <v>2.4210225000000003</v>
      </c>
    </row>
    <row r="63" spans="9:56" ht="16.5" thickTop="1" thickBot="1">
      <c r="Y63" s="1059">
        <v>25</v>
      </c>
      <c r="Z63" s="589" t="s">
        <v>179</v>
      </c>
      <c r="AA63" s="1061">
        <v>23</v>
      </c>
      <c r="AB63" s="589" t="s">
        <v>1071</v>
      </c>
      <c r="AD63" t="s">
        <v>1155</v>
      </c>
      <c r="AE63" s="80">
        <v>41570</v>
      </c>
      <c r="AF63">
        <v>1985</v>
      </c>
      <c r="AS63" s="751">
        <v>39356</v>
      </c>
      <c r="AT63" s="748">
        <v>3.96</v>
      </c>
      <c r="AU63" s="644">
        <v>142</v>
      </c>
      <c r="AV63">
        <f t="shared" si="0"/>
        <v>5.1479999999999997</v>
      </c>
      <c r="AW63">
        <f t="shared" si="1"/>
        <v>3.6612261897472762</v>
      </c>
      <c r="AX63">
        <f t="shared" si="2"/>
        <v>5.0891044037487134</v>
      </c>
      <c r="AY63" s="6">
        <f t="shared" si="3"/>
        <v>1.951162628397257</v>
      </c>
      <c r="BD63" s="6">
        <f t="shared" si="4"/>
        <v>1.9737431999999999</v>
      </c>
    </row>
    <row r="64" spans="9:56" ht="16.5" thickTop="1" thickBot="1">
      <c r="Y64" s="1059">
        <v>35</v>
      </c>
      <c r="Z64" s="584" t="s">
        <v>206</v>
      </c>
      <c r="AA64" s="1061">
        <v>385</v>
      </c>
      <c r="AB64" s="637" t="s">
        <v>1071</v>
      </c>
      <c r="AD64" t="s">
        <v>1155</v>
      </c>
      <c r="AE64" s="80">
        <v>41571</v>
      </c>
      <c r="AF64">
        <v>1983</v>
      </c>
      <c r="AS64" s="751">
        <v>39357</v>
      </c>
      <c r="AT64" s="748">
        <v>4.22</v>
      </c>
      <c r="AU64" s="644">
        <v>133</v>
      </c>
      <c r="AV64">
        <f t="shared" si="0"/>
        <v>5.4859999999999998</v>
      </c>
      <c r="AW64">
        <f t="shared" si="1"/>
        <v>3.8874931900538785</v>
      </c>
      <c r="AX64">
        <f t="shared" si="2"/>
        <v>5.4036155341748904</v>
      </c>
      <c r="AY64" s="6">
        <f t="shared" si="3"/>
        <v>1.9404383383222035</v>
      </c>
      <c r="BD64" s="6">
        <f t="shared" si="4"/>
        <v>1.9700225999999998</v>
      </c>
    </row>
    <row r="65" spans="25:56" ht="16.5" thickTop="1" thickBot="1">
      <c r="Y65" s="1059">
        <v>35</v>
      </c>
      <c r="Z65" s="589" t="s">
        <v>185</v>
      </c>
      <c r="AA65" s="1061">
        <v>221</v>
      </c>
      <c r="AB65" s="589" t="s">
        <v>1071</v>
      </c>
      <c r="AS65" s="751">
        <v>39358</v>
      </c>
      <c r="AT65" s="748">
        <v>4.0599999999999996</v>
      </c>
      <c r="AU65" s="644">
        <v>124</v>
      </c>
      <c r="AV65">
        <f t="shared" si="0"/>
        <v>5.2779999999999996</v>
      </c>
      <c r="AW65">
        <f t="shared" si="1"/>
        <v>3.74834925394254</v>
      </c>
      <c r="AX65">
        <f t="shared" si="2"/>
        <v>5.21020546298013</v>
      </c>
      <c r="AY65" s="6">
        <f t="shared" si="3"/>
        <v>1.7443767890057476</v>
      </c>
      <c r="BD65" s="6">
        <f t="shared" si="4"/>
        <v>1.7670744</v>
      </c>
    </row>
    <row r="66" spans="25:56" ht="16.5" thickTop="1" thickBot="1">
      <c r="Y66" s="1059">
        <v>35</v>
      </c>
      <c r="Z66" s="589" t="s">
        <v>245</v>
      </c>
      <c r="AA66" s="1061">
        <v>12</v>
      </c>
      <c r="AB66" s="637" t="s">
        <v>1071</v>
      </c>
      <c r="AS66" s="751">
        <v>39359</v>
      </c>
      <c r="AT66" s="748">
        <v>3.89</v>
      </c>
      <c r="AU66" s="644">
        <v>133</v>
      </c>
      <c r="AV66">
        <f t="shared" si="0"/>
        <v>5.0570000000000004</v>
      </c>
      <c r="AW66">
        <f t="shared" si="1"/>
        <v>3.6001655684673302</v>
      </c>
      <c r="AX66">
        <f t="shared" si="2"/>
        <v>5.0042301401695886</v>
      </c>
      <c r="AY66" s="6">
        <f t="shared" si="3"/>
        <v>1.7970190433348991</v>
      </c>
      <c r="BD66" s="6">
        <f t="shared" si="4"/>
        <v>1.8159687000000002</v>
      </c>
    </row>
    <row r="67" spans="25:56" ht="16.5" thickTop="1" thickBot="1">
      <c r="Y67" s="1059">
        <v>35</v>
      </c>
      <c r="Z67" s="589" t="s">
        <v>179</v>
      </c>
      <c r="AA67" s="1061">
        <v>26</v>
      </c>
      <c r="AB67" s="589" t="s">
        <v>1071</v>
      </c>
      <c r="AS67" s="751">
        <v>39360</v>
      </c>
      <c r="AT67" s="748">
        <v>3.46</v>
      </c>
      <c r="AU67" s="644">
        <v>118</v>
      </c>
      <c r="AV67">
        <f t="shared" ref="AV67:AV93" si="6">AT67*1.3</f>
        <v>4.4980000000000002</v>
      </c>
      <c r="AW67">
        <f t="shared" ref="AW67:AW93" si="7">POWER(AT67,0.943)</f>
        <v>3.2236565167294247</v>
      </c>
      <c r="AX67">
        <f t="shared" ref="AX67:AX93" si="8">AW67*1.39</f>
        <v>4.4808825582539002</v>
      </c>
      <c r="AY67" s="6">
        <f t="shared" ref="AY67:AY93" si="9">AU67*AX67*$AZ$1</f>
        <v>1.4276091830596926</v>
      </c>
      <c r="BD67" s="6">
        <f t="shared" ref="BD67:BD93" si="10">AU67*AV67*$AZ$1</f>
        <v>1.4330628000000001</v>
      </c>
    </row>
    <row r="68" spans="25:56" ht="16.5" thickTop="1" thickBot="1">
      <c r="Y68" s="1059">
        <v>50</v>
      </c>
      <c r="Z68" s="584" t="s">
        <v>206</v>
      </c>
      <c r="AA68" s="1061">
        <v>615</v>
      </c>
      <c r="AB68" s="637" t="s">
        <v>1071</v>
      </c>
      <c r="AS68" s="751">
        <v>39361</v>
      </c>
      <c r="AT68" s="748">
        <v>3.91</v>
      </c>
      <c r="AU68" s="644">
        <v>112</v>
      </c>
      <c r="AV68">
        <f t="shared" si="6"/>
        <v>5.0830000000000002</v>
      </c>
      <c r="AW68">
        <f t="shared" si="7"/>
        <v>3.6176178027521324</v>
      </c>
      <c r="AX68">
        <f t="shared" si="8"/>
        <v>5.0284887458254639</v>
      </c>
      <c r="AY68" s="6">
        <f t="shared" si="9"/>
        <v>1.5206149967376204</v>
      </c>
      <c r="BD68" s="6">
        <f t="shared" si="10"/>
        <v>1.5370992000000001</v>
      </c>
    </row>
    <row r="69" spans="25:56" ht="16.5" thickTop="1" thickBot="1">
      <c r="Y69" s="1059">
        <v>50</v>
      </c>
      <c r="Z69" s="589" t="s">
        <v>185</v>
      </c>
      <c r="AA69" s="1061">
        <v>375</v>
      </c>
      <c r="AB69" s="589" t="s">
        <v>1071</v>
      </c>
      <c r="AS69" s="751">
        <v>39362</v>
      </c>
      <c r="AT69" s="748">
        <v>3.51</v>
      </c>
      <c r="AU69" s="644">
        <v>106</v>
      </c>
      <c r="AV69">
        <f t="shared" si="6"/>
        <v>4.5629999999999997</v>
      </c>
      <c r="AW69">
        <f t="shared" si="7"/>
        <v>3.2675678236305705</v>
      </c>
      <c r="AX69">
        <f t="shared" si="8"/>
        <v>4.5419192748464923</v>
      </c>
      <c r="AY69" s="6">
        <f t="shared" si="9"/>
        <v>1.2998972964610662</v>
      </c>
      <c r="BD69" s="6">
        <f t="shared" si="10"/>
        <v>1.3059306000000002</v>
      </c>
    </row>
    <row r="70" spans="25:56" ht="16.5" thickTop="1" thickBot="1">
      <c r="Y70" s="1059">
        <v>50</v>
      </c>
      <c r="Z70" s="589" t="s">
        <v>245</v>
      </c>
      <c r="AA70" s="1061">
        <v>21</v>
      </c>
      <c r="AB70" s="637" t="s">
        <v>1071</v>
      </c>
      <c r="AS70" s="751">
        <v>39363</v>
      </c>
      <c r="AT70" s="748">
        <v>3.3</v>
      </c>
      <c r="AU70" s="644">
        <v>100</v>
      </c>
      <c r="AV70">
        <f t="shared" si="6"/>
        <v>4.29</v>
      </c>
      <c r="AW70">
        <f t="shared" si="7"/>
        <v>3.0828943747317443</v>
      </c>
      <c r="AX70">
        <f t="shared" si="8"/>
        <v>4.2852231808771242</v>
      </c>
      <c r="AY70" s="6">
        <f t="shared" si="9"/>
        <v>1.1570102588368236</v>
      </c>
      <c r="BD70" s="6">
        <f t="shared" si="10"/>
        <v>1.1583000000000001</v>
      </c>
    </row>
    <row r="71" spans="25:56" ht="16.5" thickTop="1" thickBot="1">
      <c r="Y71" s="1059">
        <v>50</v>
      </c>
      <c r="Z71" s="589" t="s">
        <v>179</v>
      </c>
      <c r="AA71" s="1061">
        <v>48</v>
      </c>
      <c r="AB71" s="589" t="s">
        <v>1071</v>
      </c>
      <c r="AS71" s="751">
        <v>39364</v>
      </c>
      <c r="AT71" s="748">
        <v>3.73</v>
      </c>
      <c r="AU71" s="644">
        <v>93</v>
      </c>
      <c r="AV71">
        <f t="shared" si="6"/>
        <v>4.8490000000000002</v>
      </c>
      <c r="AW71">
        <f t="shared" si="7"/>
        <v>3.4603611572739088</v>
      </c>
      <c r="AX71">
        <f t="shared" si="8"/>
        <v>4.8099020086107327</v>
      </c>
      <c r="AY71" s="6">
        <f t="shared" si="9"/>
        <v>1.207766394362155</v>
      </c>
      <c r="BD71" s="6">
        <f t="shared" si="10"/>
        <v>1.2175838999999999</v>
      </c>
    </row>
    <row r="72" spans="25:56" ht="16.5" thickTop="1" thickBot="1">
      <c r="AS72" s="751">
        <v>39365</v>
      </c>
      <c r="AT72" s="748">
        <v>3.46</v>
      </c>
      <c r="AU72" s="644">
        <v>91</v>
      </c>
      <c r="AV72">
        <f t="shared" si="6"/>
        <v>4.4980000000000002</v>
      </c>
      <c r="AW72">
        <f t="shared" si="7"/>
        <v>3.2236565167294247</v>
      </c>
      <c r="AX72">
        <f t="shared" si="8"/>
        <v>4.4808825582539002</v>
      </c>
      <c r="AY72" s="6">
        <f t="shared" si="9"/>
        <v>1.1009528445629835</v>
      </c>
      <c r="BD72" s="6">
        <f t="shared" si="10"/>
        <v>1.1051586000000002</v>
      </c>
    </row>
    <row r="73" spans="25:56" ht="16.5" thickTop="1" thickBot="1">
      <c r="AS73" s="751">
        <v>39366</v>
      </c>
      <c r="AT73" s="748">
        <v>3.89</v>
      </c>
      <c r="AU73" s="644">
        <v>86</v>
      </c>
      <c r="AV73">
        <f t="shared" si="6"/>
        <v>5.0570000000000004</v>
      </c>
      <c r="AW73">
        <f t="shared" si="7"/>
        <v>3.6001655684673302</v>
      </c>
      <c r="AX73">
        <f t="shared" si="8"/>
        <v>5.0042301401695886</v>
      </c>
      <c r="AY73" s="6">
        <f t="shared" si="9"/>
        <v>1.1619822385473786</v>
      </c>
      <c r="BD73" s="6">
        <f t="shared" si="10"/>
        <v>1.1742354000000002</v>
      </c>
    </row>
    <row r="74" spans="25:56" ht="16.5" thickTop="1" thickBot="1">
      <c r="AS74" s="751">
        <v>39367</v>
      </c>
      <c r="AT74" s="748">
        <v>3.38</v>
      </c>
      <c r="AU74" s="644">
        <v>82</v>
      </c>
      <c r="AV74">
        <f t="shared" si="6"/>
        <v>4.3940000000000001</v>
      </c>
      <c r="AW74">
        <f t="shared" si="7"/>
        <v>3.1533229262721907</v>
      </c>
      <c r="AX74">
        <f t="shared" si="8"/>
        <v>4.3831188675183448</v>
      </c>
      <c r="AY74" s="6">
        <f t="shared" si="9"/>
        <v>0.97042251726856155</v>
      </c>
      <c r="BD74" s="6">
        <f t="shared" si="10"/>
        <v>0.97283160000000002</v>
      </c>
    </row>
    <row r="75" spans="25:56" ht="16.5" thickTop="1" thickBot="1">
      <c r="AS75" s="751">
        <v>39368</v>
      </c>
      <c r="AT75" s="748">
        <v>2.4700000000000002</v>
      </c>
      <c r="AU75" s="644">
        <v>80</v>
      </c>
      <c r="AV75">
        <f t="shared" si="6"/>
        <v>3.2110000000000003</v>
      </c>
      <c r="AW75">
        <f t="shared" si="7"/>
        <v>2.3459201571774138</v>
      </c>
      <c r="AX75">
        <f t="shared" si="8"/>
        <v>3.2608290184766049</v>
      </c>
      <c r="AY75" s="6">
        <f t="shared" si="9"/>
        <v>0.7043390679909467</v>
      </c>
      <c r="BD75" s="6">
        <f t="shared" si="10"/>
        <v>0.69357599999999997</v>
      </c>
    </row>
    <row r="76" spans="25:56" ht="16.5" thickTop="1" thickBot="1">
      <c r="AS76" s="751">
        <v>39369</v>
      </c>
      <c r="AT76" s="748">
        <v>2.52</v>
      </c>
      <c r="AU76" s="644">
        <v>77</v>
      </c>
      <c r="AV76">
        <f t="shared" si="6"/>
        <v>3.2760000000000002</v>
      </c>
      <c r="AW76">
        <f t="shared" si="7"/>
        <v>2.3906759354468656</v>
      </c>
      <c r="AX76">
        <f t="shared" si="8"/>
        <v>3.323039550271143</v>
      </c>
      <c r="AY76" s="6">
        <f t="shared" si="9"/>
        <v>0.69085992250137063</v>
      </c>
      <c r="BD76" s="6">
        <f t="shared" si="10"/>
        <v>0.68108040000000003</v>
      </c>
    </row>
    <row r="77" spans="25:56" ht="16.5" thickTop="1" thickBot="1">
      <c r="AS77" s="751">
        <v>39370</v>
      </c>
      <c r="AT77" s="748">
        <v>2.71</v>
      </c>
      <c r="AU77" s="644">
        <v>74</v>
      </c>
      <c r="AV77">
        <f t="shared" si="6"/>
        <v>3.5230000000000001</v>
      </c>
      <c r="AW77">
        <f t="shared" si="7"/>
        <v>2.560295195799303</v>
      </c>
      <c r="AX77">
        <f t="shared" si="8"/>
        <v>3.558810322161031</v>
      </c>
      <c r="AY77" s="6">
        <f t="shared" si="9"/>
        <v>0.711050302367774</v>
      </c>
      <c r="BD77" s="6">
        <f t="shared" si="10"/>
        <v>0.70389540000000006</v>
      </c>
    </row>
    <row r="78" spans="25:56" ht="16.5" thickTop="1" thickBot="1">
      <c r="AS78" s="751">
        <v>39371</v>
      </c>
      <c r="AT78" s="748">
        <v>2.71</v>
      </c>
      <c r="AU78" s="644">
        <v>72</v>
      </c>
      <c r="AV78">
        <f t="shared" si="6"/>
        <v>3.5230000000000001</v>
      </c>
      <c r="AW78">
        <f t="shared" si="7"/>
        <v>2.560295195799303</v>
      </c>
      <c r="AX78">
        <f t="shared" si="8"/>
        <v>3.558810322161031</v>
      </c>
      <c r="AY78" s="6">
        <f t="shared" si="9"/>
        <v>0.69183272662810447</v>
      </c>
      <c r="BD78" s="6">
        <f t="shared" si="10"/>
        <v>0.68487120000000001</v>
      </c>
    </row>
    <row r="79" spans="25:56" ht="16.5" thickTop="1" thickBot="1">
      <c r="AS79" s="751">
        <v>39372</v>
      </c>
      <c r="AT79" s="748">
        <v>2.56</v>
      </c>
      <c r="AU79" s="644">
        <v>68</v>
      </c>
      <c r="AV79">
        <f t="shared" si="6"/>
        <v>3.3280000000000003</v>
      </c>
      <c r="AW79">
        <f t="shared" si="7"/>
        <v>2.4264440816953998</v>
      </c>
      <c r="AX79">
        <f t="shared" si="8"/>
        <v>3.3727572735566054</v>
      </c>
      <c r="AY79" s="6">
        <f t="shared" si="9"/>
        <v>0.61923823542499279</v>
      </c>
      <c r="BD79" s="6">
        <f t="shared" si="10"/>
        <v>0.61102080000000014</v>
      </c>
    </row>
    <row r="80" spans="25:56" ht="16.5" thickTop="1" thickBot="1">
      <c r="AS80" s="751">
        <v>39373</v>
      </c>
      <c r="AT80" s="748">
        <v>2.5499999999999998</v>
      </c>
      <c r="AU80" s="644">
        <v>68</v>
      </c>
      <c r="AV80">
        <f t="shared" si="6"/>
        <v>3.3149999999999999</v>
      </c>
      <c r="AW80">
        <f t="shared" si="7"/>
        <v>2.4175050510144942</v>
      </c>
      <c r="AX80">
        <f t="shared" si="8"/>
        <v>3.3603320209101466</v>
      </c>
      <c r="AY80" s="6">
        <f t="shared" si="9"/>
        <v>0.61695695903910297</v>
      </c>
      <c r="BD80" s="6">
        <f t="shared" si="10"/>
        <v>0.60863400000000001</v>
      </c>
    </row>
    <row r="81" spans="45:56" ht="16.5" thickTop="1" thickBot="1">
      <c r="AS81" s="751">
        <v>39374</v>
      </c>
      <c r="AT81" s="748">
        <v>2.52</v>
      </c>
      <c r="AU81" s="644">
        <v>64</v>
      </c>
      <c r="AV81">
        <f t="shared" si="6"/>
        <v>3.2760000000000002</v>
      </c>
      <c r="AW81">
        <f t="shared" si="7"/>
        <v>2.3906759354468656</v>
      </c>
      <c r="AX81">
        <f t="shared" si="8"/>
        <v>3.323039550271143</v>
      </c>
      <c r="AY81" s="6">
        <f t="shared" si="9"/>
        <v>0.57422123428685357</v>
      </c>
      <c r="BD81" s="6">
        <f t="shared" si="10"/>
        <v>0.56609280000000006</v>
      </c>
    </row>
    <row r="82" spans="45:56" ht="16.5" thickTop="1" thickBot="1">
      <c r="AS82" s="751">
        <v>39375</v>
      </c>
      <c r="AT82" s="748">
        <v>2.61</v>
      </c>
      <c r="AU82" s="644">
        <v>64</v>
      </c>
      <c r="AV82">
        <f t="shared" si="6"/>
        <v>3.3929999999999998</v>
      </c>
      <c r="AW82">
        <f t="shared" si="7"/>
        <v>2.4711095460886567</v>
      </c>
      <c r="AX82">
        <f t="shared" si="8"/>
        <v>3.4348422690632328</v>
      </c>
      <c r="AY82" s="6">
        <f t="shared" si="9"/>
        <v>0.5935407440941266</v>
      </c>
      <c r="BD82" s="6">
        <f t="shared" si="10"/>
        <v>0.58631040000000001</v>
      </c>
    </row>
    <row r="83" spans="45:56" ht="16.5" thickTop="1" thickBot="1">
      <c r="AS83" s="751">
        <v>39376</v>
      </c>
      <c r="AT83" s="748">
        <v>2</v>
      </c>
      <c r="AU83" s="644">
        <v>62</v>
      </c>
      <c r="AV83" s="156">
        <v>4</v>
      </c>
      <c r="AW83">
        <f t="shared" si="7"/>
        <v>1.9225218567775226</v>
      </c>
      <c r="AX83">
        <f t="shared" si="8"/>
        <v>2.6723053809207564</v>
      </c>
      <c r="AY83" s="6">
        <f t="shared" si="9"/>
        <v>0.44734392076613461</v>
      </c>
      <c r="BD83" s="6">
        <f t="shared" si="10"/>
        <v>0.66960000000000008</v>
      </c>
    </row>
    <row r="84" spans="45:56" ht="16.5" thickTop="1" thickBot="1">
      <c r="AS84" s="751">
        <v>39377</v>
      </c>
      <c r="AT84" s="748">
        <v>2.4900000000000002</v>
      </c>
      <c r="AU84" s="644">
        <v>59</v>
      </c>
      <c r="AV84">
        <f t="shared" si="6"/>
        <v>3.2370000000000005</v>
      </c>
      <c r="AW84">
        <f t="shared" si="7"/>
        <v>2.3638286077871005</v>
      </c>
      <c r="AX84">
        <f t="shared" si="8"/>
        <v>3.2857217648240695</v>
      </c>
      <c r="AY84" s="6">
        <f t="shared" si="9"/>
        <v>0.52341547713647429</v>
      </c>
      <c r="BD84" s="6">
        <f t="shared" si="10"/>
        <v>0.51565410000000012</v>
      </c>
    </row>
    <row r="85" spans="45:56" ht="16.5" thickTop="1" thickBot="1">
      <c r="AS85" s="751">
        <v>39378</v>
      </c>
      <c r="AT85" s="748">
        <v>2.5499999999999998</v>
      </c>
      <c r="AU85" s="644">
        <v>58</v>
      </c>
      <c r="AV85">
        <f t="shared" si="6"/>
        <v>3.3149999999999999</v>
      </c>
      <c r="AW85">
        <f t="shared" si="7"/>
        <v>2.4175050510144942</v>
      </c>
      <c r="AX85">
        <f t="shared" si="8"/>
        <v>3.3603320209101466</v>
      </c>
      <c r="AY85" s="6">
        <f t="shared" si="9"/>
        <v>0.52622799447452906</v>
      </c>
      <c r="BD85" s="6">
        <f t="shared" si="10"/>
        <v>0.51912900000000006</v>
      </c>
    </row>
    <row r="86" spans="45:56" ht="16.5" thickTop="1" thickBot="1">
      <c r="AS86" s="751">
        <v>39379</v>
      </c>
      <c r="AT86" s="748">
        <v>3.1</v>
      </c>
      <c r="AU86" s="644">
        <v>56</v>
      </c>
      <c r="AV86">
        <f t="shared" si="6"/>
        <v>4.03</v>
      </c>
      <c r="AW86">
        <f t="shared" si="7"/>
        <v>2.9063912494567581</v>
      </c>
      <c r="AX86">
        <f t="shared" si="8"/>
        <v>4.0398838367448935</v>
      </c>
      <c r="AY86" s="6">
        <f t="shared" si="9"/>
        <v>0.61083043611582799</v>
      </c>
      <c r="BD86" s="6">
        <f t="shared" si="10"/>
        <v>0.6093360000000001</v>
      </c>
    </row>
    <row r="87" spans="45:56" ht="16.5" thickTop="1" thickBot="1">
      <c r="AS87" s="751">
        <v>39380</v>
      </c>
      <c r="AT87" s="748">
        <v>3.35</v>
      </c>
      <c r="AU87" s="644">
        <v>53</v>
      </c>
      <c r="AV87">
        <f t="shared" si="6"/>
        <v>4.3550000000000004</v>
      </c>
      <c r="AW87">
        <f t="shared" si="7"/>
        <v>3.1269234758934239</v>
      </c>
      <c r="AX87">
        <f t="shared" si="8"/>
        <v>4.3464236314918585</v>
      </c>
      <c r="AY87" s="6">
        <f t="shared" si="9"/>
        <v>0.62197322166648494</v>
      </c>
      <c r="BD87" s="6">
        <f t="shared" si="10"/>
        <v>0.62320050000000016</v>
      </c>
    </row>
    <row r="88" spans="45:56" ht="16.5" thickTop="1" thickBot="1">
      <c r="AS88" s="751">
        <v>39381</v>
      </c>
      <c r="AT88" s="748">
        <v>3.03</v>
      </c>
      <c r="AU88" s="644">
        <v>52</v>
      </c>
      <c r="AV88">
        <f t="shared" si="6"/>
        <v>3.9390000000000001</v>
      </c>
      <c r="AW88">
        <f t="shared" si="7"/>
        <v>2.8444637186338841</v>
      </c>
      <c r="AX88">
        <f t="shared" si="8"/>
        <v>3.9538045689010985</v>
      </c>
      <c r="AY88" s="6">
        <f t="shared" si="9"/>
        <v>0.55511416147371428</v>
      </c>
      <c r="BD88" s="6">
        <f t="shared" si="10"/>
        <v>0.55303560000000007</v>
      </c>
    </row>
    <row r="89" spans="45:56" ht="16.5" thickTop="1" thickBot="1">
      <c r="AS89" s="751">
        <v>39382</v>
      </c>
      <c r="AT89" s="748">
        <v>2.89</v>
      </c>
      <c r="AU89" s="644">
        <v>51</v>
      </c>
      <c r="AV89">
        <f t="shared" si="6"/>
        <v>3.7570000000000001</v>
      </c>
      <c r="AW89">
        <f t="shared" si="7"/>
        <v>2.7203617873098835</v>
      </c>
      <c r="AX89">
        <f t="shared" si="8"/>
        <v>3.7813028843607377</v>
      </c>
      <c r="AY89" s="6">
        <f t="shared" si="9"/>
        <v>0.5206854071764736</v>
      </c>
      <c r="BD89" s="6">
        <f t="shared" si="10"/>
        <v>0.51733890000000005</v>
      </c>
    </row>
    <row r="90" spans="45:56" ht="16.5" thickTop="1" thickBot="1">
      <c r="AS90" s="751">
        <v>39383</v>
      </c>
      <c r="AT90" s="748">
        <v>2.96</v>
      </c>
      <c r="AU90" s="644">
        <v>50</v>
      </c>
      <c r="AV90">
        <f t="shared" si="6"/>
        <v>3.8479999999999999</v>
      </c>
      <c r="AW90">
        <f t="shared" si="7"/>
        <v>2.7824545784880685</v>
      </c>
      <c r="AX90">
        <f t="shared" si="8"/>
        <v>3.8676118640984152</v>
      </c>
      <c r="AY90" s="6">
        <f t="shared" si="9"/>
        <v>0.52212760165328609</v>
      </c>
      <c r="BD90" s="6">
        <f t="shared" si="10"/>
        <v>0.51948000000000005</v>
      </c>
    </row>
    <row r="91" spans="45:56" ht="16.5" thickTop="1" thickBot="1">
      <c r="AS91" s="751">
        <v>39384</v>
      </c>
      <c r="AT91" s="748">
        <v>2.82</v>
      </c>
      <c r="AU91" s="644">
        <v>49</v>
      </c>
      <c r="AV91">
        <f t="shared" si="6"/>
        <v>3.6659999999999999</v>
      </c>
      <c r="AW91">
        <f t="shared" si="7"/>
        <v>2.6581832015655569</v>
      </c>
      <c r="AX91">
        <f t="shared" si="8"/>
        <v>3.6948746501761236</v>
      </c>
      <c r="AY91" s="6">
        <f t="shared" si="9"/>
        <v>0.48883191621830113</v>
      </c>
      <c r="BD91" s="6">
        <f t="shared" si="10"/>
        <v>0.48501179999999999</v>
      </c>
    </row>
    <row r="92" spans="45:56" ht="16.5" thickTop="1" thickBot="1">
      <c r="AS92" s="751">
        <v>39385</v>
      </c>
      <c r="AT92" s="748">
        <v>2.65</v>
      </c>
      <c r="AU92" s="644">
        <v>50</v>
      </c>
      <c r="AV92">
        <f t="shared" si="6"/>
        <v>3.4449999999999998</v>
      </c>
      <c r="AW92">
        <f t="shared" si="7"/>
        <v>2.5068067712515987</v>
      </c>
      <c r="AX92">
        <f t="shared" si="8"/>
        <v>3.4844614120397219</v>
      </c>
      <c r="AY92" s="6">
        <f t="shared" si="9"/>
        <v>0.47040229062536254</v>
      </c>
      <c r="BD92" s="6">
        <f t="shared" si="10"/>
        <v>0.46507500000000002</v>
      </c>
    </row>
    <row r="93" spans="45:56" ht="16.5" thickTop="1" thickBot="1">
      <c r="AS93" s="751">
        <v>39386</v>
      </c>
      <c r="AT93" s="748">
        <v>2.74</v>
      </c>
      <c r="AU93" s="644">
        <v>47</v>
      </c>
      <c r="AV93">
        <f t="shared" si="6"/>
        <v>3.5620000000000003</v>
      </c>
      <c r="AW93">
        <f t="shared" si="7"/>
        <v>2.5870140105399546</v>
      </c>
      <c r="AX93">
        <f t="shared" si="8"/>
        <v>3.5959494746505367</v>
      </c>
      <c r="AY93" s="6">
        <f t="shared" si="9"/>
        <v>0.45632598833315319</v>
      </c>
      <c r="BD93" s="6">
        <f t="shared" si="10"/>
        <v>0.45201780000000008</v>
      </c>
    </row>
    <row r="94" spans="45:56" ht="14.5" thickTop="1"/>
    <row r="95" spans="45:56">
      <c r="AS95" s="83" t="s">
        <v>1172</v>
      </c>
    </row>
  </sheetData>
  <mergeCells count="44">
    <mergeCell ref="BG17:BH17"/>
    <mergeCell ref="BI17:BJ17"/>
    <mergeCell ref="BK17:BL17"/>
    <mergeCell ref="BF17:BF18"/>
    <mergeCell ref="A26:H26"/>
    <mergeCell ref="BI23:BJ23"/>
    <mergeCell ref="BI22:BJ22"/>
    <mergeCell ref="BK22:BL22"/>
    <mergeCell ref="BK23:BL23"/>
    <mergeCell ref="A35:H35"/>
    <mergeCell ref="A42:H42"/>
    <mergeCell ref="Q33:V33"/>
    <mergeCell ref="Q35:V35"/>
    <mergeCell ref="Q37:V37"/>
    <mergeCell ref="Q31:V31"/>
    <mergeCell ref="J27:L27"/>
    <mergeCell ref="A3:G3"/>
    <mergeCell ref="A10:G10"/>
    <mergeCell ref="A17:G17"/>
    <mergeCell ref="Q24:V24"/>
    <mergeCell ref="Q22:V22"/>
    <mergeCell ref="BJ1:BK1"/>
    <mergeCell ref="K1:N1"/>
    <mergeCell ref="Q15:V15"/>
    <mergeCell ref="Q2:V2"/>
    <mergeCell ref="Q8:V8"/>
    <mergeCell ref="Q6:V6"/>
    <mergeCell ref="Q12:V12"/>
    <mergeCell ref="BI27:BJ27"/>
    <mergeCell ref="BK27:BL27"/>
    <mergeCell ref="BI32:BJ32"/>
    <mergeCell ref="BK32:BL32"/>
    <mergeCell ref="BI33:BJ33"/>
    <mergeCell ref="BK33:BL33"/>
    <mergeCell ref="BI31:BL31"/>
    <mergeCell ref="BI42:BJ42"/>
    <mergeCell ref="BK42:BL42"/>
    <mergeCell ref="BI45:BJ45"/>
    <mergeCell ref="BK45:BL45"/>
    <mergeCell ref="BI36:BJ36"/>
    <mergeCell ref="BK36:BL36"/>
    <mergeCell ref="BI40:BL40"/>
    <mergeCell ref="BI41:BJ41"/>
    <mergeCell ref="BK41:BL41"/>
  </mergeCells>
  <pageMargins left="0.7" right="0.7" top="0.75" bottom="0.75" header="0.3" footer="0.3"/>
  <pageSetup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92D050"/>
  </sheetPr>
  <dimension ref="A1:AI106"/>
  <sheetViews>
    <sheetView tabSelected="1" topLeftCell="D1" workbookViewId="0">
      <selection activeCell="K11" sqref="K11"/>
    </sheetView>
  </sheetViews>
  <sheetFormatPr defaultColWidth="8.90625" defaultRowHeight="13"/>
  <cols>
    <col min="1" max="1" width="8.90625" style="235"/>
    <col min="2" max="2" width="26.36328125" style="235" bestFit="1" customWidth="1"/>
    <col min="3" max="8" width="9.08984375" style="235" bestFit="1" customWidth="1"/>
    <col min="9" max="9" width="10.08984375" style="235" bestFit="1" customWidth="1"/>
    <col min="10" max="10" width="10.08984375" style="235" customWidth="1"/>
    <col min="11" max="11" width="8.90625" style="235"/>
    <col min="12" max="12" width="19.36328125" style="235" bestFit="1" customWidth="1"/>
    <col min="13" max="13" width="9.08984375" style="235" bestFit="1" customWidth="1"/>
    <col min="14" max="14" width="6" style="235" bestFit="1" customWidth="1"/>
    <col min="15" max="15" width="5.453125" style="235" bestFit="1" customWidth="1"/>
    <col min="16" max="16" width="6.54296875" style="235" bestFit="1" customWidth="1"/>
    <col min="17" max="17" width="5" style="235" bestFit="1" customWidth="1"/>
    <col min="18" max="18" width="8.36328125" style="235" bestFit="1" customWidth="1"/>
    <col min="19" max="19" width="11.36328125" style="235" bestFit="1" customWidth="1"/>
    <col min="20" max="20" width="8.90625" style="235"/>
    <col min="21" max="21" width="3" style="235" bestFit="1" customWidth="1"/>
    <col min="22" max="22" width="10.453125" style="235" bestFit="1" customWidth="1"/>
    <col min="23" max="23" width="3" style="235" bestFit="1" customWidth="1"/>
    <col min="24" max="25" width="10.08984375" style="235" bestFit="1" customWidth="1"/>
    <col min="26" max="26" width="26.6328125" style="235" bestFit="1" customWidth="1"/>
    <col min="27" max="27" width="8.90625" style="235"/>
    <col min="28" max="28" width="16.6328125" style="235" bestFit="1" customWidth="1"/>
    <col min="29" max="30" width="4.54296875" style="235" bestFit="1" customWidth="1"/>
    <col min="31" max="31" width="1.90625" style="235" bestFit="1" customWidth="1"/>
    <col min="32" max="32" width="5.08984375" style="235" bestFit="1" customWidth="1"/>
    <col min="33" max="33" width="4" style="235" bestFit="1" customWidth="1"/>
    <col min="34" max="34" width="3" style="235" bestFit="1" customWidth="1"/>
    <col min="35" max="35" width="10.08984375" style="235" bestFit="1" customWidth="1"/>
    <col min="36" max="16384" width="8.90625" style="235"/>
  </cols>
  <sheetData>
    <row r="1" spans="1:35">
      <c r="L1" s="249" t="s">
        <v>150</v>
      </c>
      <c r="M1" s="250">
        <v>41414</v>
      </c>
      <c r="O1" s="1295"/>
      <c r="P1" s="1295"/>
    </row>
    <row r="2" spans="1:35">
      <c r="A2" s="1086"/>
      <c r="B2" s="1294" t="s">
        <v>1932</v>
      </c>
      <c r="C2" s="1294"/>
      <c r="D2" s="1294"/>
      <c r="E2" s="1294"/>
      <c r="F2" s="1294"/>
      <c r="G2" s="1294"/>
      <c r="H2" s="1294"/>
      <c r="I2" s="1294"/>
      <c r="J2" s="1294"/>
      <c r="L2" s="251" t="s">
        <v>373</v>
      </c>
      <c r="M2" s="262" t="s">
        <v>152</v>
      </c>
      <c r="N2" s="262" t="s">
        <v>153</v>
      </c>
      <c r="O2" s="262" t="s">
        <v>154</v>
      </c>
      <c r="P2" s="262" t="s">
        <v>155</v>
      </c>
      <c r="Q2" s="262" t="s">
        <v>156</v>
      </c>
      <c r="R2" s="251" t="s">
        <v>166</v>
      </c>
      <c r="S2" s="251" t="s">
        <v>176</v>
      </c>
      <c r="U2" s="263"/>
      <c r="V2" s="804" t="s">
        <v>1524</v>
      </c>
      <c r="W2" s="583" t="s">
        <v>297</v>
      </c>
      <c r="X2" s="243">
        <v>41414</v>
      </c>
      <c r="Y2" s="243">
        <v>41414</v>
      </c>
      <c r="Z2" s="584" t="s">
        <v>206</v>
      </c>
      <c r="AA2" s="589" t="s">
        <v>1392</v>
      </c>
      <c r="AB2" s="805" t="s">
        <v>996</v>
      </c>
      <c r="AC2" s="589">
        <v>477</v>
      </c>
      <c r="AD2" s="583">
        <v>477</v>
      </c>
      <c r="AE2" s="589"/>
      <c r="AF2" s="637" t="s">
        <v>1071</v>
      </c>
      <c r="AG2" s="806">
        <v>6</v>
      </c>
      <c r="AH2" s="806">
        <v>42</v>
      </c>
      <c r="AI2" s="807">
        <v>41425</v>
      </c>
    </row>
    <row r="3" spans="1:35">
      <c r="A3" s="1087" t="s">
        <v>11</v>
      </c>
      <c r="B3" s="1088" t="s">
        <v>182</v>
      </c>
      <c r="C3" s="1089">
        <v>41414</v>
      </c>
      <c r="D3" s="1090">
        <v>41442</v>
      </c>
      <c r="E3" s="1091">
        <v>41477</v>
      </c>
      <c r="F3" s="1091">
        <v>41512</v>
      </c>
      <c r="G3" s="1091">
        <v>41541</v>
      </c>
      <c r="H3" s="1091">
        <v>41556</v>
      </c>
      <c r="I3" s="1091">
        <v>41568</v>
      </c>
      <c r="J3" s="1092" t="s">
        <v>17</v>
      </c>
      <c r="L3" s="252" t="s">
        <v>350</v>
      </c>
      <c r="M3" s="253">
        <v>0.40625</v>
      </c>
      <c r="N3" s="379">
        <v>6.8000000000000005E-2</v>
      </c>
      <c r="O3" s="254">
        <v>10.02</v>
      </c>
      <c r="P3" s="254">
        <v>9.3000000000000007</v>
      </c>
      <c r="Q3" s="545">
        <v>7.77</v>
      </c>
      <c r="R3" s="255">
        <v>1.1000000000000001</v>
      </c>
      <c r="S3" s="256">
        <v>5.72</v>
      </c>
      <c r="U3" s="263"/>
      <c r="V3" s="688" t="s">
        <v>1524</v>
      </c>
      <c r="W3" s="583" t="s">
        <v>297</v>
      </c>
      <c r="X3" s="243">
        <v>41414</v>
      </c>
      <c r="Y3" s="243">
        <v>41414</v>
      </c>
      <c r="Z3" s="589" t="s">
        <v>185</v>
      </c>
      <c r="AA3" s="589" t="s">
        <v>1392</v>
      </c>
      <c r="AB3" s="589" t="s">
        <v>1483</v>
      </c>
      <c r="AC3" s="589">
        <v>46</v>
      </c>
      <c r="AD3" s="583">
        <v>46</v>
      </c>
      <c r="AE3" s="589"/>
      <c r="AF3" s="589" t="s">
        <v>1071</v>
      </c>
      <c r="AG3" s="806">
        <v>2</v>
      </c>
      <c r="AH3" s="806">
        <v>8</v>
      </c>
      <c r="AI3" s="807">
        <v>41416</v>
      </c>
    </row>
    <row r="4" spans="1:35">
      <c r="A4" s="1292" t="s">
        <v>1813</v>
      </c>
      <c r="B4" s="1093" t="s">
        <v>201</v>
      </c>
      <c r="C4" s="1094">
        <v>477</v>
      </c>
      <c r="D4" s="1094">
        <v>243</v>
      </c>
      <c r="E4" s="1094">
        <v>392</v>
      </c>
      <c r="F4" s="1094">
        <v>451</v>
      </c>
      <c r="G4" s="1094">
        <v>401</v>
      </c>
      <c r="H4" s="1094">
        <v>183</v>
      </c>
      <c r="I4" s="1094">
        <v>247</v>
      </c>
      <c r="J4" s="1095">
        <f>AVERAGE(C4:I4)</f>
        <v>342</v>
      </c>
      <c r="K4" s="235">
        <v>1.1000000000000001</v>
      </c>
      <c r="L4" s="252" t="s">
        <v>157</v>
      </c>
      <c r="M4" s="256"/>
      <c r="N4" s="379">
        <v>6.8000000000000005E-2</v>
      </c>
      <c r="O4" s="254">
        <v>10.01</v>
      </c>
      <c r="P4" s="254">
        <v>9</v>
      </c>
      <c r="Q4" s="545">
        <v>7.64</v>
      </c>
      <c r="R4" s="257"/>
      <c r="S4" s="235" t="s">
        <v>405</v>
      </c>
      <c r="T4" s="272">
        <f>AVERAGE(O3:O6)</f>
        <v>9.9450000000000003</v>
      </c>
      <c r="U4" s="263"/>
      <c r="V4" s="688" t="s">
        <v>1524</v>
      </c>
      <c r="W4" s="583" t="s">
        <v>297</v>
      </c>
      <c r="X4" s="243">
        <v>41414</v>
      </c>
      <c r="Y4" s="243">
        <v>41414</v>
      </c>
      <c r="Z4" s="589" t="s">
        <v>245</v>
      </c>
      <c r="AA4" s="589" t="s">
        <v>1392</v>
      </c>
      <c r="AB4" s="589" t="s">
        <v>991</v>
      </c>
      <c r="AC4" s="589">
        <v>34</v>
      </c>
      <c r="AD4" s="808" t="s">
        <v>1521</v>
      </c>
      <c r="AE4" s="589" t="s">
        <v>1419</v>
      </c>
      <c r="AF4" s="637" t="s">
        <v>1071</v>
      </c>
      <c r="AG4" s="809">
        <v>5</v>
      </c>
      <c r="AH4" s="809">
        <v>35</v>
      </c>
      <c r="AI4" s="807">
        <v>41415</v>
      </c>
    </row>
    <row r="5" spans="1:35">
      <c r="A5" s="1292"/>
      <c r="B5" s="1093" t="s">
        <v>185</v>
      </c>
      <c r="C5" s="1094">
        <v>46</v>
      </c>
      <c r="D5" s="1094">
        <v>12</v>
      </c>
      <c r="E5" s="1094">
        <v>35</v>
      </c>
      <c r="F5" s="1094">
        <v>3</v>
      </c>
      <c r="G5" s="1094">
        <v>106</v>
      </c>
      <c r="H5" s="1094">
        <v>118</v>
      </c>
      <c r="I5" s="1094">
        <v>104</v>
      </c>
      <c r="J5" s="1095">
        <f t="shared" ref="J5:J18" si="0">AVERAGE(C5:I5)</f>
        <v>60.571428571428569</v>
      </c>
      <c r="K5" s="235">
        <v>1.5</v>
      </c>
      <c r="L5" s="252" t="s">
        <v>351</v>
      </c>
      <c r="M5" s="256"/>
      <c r="N5" s="379">
        <v>6.8000000000000005E-2</v>
      </c>
      <c r="O5" s="254">
        <v>10.02</v>
      </c>
      <c r="P5" s="254">
        <v>9</v>
      </c>
      <c r="Q5" s="545">
        <v>7.45</v>
      </c>
      <c r="R5" s="257"/>
      <c r="S5" s="235" t="s">
        <v>357</v>
      </c>
      <c r="T5" s="272">
        <f>AVERAGE(P3:P6)</f>
        <v>9.0500000000000007</v>
      </c>
      <c r="U5" s="263"/>
      <c r="V5" s="688" t="s">
        <v>1524</v>
      </c>
      <c r="W5" s="583" t="s">
        <v>297</v>
      </c>
      <c r="X5" s="243">
        <v>41414</v>
      </c>
      <c r="Y5" s="243">
        <v>41414</v>
      </c>
      <c r="Z5" s="589" t="s">
        <v>179</v>
      </c>
      <c r="AA5" s="589" t="s">
        <v>1392</v>
      </c>
      <c r="AB5" s="805" t="s">
        <v>1000</v>
      </c>
      <c r="AC5" s="589">
        <v>31</v>
      </c>
      <c r="AD5" s="583">
        <v>31</v>
      </c>
      <c r="AE5" s="589"/>
      <c r="AF5" s="589" t="s">
        <v>1071</v>
      </c>
      <c r="AG5" s="806">
        <v>2</v>
      </c>
      <c r="AH5" s="806">
        <v>8</v>
      </c>
      <c r="AI5" s="807">
        <v>41425</v>
      </c>
    </row>
    <row r="6" spans="1:35">
      <c r="A6" s="1292"/>
      <c r="B6" s="1096" t="s">
        <v>245</v>
      </c>
      <c r="C6" s="1094">
        <v>34</v>
      </c>
      <c r="D6" s="1094">
        <v>49</v>
      </c>
      <c r="E6" s="1094">
        <v>62</v>
      </c>
      <c r="F6" s="1094">
        <v>50</v>
      </c>
      <c r="G6" s="1094">
        <v>22</v>
      </c>
      <c r="H6" s="1094">
        <v>31</v>
      </c>
      <c r="I6" s="1094">
        <v>7</v>
      </c>
      <c r="J6" s="1095">
        <f t="shared" si="0"/>
        <v>36.428571428571431</v>
      </c>
      <c r="K6" s="235">
        <v>1.4</v>
      </c>
      <c r="L6" s="252" t="s">
        <v>158</v>
      </c>
      <c r="M6" s="256"/>
      <c r="N6" s="379">
        <v>6.8000000000000005E-2</v>
      </c>
      <c r="O6" s="254">
        <v>9.73</v>
      </c>
      <c r="P6" s="254">
        <v>8.9</v>
      </c>
      <c r="Q6" s="545">
        <v>7.47</v>
      </c>
      <c r="R6" s="257"/>
      <c r="S6" s="235" t="s">
        <v>406</v>
      </c>
      <c r="T6" s="272">
        <f>AVERAGE(Q3:Q12)</f>
        <v>7.4369999999999994</v>
      </c>
      <c r="U6" s="263"/>
      <c r="V6" s="688" t="s">
        <v>1524</v>
      </c>
      <c r="W6" s="583" t="s">
        <v>297</v>
      </c>
      <c r="X6" s="243">
        <v>41414</v>
      </c>
      <c r="Y6" s="243">
        <v>41414</v>
      </c>
      <c r="Z6" s="590" t="s">
        <v>180</v>
      </c>
      <c r="AA6" s="589" t="s">
        <v>1392</v>
      </c>
      <c r="AB6" s="805" t="s">
        <v>1000</v>
      </c>
      <c r="AC6" s="591">
        <v>6</v>
      </c>
      <c r="AD6" s="590">
        <v>6</v>
      </c>
      <c r="AE6" s="637" t="s">
        <v>1419</v>
      </c>
      <c r="AF6" s="589" t="s">
        <v>1071</v>
      </c>
      <c r="AG6" s="810">
        <v>2</v>
      </c>
      <c r="AH6" s="810">
        <v>8</v>
      </c>
      <c r="AI6" s="807">
        <v>41425</v>
      </c>
    </row>
    <row r="7" spans="1:35">
      <c r="A7" s="1292"/>
      <c r="B7" s="1093" t="s">
        <v>179</v>
      </c>
      <c r="C7" s="1094">
        <v>31</v>
      </c>
      <c r="D7" s="1094">
        <v>15</v>
      </c>
      <c r="E7" s="1094">
        <v>4</v>
      </c>
      <c r="F7" s="1094">
        <v>26</v>
      </c>
      <c r="G7" s="1094">
        <v>26</v>
      </c>
      <c r="H7" s="1094">
        <v>16</v>
      </c>
      <c r="I7" s="1097">
        <v>2</v>
      </c>
      <c r="J7" s="1095">
        <f t="shared" si="0"/>
        <v>17.142857142857142</v>
      </c>
      <c r="K7" s="235">
        <v>0.8</v>
      </c>
      <c r="L7" s="252" t="s">
        <v>352</v>
      </c>
      <c r="M7" s="256"/>
      <c r="N7" s="379">
        <v>6.8000000000000005E-2</v>
      </c>
      <c r="O7" s="254">
        <v>9.4600000000000009</v>
      </c>
      <c r="P7" s="830">
        <v>8.9</v>
      </c>
      <c r="Q7" s="545">
        <v>7.41</v>
      </c>
      <c r="R7" s="257"/>
      <c r="S7" s="235" t="s">
        <v>407</v>
      </c>
      <c r="T7" s="271">
        <f>AVERAGE(N3:N12)</f>
        <v>6.7999999999999991E-2</v>
      </c>
      <c r="U7" s="263"/>
      <c r="V7" s="688" t="s">
        <v>1524</v>
      </c>
      <c r="W7" s="583" t="s">
        <v>297</v>
      </c>
      <c r="X7" s="243">
        <v>41414</v>
      </c>
      <c r="Y7" s="243">
        <v>41414</v>
      </c>
      <c r="Z7" s="589" t="s">
        <v>184</v>
      </c>
      <c r="AA7" s="589" t="s">
        <v>1392</v>
      </c>
      <c r="AB7" s="589" t="s">
        <v>1471</v>
      </c>
      <c r="AC7" s="592">
        <v>8</v>
      </c>
      <c r="AD7" s="811">
        <v>8</v>
      </c>
      <c r="AE7" s="589"/>
      <c r="AF7" s="589" t="s">
        <v>1096</v>
      </c>
      <c r="AG7" s="806">
        <v>4</v>
      </c>
      <c r="AH7" s="806"/>
      <c r="AI7" s="807">
        <v>41417</v>
      </c>
    </row>
    <row r="8" spans="1:35">
      <c r="A8" s="1292"/>
      <c r="B8" s="1098" t="s">
        <v>180</v>
      </c>
      <c r="C8" s="1099">
        <v>6</v>
      </c>
      <c r="D8" s="1099">
        <v>4</v>
      </c>
      <c r="E8" s="1099">
        <v>2</v>
      </c>
      <c r="F8" s="1099">
        <v>4</v>
      </c>
      <c r="G8" s="1099">
        <v>8</v>
      </c>
      <c r="H8" s="1099">
        <v>2</v>
      </c>
      <c r="I8" s="1099">
        <v>2</v>
      </c>
      <c r="J8" s="1095">
        <f t="shared" si="0"/>
        <v>4</v>
      </c>
      <c r="K8" s="235">
        <v>1</v>
      </c>
      <c r="L8" s="252" t="s">
        <v>159</v>
      </c>
      <c r="M8" s="256"/>
      <c r="N8" s="379">
        <v>6.8000000000000005E-2</v>
      </c>
      <c r="O8" s="254">
        <v>9.77</v>
      </c>
      <c r="P8" s="830">
        <v>8.9</v>
      </c>
      <c r="Q8" s="545">
        <v>7.36</v>
      </c>
      <c r="R8" s="257"/>
      <c r="U8" s="263"/>
      <c r="V8" s="688" t="s">
        <v>1524</v>
      </c>
      <c r="W8" s="583" t="s">
        <v>297</v>
      </c>
      <c r="X8" s="243">
        <v>41414</v>
      </c>
      <c r="Y8" s="243">
        <v>41414</v>
      </c>
      <c r="Z8" s="584" t="s">
        <v>181</v>
      </c>
      <c r="AA8" s="804" t="s">
        <v>1392</v>
      </c>
      <c r="AB8" s="812" t="s">
        <v>1402</v>
      </c>
      <c r="AC8" s="332">
        <v>1.8</v>
      </c>
      <c r="AD8" s="813">
        <v>1.8</v>
      </c>
      <c r="AE8" s="814"/>
      <c r="AF8" s="589" t="s">
        <v>1071</v>
      </c>
      <c r="AG8" s="810">
        <v>0.1</v>
      </c>
      <c r="AH8" s="810"/>
      <c r="AI8" s="807">
        <v>41424</v>
      </c>
    </row>
    <row r="9" spans="1:35">
      <c r="A9" s="1292"/>
      <c r="B9" s="1098" t="s">
        <v>1933</v>
      </c>
      <c r="C9" s="1094">
        <v>8</v>
      </c>
      <c r="D9" s="1094">
        <v>5.4</v>
      </c>
      <c r="E9" s="1094">
        <v>7.4</v>
      </c>
      <c r="F9" s="1094">
        <v>14.4</v>
      </c>
      <c r="G9" s="1094">
        <v>7.6</v>
      </c>
      <c r="H9" s="1094">
        <v>10</v>
      </c>
      <c r="I9" s="1094">
        <v>4</v>
      </c>
      <c r="J9" s="1095">
        <f t="shared" si="0"/>
        <v>8.1142857142857157</v>
      </c>
      <c r="K9" s="235">
        <v>1.5</v>
      </c>
      <c r="L9" s="252" t="s">
        <v>353</v>
      </c>
      <c r="M9" s="256"/>
      <c r="N9" s="379">
        <v>6.8000000000000005E-2</v>
      </c>
      <c r="O9" s="254">
        <v>9.41</v>
      </c>
      <c r="P9" s="830">
        <v>8.9</v>
      </c>
      <c r="Q9" s="545">
        <v>7.33</v>
      </c>
      <c r="R9" s="257"/>
      <c r="U9" s="263"/>
      <c r="V9" s="688" t="s">
        <v>1524</v>
      </c>
      <c r="W9" s="583" t="s">
        <v>297</v>
      </c>
      <c r="X9" s="243">
        <v>41414</v>
      </c>
      <c r="Y9" s="243">
        <v>41414</v>
      </c>
      <c r="Z9" s="584" t="s">
        <v>181</v>
      </c>
      <c r="AA9" s="804" t="s">
        <v>1392</v>
      </c>
      <c r="AB9" s="812" t="s">
        <v>1402</v>
      </c>
      <c r="AC9" s="332">
        <v>1.8</v>
      </c>
      <c r="AD9" s="813">
        <v>1.8</v>
      </c>
      <c r="AE9" s="814"/>
      <c r="AF9" s="589" t="s">
        <v>1071</v>
      </c>
      <c r="AG9" s="810">
        <v>0.1</v>
      </c>
      <c r="AH9" s="810"/>
      <c r="AI9" s="807">
        <v>41424</v>
      </c>
    </row>
    <row r="10" spans="1:35">
      <c r="A10" s="1292"/>
      <c r="B10" s="1096" t="s">
        <v>1934</v>
      </c>
      <c r="C10" s="1094">
        <f>AVERAGE(C11:C12)</f>
        <v>1.8</v>
      </c>
      <c r="D10" s="1094">
        <f t="shared" ref="D10:I10" si="1">AVERAGE(D11:D12)</f>
        <v>4.05</v>
      </c>
      <c r="E10" s="1094">
        <f t="shared" si="1"/>
        <v>7.6999999999999993</v>
      </c>
      <c r="F10" s="1094">
        <f t="shared" si="1"/>
        <v>25.35</v>
      </c>
      <c r="G10" s="1094">
        <f t="shared" si="1"/>
        <v>0.3</v>
      </c>
      <c r="H10" s="1094">
        <f t="shared" si="1"/>
        <v>1.25</v>
      </c>
      <c r="I10" s="1094">
        <f t="shared" si="1"/>
        <v>1.2</v>
      </c>
      <c r="J10" s="1095">
        <f t="shared" si="0"/>
        <v>5.95</v>
      </c>
      <c r="K10" s="235">
        <v>2.6</v>
      </c>
      <c r="L10" s="252" t="s">
        <v>160</v>
      </c>
      <c r="M10" s="256"/>
      <c r="N10" s="379">
        <v>6.8000000000000005E-2</v>
      </c>
      <c r="O10" s="254">
        <v>9.69</v>
      </c>
      <c r="P10" s="830">
        <v>8.9</v>
      </c>
      <c r="Q10" s="545">
        <v>7.35</v>
      </c>
      <c r="R10" s="257"/>
      <c r="U10" s="263"/>
      <c r="V10" s="688"/>
      <c r="W10" s="583"/>
      <c r="X10" s="243"/>
      <c r="Y10" s="243"/>
      <c r="Z10" s="584"/>
      <c r="AA10" s="804"/>
      <c r="AB10" s="812"/>
      <c r="AC10" s="332"/>
      <c r="AD10" s="813"/>
      <c r="AE10" s="814"/>
      <c r="AF10" s="589"/>
      <c r="AG10" s="810"/>
      <c r="AH10" s="810"/>
      <c r="AI10" s="807"/>
    </row>
    <row r="11" spans="1:35">
      <c r="A11" s="1292"/>
      <c r="B11" s="1096" t="s">
        <v>181</v>
      </c>
      <c r="C11" s="1097">
        <v>1.8</v>
      </c>
      <c r="D11" s="1097">
        <v>3.3</v>
      </c>
      <c r="E11" s="1097">
        <v>8.1999999999999993</v>
      </c>
      <c r="F11" s="1097">
        <v>23.6</v>
      </c>
      <c r="G11" s="1097">
        <v>0.3</v>
      </c>
      <c r="H11" s="1097">
        <v>1.9</v>
      </c>
      <c r="I11" s="1097">
        <v>1.5</v>
      </c>
      <c r="J11" s="1095">
        <f t="shared" si="0"/>
        <v>5.7999999999999989</v>
      </c>
      <c r="K11" s="235">
        <f>AVERAGE(K4:K10)</f>
        <v>1.4142857142857144</v>
      </c>
      <c r="L11" s="252" t="s">
        <v>161</v>
      </c>
      <c r="M11" s="256"/>
      <c r="N11" s="830">
        <v>6.7000000000000004E-2</v>
      </c>
      <c r="O11" s="254">
        <v>9.9600000000000009</v>
      </c>
      <c r="P11" s="363">
        <v>8.6999999999999993</v>
      </c>
      <c r="Q11" s="545">
        <v>7.28</v>
      </c>
      <c r="R11" s="257"/>
      <c r="U11" s="263"/>
      <c r="V11" s="804" t="s">
        <v>1525</v>
      </c>
      <c r="W11" s="583" t="s">
        <v>402</v>
      </c>
      <c r="X11" s="243">
        <v>41414</v>
      </c>
      <c r="Y11" s="243">
        <v>41414</v>
      </c>
      <c r="Z11" s="584" t="s">
        <v>206</v>
      </c>
      <c r="AA11" s="589" t="s">
        <v>1392</v>
      </c>
      <c r="AB11" s="805" t="s">
        <v>996</v>
      </c>
      <c r="AC11" s="589">
        <v>446</v>
      </c>
      <c r="AD11" s="583">
        <v>446</v>
      </c>
      <c r="AE11" s="589"/>
      <c r="AF11" s="637" t="s">
        <v>1071</v>
      </c>
      <c r="AG11" s="806">
        <v>6</v>
      </c>
      <c r="AH11" s="806">
        <v>42</v>
      </c>
      <c r="AI11" s="807">
        <v>41425</v>
      </c>
    </row>
    <row r="12" spans="1:35">
      <c r="A12" s="1292"/>
      <c r="B12" s="1096" t="s">
        <v>181</v>
      </c>
      <c r="C12" s="1097">
        <v>1.8</v>
      </c>
      <c r="D12" s="1097">
        <v>4.8</v>
      </c>
      <c r="E12" s="1097">
        <v>7.2</v>
      </c>
      <c r="F12" s="1097">
        <v>27.1</v>
      </c>
      <c r="G12" s="1097">
        <v>0.3</v>
      </c>
      <c r="H12" s="1097">
        <v>0.6</v>
      </c>
      <c r="I12" s="1097">
        <v>0.9</v>
      </c>
      <c r="J12" s="1095">
        <f t="shared" si="0"/>
        <v>6.1000000000000005</v>
      </c>
      <c r="L12" s="252" t="s">
        <v>162</v>
      </c>
      <c r="M12" s="256"/>
      <c r="N12" s="363">
        <v>6.9000000000000006E-2</v>
      </c>
      <c r="O12" s="258">
        <v>9.73</v>
      </c>
      <c r="P12" s="363">
        <v>8.6</v>
      </c>
      <c r="Q12" s="866">
        <v>7.31</v>
      </c>
      <c r="R12" s="257"/>
      <c r="U12" s="263"/>
      <c r="V12" s="688" t="s">
        <v>1525</v>
      </c>
      <c r="W12" s="583" t="s">
        <v>402</v>
      </c>
      <c r="X12" s="243">
        <v>41414</v>
      </c>
      <c r="Y12" s="243">
        <v>41414</v>
      </c>
      <c r="Z12" s="589" t="s">
        <v>185</v>
      </c>
      <c r="AA12" s="589" t="s">
        <v>1392</v>
      </c>
      <c r="AB12" s="589" t="s">
        <v>1483</v>
      </c>
      <c r="AC12" s="589">
        <v>44</v>
      </c>
      <c r="AD12" s="583">
        <v>44</v>
      </c>
      <c r="AE12" s="589"/>
      <c r="AF12" s="589" t="s">
        <v>1071</v>
      </c>
      <c r="AG12" s="806">
        <v>2</v>
      </c>
      <c r="AH12" s="806">
        <v>8</v>
      </c>
      <c r="AI12" s="807">
        <v>41416</v>
      </c>
    </row>
    <row r="13" spans="1:35">
      <c r="A13" s="1292" t="s">
        <v>1814</v>
      </c>
      <c r="B13" s="1093" t="s">
        <v>201</v>
      </c>
      <c r="C13" s="1094">
        <v>446</v>
      </c>
      <c r="D13" s="1094">
        <v>253</v>
      </c>
      <c r="E13" s="1094">
        <v>422</v>
      </c>
      <c r="F13" s="1094">
        <v>253</v>
      </c>
      <c r="G13" s="1094">
        <v>382</v>
      </c>
      <c r="H13" s="1094">
        <v>186</v>
      </c>
      <c r="I13" s="1094">
        <v>224</v>
      </c>
      <c r="J13" s="1095">
        <f t="shared" si="0"/>
        <v>309.42857142857144</v>
      </c>
      <c r="V13" s="688" t="s">
        <v>1525</v>
      </c>
      <c r="W13" s="583" t="s">
        <v>402</v>
      </c>
      <c r="X13" s="243">
        <v>41414</v>
      </c>
      <c r="Y13" s="243">
        <v>41414</v>
      </c>
      <c r="Z13" s="589" t="s">
        <v>245</v>
      </c>
      <c r="AA13" s="589" t="s">
        <v>1392</v>
      </c>
      <c r="AB13" s="589" t="s">
        <v>991</v>
      </c>
      <c r="AC13" s="589">
        <v>47</v>
      </c>
      <c r="AD13" s="808" t="s">
        <v>1526</v>
      </c>
      <c r="AE13" s="589"/>
      <c r="AF13" s="637" t="s">
        <v>1071</v>
      </c>
      <c r="AG13" s="809">
        <v>5</v>
      </c>
      <c r="AH13" s="809">
        <v>35</v>
      </c>
      <c r="AI13" s="807">
        <v>41415</v>
      </c>
    </row>
    <row r="14" spans="1:35">
      <c r="A14" s="1292"/>
      <c r="B14" s="1093" t="s">
        <v>185</v>
      </c>
      <c r="C14" s="1094">
        <v>44</v>
      </c>
      <c r="D14" s="1094">
        <v>10</v>
      </c>
      <c r="E14" s="1094">
        <v>29</v>
      </c>
      <c r="F14" s="1094">
        <v>4</v>
      </c>
      <c r="G14" s="1094">
        <v>106</v>
      </c>
      <c r="H14" s="1094">
        <v>114</v>
      </c>
      <c r="I14" s="1094">
        <v>104</v>
      </c>
      <c r="J14" s="1095">
        <f t="shared" si="0"/>
        <v>58.714285714285715</v>
      </c>
      <c r="L14" s="259" t="s">
        <v>150</v>
      </c>
      <c r="M14" s="260">
        <v>41442</v>
      </c>
      <c r="V14" s="688" t="s">
        <v>1525</v>
      </c>
      <c r="W14" s="583" t="s">
        <v>402</v>
      </c>
      <c r="X14" s="243">
        <v>41414</v>
      </c>
      <c r="Y14" s="243">
        <v>41414</v>
      </c>
      <c r="Z14" s="589" t="s">
        <v>179</v>
      </c>
      <c r="AA14" s="589" t="s">
        <v>1392</v>
      </c>
      <c r="AB14" s="805" t="s">
        <v>1000</v>
      </c>
      <c r="AC14" s="589">
        <v>21</v>
      </c>
      <c r="AD14" s="583">
        <v>21</v>
      </c>
      <c r="AE14" s="589"/>
      <c r="AF14" s="589" t="s">
        <v>1071</v>
      </c>
      <c r="AG14" s="806">
        <v>2</v>
      </c>
      <c r="AH14" s="806">
        <v>8</v>
      </c>
      <c r="AI14" s="807">
        <v>41425</v>
      </c>
    </row>
    <row r="15" spans="1:35">
      <c r="A15" s="1292"/>
      <c r="B15" s="1096" t="s">
        <v>245</v>
      </c>
      <c r="C15" s="1094">
        <v>47</v>
      </c>
      <c r="D15" s="1094">
        <v>56</v>
      </c>
      <c r="E15" s="1094">
        <v>64</v>
      </c>
      <c r="F15" s="1094">
        <v>45</v>
      </c>
      <c r="G15" s="1094">
        <v>21</v>
      </c>
      <c r="H15" s="1094">
        <v>28</v>
      </c>
      <c r="I15" s="1094">
        <v>9</v>
      </c>
      <c r="J15" s="1095">
        <f t="shared" si="0"/>
        <v>38.571428571428569</v>
      </c>
      <c r="L15" s="251" t="s">
        <v>373</v>
      </c>
      <c r="M15" s="262" t="s">
        <v>152</v>
      </c>
      <c r="N15" s="262" t="s">
        <v>153</v>
      </c>
      <c r="O15" s="262" t="s">
        <v>154</v>
      </c>
      <c r="P15" s="262" t="s">
        <v>155</v>
      </c>
      <c r="Q15" s="262" t="s">
        <v>156</v>
      </c>
      <c r="R15" s="251" t="s">
        <v>166</v>
      </c>
      <c r="S15" s="251" t="s">
        <v>176</v>
      </c>
      <c r="V15" s="688" t="s">
        <v>1525</v>
      </c>
      <c r="W15" s="583" t="s">
        <v>402</v>
      </c>
      <c r="X15" s="243">
        <v>41414</v>
      </c>
      <c r="Y15" s="243">
        <v>41414</v>
      </c>
      <c r="Z15" s="590" t="s">
        <v>180</v>
      </c>
      <c r="AA15" s="589" t="s">
        <v>1392</v>
      </c>
      <c r="AB15" s="805" t="s">
        <v>1000</v>
      </c>
      <c r="AC15" s="591">
        <v>10</v>
      </c>
      <c r="AD15" s="590">
        <v>10</v>
      </c>
      <c r="AE15" s="637"/>
      <c r="AF15" s="589" t="s">
        <v>1071</v>
      </c>
      <c r="AG15" s="810">
        <v>2</v>
      </c>
      <c r="AH15" s="810">
        <v>8</v>
      </c>
      <c r="AI15" s="807">
        <v>41425</v>
      </c>
    </row>
    <row r="16" spans="1:35">
      <c r="A16" s="1292"/>
      <c r="B16" s="1093" t="s">
        <v>179</v>
      </c>
      <c r="C16" s="1094">
        <v>21</v>
      </c>
      <c r="D16" s="1094">
        <v>20</v>
      </c>
      <c r="E16" s="1094">
        <v>3</v>
      </c>
      <c r="F16" s="1094">
        <v>26</v>
      </c>
      <c r="G16" s="1094">
        <v>31</v>
      </c>
      <c r="H16" s="1094">
        <v>43</v>
      </c>
      <c r="I16" s="1094">
        <v>2</v>
      </c>
      <c r="J16" s="1095">
        <f t="shared" si="0"/>
        <v>20.857142857142858</v>
      </c>
      <c r="L16" s="252" t="s">
        <v>350</v>
      </c>
      <c r="M16" s="253">
        <v>0.40763888888888888</v>
      </c>
      <c r="N16" s="379">
        <v>5.6000000000000001E-2</v>
      </c>
      <c r="O16" s="545">
        <v>9.4499999999999993</v>
      </c>
      <c r="P16" s="254">
        <v>15.9</v>
      </c>
      <c r="Q16" s="545">
        <v>8.33</v>
      </c>
      <c r="R16" s="255">
        <v>1.47</v>
      </c>
      <c r="S16" s="256">
        <v>5.54</v>
      </c>
      <c r="V16" s="688" t="s">
        <v>1525</v>
      </c>
      <c r="W16" s="583" t="s">
        <v>402</v>
      </c>
      <c r="X16" s="243">
        <v>41414</v>
      </c>
      <c r="Y16" s="243">
        <v>41414</v>
      </c>
      <c r="Z16" s="589" t="s">
        <v>184</v>
      </c>
      <c r="AA16" s="589" t="s">
        <v>1392</v>
      </c>
      <c r="AB16" s="589" t="s">
        <v>1471</v>
      </c>
      <c r="AC16" s="592">
        <v>10.199999999999999</v>
      </c>
      <c r="AD16" s="811">
        <v>10.199999999999999</v>
      </c>
      <c r="AE16" s="589"/>
      <c r="AF16" s="589" t="s">
        <v>1096</v>
      </c>
      <c r="AG16" s="806">
        <v>4</v>
      </c>
      <c r="AH16" s="806"/>
      <c r="AI16" s="807">
        <v>41417</v>
      </c>
    </row>
    <row r="17" spans="1:35">
      <c r="A17" s="1292"/>
      <c r="B17" s="1098" t="s">
        <v>180</v>
      </c>
      <c r="C17" s="1099">
        <v>10</v>
      </c>
      <c r="D17" s="1099">
        <v>3</v>
      </c>
      <c r="E17" s="1099">
        <v>2</v>
      </c>
      <c r="F17" s="1099">
        <v>5</v>
      </c>
      <c r="G17" s="1099">
        <v>8</v>
      </c>
      <c r="H17" s="1099">
        <v>2</v>
      </c>
      <c r="I17" s="1099">
        <v>6</v>
      </c>
      <c r="J17" s="1095">
        <f t="shared" si="0"/>
        <v>5.1428571428571432</v>
      </c>
      <c r="L17" s="252" t="s">
        <v>157</v>
      </c>
      <c r="M17" s="256"/>
      <c r="N17" s="379">
        <v>5.6000000000000001E-2</v>
      </c>
      <c r="O17" s="867">
        <v>8.98</v>
      </c>
      <c r="P17" s="256">
        <v>15.8</v>
      </c>
      <c r="Q17" s="867">
        <v>8.2799999999999994</v>
      </c>
      <c r="R17" s="257"/>
      <c r="S17" s="235" t="s">
        <v>405</v>
      </c>
      <c r="T17" s="272">
        <f>AVERAGE(O16:O20)</f>
        <v>9.032</v>
      </c>
      <c r="X17" s="58"/>
      <c r="Y17" s="58"/>
      <c r="Z17" s="58"/>
      <c r="AA17" s="308"/>
    </row>
    <row r="18" spans="1:35">
      <c r="A18" s="1292"/>
      <c r="B18" s="1098" t="s">
        <v>184</v>
      </c>
      <c r="C18" s="1100">
        <v>10.199999999999999</v>
      </c>
      <c r="D18" s="1100">
        <v>8.4</v>
      </c>
      <c r="E18" s="1100">
        <v>8</v>
      </c>
      <c r="F18" s="1100">
        <v>15.2</v>
      </c>
      <c r="G18" s="1100">
        <v>12.8</v>
      </c>
      <c r="H18" s="1100">
        <v>26.2</v>
      </c>
      <c r="I18" s="1100">
        <v>4</v>
      </c>
      <c r="J18" s="1095">
        <f t="shared" si="0"/>
        <v>12.114285714285714</v>
      </c>
      <c r="L18" s="252" t="s">
        <v>351</v>
      </c>
      <c r="M18" s="256"/>
      <c r="N18" s="379">
        <v>5.6000000000000001E-2</v>
      </c>
      <c r="O18" s="545">
        <v>9.0299999999999994</v>
      </c>
      <c r="P18" s="254">
        <v>15.7</v>
      </c>
      <c r="Q18" s="545">
        <v>8.11</v>
      </c>
      <c r="R18" s="257"/>
      <c r="S18" s="235" t="s">
        <v>357</v>
      </c>
      <c r="T18" s="272">
        <f>AVERAGE(P16:P20)</f>
        <v>15.760000000000002</v>
      </c>
      <c r="V18" s="804" t="s">
        <v>1566</v>
      </c>
      <c r="W18" s="583" t="s">
        <v>297</v>
      </c>
      <c r="X18" s="243">
        <v>41442</v>
      </c>
      <c r="Y18" s="243">
        <v>41442</v>
      </c>
      <c r="Z18" s="584" t="s">
        <v>206</v>
      </c>
      <c r="AA18" s="589" t="s">
        <v>1392</v>
      </c>
      <c r="AB18" s="805" t="s">
        <v>996</v>
      </c>
      <c r="AC18" s="589">
        <v>243</v>
      </c>
      <c r="AD18" s="583">
        <v>243</v>
      </c>
      <c r="AE18" s="589"/>
      <c r="AF18" s="637" t="s">
        <v>1071</v>
      </c>
      <c r="AG18" s="806">
        <v>6</v>
      </c>
      <c r="AH18" s="806">
        <v>42</v>
      </c>
      <c r="AI18" s="807">
        <v>41445</v>
      </c>
    </row>
    <row r="19" spans="1:35">
      <c r="A19" s="1086"/>
      <c r="B19" s="1101" t="s">
        <v>1016</v>
      </c>
      <c r="C19" s="1092">
        <v>41414</v>
      </c>
      <c r="D19" s="1102">
        <v>41442</v>
      </c>
      <c r="E19" s="1103">
        <v>41477</v>
      </c>
      <c r="F19" s="1103">
        <v>41512</v>
      </c>
      <c r="G19" s="1103">
        <v>41541</v>
      </c>
      <c r="H19" s="1103">
        <v>41556</v>
      </c>
      <c r="I19" s="1103">
        <v>41568</v>
      </c>
      <c r="J19" s="1104"/>
      <c r="K19" s="85"/>
      <c r="L19" s="252" t="s">
        <v>158</v>
      </c>
      <c r="M19" s="256"/>
      <c r="N19" s="379">
        <v>5.6000000000000001E-2</v>
      </c>
      <c r="O19" s="545">
        <v>8.7200000000000006</v>
      </c>
      <c r="P19" s="830">
        <v>15.7</v>
      </c>
      <c r="Q19" s="545">
        <v>8.0500000000000007</v>
      </c>
      <c r="R19" s="257"/>
      <c r="S19" s="235" t="s">
        <v>406</v>
      </c>
      <c r="T19" s="272">
        <f>AVERAGE(Q16:Q25)</f>
        <v>8.0299999999999994</v>
      </c>
      <c r="V19" s="688" t="s">
        <v>1566</v>
      </c>
      <c r="W19" s="583" t="s">
        <v>297</v>
      </c>
      <c r="X19" s="243">
        <v>41442</v>
      </c>
      <c r="Y19" s="243">
        <v>41442</v>
      </c>
      <c r="Z19" s="589" t="s">
        <v>185</v>
      </c>
      <c r="AA19" s="589" t="s">
        <v>1392</v>
      </c>
      <c r="AB19" s="589" t="s">
        <v>1483</v>
      </c>
      <c r="AC19" s="589">
        <v>12</v>
      </c>
      <c r="AD19" s="583">
        <v>12</v>
      </c>
      <c r="AE19" s="589"/>
      <c r="AF19" s="589" t="s">
        <v>1071</v>
      </c>
      <c r="AG19" s="806">
        <v>2</v>
      </c>
      <c r="AH19" s="806">
        <v>8</v>
      </c>
      <c r="AI19" s="807">
        <v>41444</v>
      </c>
    </row>
    <row r="20" spans="1:35">
      <c r="A20" s="1293" t="s">
        <v>106</v>
      </c>
      <c r="B20" s="1105" t="s">
        <v>1017</v>
      </c>
      <c r="C20" s="1106">
        <f>T4</f>
        <v>9.9450000000000003</v>
      </c>
      <c r="D20" s="1106">
        <f>T17</f>
        <v>9.032</v>
      </c>
      <c r="E20" s="1106">
        <f>T29</f>
        <v>6.392500000000001</v>
      </c>
      <c r="F20" s="1106">
        <f>T41</f>
        <v>7.8</v>
      </c>
      <c r="G20" s="1106">
        <f>T53</f>
        <v>10.1675</v>
      </c>
      <c r="H20" s="1106">
        <f>T65</f>
        <v>8.6885763888888885</v>
      </c>
      <c r="I20" s="1106">
        <f>T77</f>
        <v>12.112500000000001</v>
      </c>
      <c r="J20" s="1107"/>
      <c r="K20" s="85"/>
      <c r="L20" s="252" t="s">
        <v>352</v>
      </c>
      <c r="M20" s="256"/>
      <c r="N20" s="379">
        <v>5.6000000000000001E-2</v>
      </c>
      <c r="O20" s="545">
        <v>8.98</v>
      </c>
      <c r="P20" s="830">
        <v>15.7</v>
      </c>
      <c r="Q20" s="545">
        <v>8.06</v>
      </c>
      <c r="R20" s="257"/>
      <c r="S20" s="235" t="s">
        <v>407</v>
      </c>
      <c r="T20" s="271">
        <f>AVERAGE(N16:N25)</f>
        <v>5.6000000000000008E-2</v>
      </c>
      <c r="U20" s="265"/>
      <c r="V20" s="688" t="s">
        <v>1566</v>
      </c>
      <c r="W20" s="583" t="s">
        <v>297</v>
      </c>
      <c r="X20" s="243">
        <v>41442</v>
      </c>
      <c r="Y20" s="243">
        <v>41442</v>
      </c>
      <c r="Z20" s="589" t="s">
        <v>245</v>
      </c>
      <c r="AA20" s="589" t="s">
        <v>1392</v>
      </c>
      <c r="AB20" s="589" t="s">
        <v>991</v>
      </c>
      <c r="AC20" s="589">
        <v>49</v>
      </c>
      <c r="AD20" s="808" t="s">
        <v>1498</v>
      </c>
      <c r="AE20" s="589"/>
      <c r="AF20" s="637" t="s">
        <v>1071</v>
      </c>
      <c r="AG20" s="809">
        <v>5</v>
      </c>
      <c r="AH20" s="809">
        <v>35</v>
      </c>
      <c r="AI20" s="807">
        <v>41446</v>
      </c>
    </row>
    <row r="21" spans="1:35">
      <c r="A21" s="1293"/>
      <c r="B21" s="1105" t="s">
        <v>1019</v>
      </c>
      <c r="C21" s="1106">
        <f>T5</f>
        <v>9.0500000000000007</v>
      </c>
      <c r="D21" s="1106">
        <f>T18</f>
        <v>15.760000000000002</v>
      </c>
      <c r="E21" s="1106">
        <f>T30</f>
        <v>19.975000000000001</v>
      </c>
      <c r="F21" s="1106">
        <f>T42</f>
        <v>16.414999999999999</v>
      </c>
      <c r="G21" s="1106">
        <f>T54</f>
        <v>8.1750000000000007</v>
      </c>
      <c r="H21" s="1106">
        <f>T66</f>
        <v>6.5250000000000004</v>
      </c>
      <c r="I21" s="1106">
        <f>T78</f>
        <v>3.1500000000000004</v>
      </c>
      <c r="J21" s="1107"/>
      <c r="K21" s="85"/>
      <c r="L21" s="252" t="s">
        <v>159</v>
      </c>
      <c r="M21" s="256"/>
      <c r="N21" s="379">
        <v>5.6000000000000001E-2</v>
      </c>
      <c r="O21" s="545">
        <v>8.56</v>
      </c>
      <c r="P21" s="830">
        <v>15.7</v>
      </c>
      <c r="Q21" s="545">
        <v>7.98</v>
      </c>
      <c r="R21" s="257"/>
      <c r="T21" s="267"/>
      <c r="V21" s="688" t="s">
        <v>1566</v>
      </c>
      <c r="W21" s="583" t="s">
        <v>297</v>
      </c>
      <c r="X21" s="243">
        <v>41442</v>
      </c>
      <c r="Y21" s="243">
        <v>41442</v>
      </c>
      <c r="Z21" s="589" t="s">
        <v>179</v>
      </c>
      <c r="AA21" s="589" t="s">
        <v>1392</v>
      </c>
      <c r="AB21" s="805" t="s">
        <v>1000</v>
      </c>
      <c r="AC21" s="589">
        <v>15</v>
      </c>
      <c r="AD21" s="583">
        <v>15</v>
      </c>
      <c r="AE21" s="589"/>
      <c r="AF21" s="589" t="s">
        <v>1071</v>
      </c>
      <c r="AG21" s="806">
        <v>2</v>
      </c>
      <c r="AH21" s="806">
        <v>8</v>
      </c>
      <c r="AI21" s="807">
        <v>41445</v>
      </c>
    </row>
    <row r="22" spans="1:35">
      <c r="A22" s="1293"/>
      <c r="B22" s="1105" t="s">
        <v>1018</v>
      </c>
      <c r="C22" s="1106">
        <f>T6</f>
        <v>7.4369999999999994</v>
      </c>
      <c r="D22" s="1106">
        <f>T19</f>
        <v>8.0299999999999994</v>
      </c>
      <c r="E22" s="1106">
        <f>T31</f>
        <v>8.0560000000000009</v>
      </c>
      <c r="F22" s="1106">
        <f>T43</f>
        <v>7.738999999999999</v>
      </c>
      <c r="G22" s="1106">
        <f>T55</f>
        <v>8.0800000000000018</v>
      </c>
      <c r="H22" s="1106">
        <f>T67</f>
        <v>8.109</v>
      </c>
      <c r="I22" s="1106">
        <f>T79</f>
        <v>7.9730000000000008</v>
      </c>
      <c r="J22" s="1107"/>
      <c r="K22" s="85"/>
      <c r="L22" s="252" t="s">
        <v>353</v>
      </c>
      <c r="M22" s="256"/>
      <c r="N22" s="379">
        <v>5.6000000000000001E-2</v>
      </c>
      <c r="O22" s="545">
        <v>8.91</v>
      </c>
      <c r="P22" s="363">
        <v>15.6</v>
      </c>
      <c r="Q22" s="545">
        <v>7.94</v>
      </c>
      <c r="R22" s="257"/>
      <c r="V22" s="688" t="s">
        <v>1566</v>
      </c>
      <c r="W22" s="583" t="s">
        <v>297</v>
      </c>
      <c r="X22" s="243">
        <v>41442</v>
      </c>
      <c r="Y22" s="243">
        <v>41442</v>
      </c>
      <c r="Z22" s="590" t="s">
        <v>180</v>
      </c>
      <c r="AA22" s="589" t="s">
        <v>1392</v>
      </c>
      <c r="AB22" s="805" t="s">
        <v>1000</v>
      </c>
      <c r="AC22" s="591">
        <v>4</v>
      </c>
      <c r="AD22" s="590">
        <v>4</v>
      </c>
      <c r="AE22" s="637" t="s">
        <v>1419</v>
      </c>
      <c r="AF22" s="589" t="s">
        <v>1071</v>
      </c>
      <c r="AG22" s="810">
        <v>2</v>
      </c>
      <c r="AH22" s="810">
        <v>8</v>
      </c>
      <c r="AI22" s="807">
        <v>41445</v>
      </c>
    </row>
    <row r="23" spans="1:35">
      <c r="A23" s="1293"/>
      <c r="B23" s="1105" t="s">
        <v>1020</v>
      </c>
      <c r="C23" s="1108">
        <f>T7</f>
        <v>6.7999999999999991E-2</v>
      </c>
      <c r="D23" s="1108">
        <f>T20</f>
        <v>5.6000000000000008E-2</v>
      </c>
      <c r="E23" s="1108">
        <f>T32</f>
        <v>6.3100000000000003E-2</v>
      </c>
      <c r="F23" s="1108">
        <f>T44</f>
        <v>6.3899999999999998E-2</v>
      </c>
      <c r="G23" s="1108">
        <f>T56</f>
        <v>8.2400000000000001E-2</v>
      </c>
      <c r="H23" s="1108">
        <f>T68</f>
        <v>8.3099999999999979E-2</v>
      </c>
      <c r="I23" s="1108">
        <f>T80</f>
        <v>8.4999999999999992E-2</v>
      </c>
      <c r="J23" s="1109"/>
      <c r="K23" s="85"/>
      <c r="L23" s="252" t="s">
        <v>160</v>
      </c>
      <c r="M23" s="256"/>
      <c r="N23" s="379">
        <v>5.6000000000000001E-2</v>
      </c>
      <c r="O23" s="545">
        <v>8.69</v>
      </c>
      <c r="P23" s="254">
        <v>15.6</v>
      </c>
      <c r="Q23" s="545">
        <v>7.88</v>
      </c>
      <c r="R23" s="257"/>
      <c r="V23" s="688" t="s">
        <v>1566</v>
      </c>
      <c r="W23" s="583" t="s">
        <v>297</v>
      </c>
      <c r="X23" s="243">
        <v>41442</v>
      </c>
      <c r="Y23" s="243">
        <v>41442</v>
      </c>
      <c r="Z23" s="589" t="s">
        <v>184</v>
      </c>
      <c r="AA23" s="589" t="s">
        <v>1392</v>
      </c>
      <c r="AB23" s="589" t="s">
        <v>1471</v>
      </c>
      <c r="AC23" s="592">
        <v>5.4</v>
      </c>
      <c r="AD23" s="811">
        <v>5.4</v>
      </c>
      <c r="AE23" s="589"/>
      <c r="AF23" s="589" t="s">
        <v>1096</v>
      </c>
      <c r="AG23" s="806">
        <v>4</v>
      </c>
      <c r="AH23" s="806"/>
      <c r="AI23" s="807">
        <v>41449</v>
      </c>
    </row>
    <row r="24" spans="1:35">
      <c r="A24" s="1110"/>
      <c r="B24" s="1093" t="s">
        <v>1815</v>
      </c>
      <c r="C24" s="1110">
        <v>74</v>
      </c>
      <c r="D24" s="1110">
        <v>30</v>
      </c>
      <c r="E24" s="1110">
        <v>26</v>
      </c>
      <c r="F24" s="1110">
        <v>37</v>
      </c>
      <c r="G24" s="1110">
        <v>264</v>
      </c>
      <c r="H24" s="1110">
        <v>93</v>
      </c>
      <c r="I24" s="1110">
        <v>62</v>
      </c>
      <c r="J24" s="1111"/>
      <c r="K24" s="85"/>
      <c r="L24" s="252" t="s">
        <v>161</v>
      </c>
      <c r="M24" s="256"/>
      <c r="N24" s="379">
        <v>5.6000000000000001E-2</v>
      </c>
      <c r="O24" s="545">
        <v>8.41</v>
      </c>
      <c r="P24" s="254">
        <v>15.3</v>
      </c>
      <c r="Q24" s="545">
        <v>7.83</v>
      </c>
      <c r="R24" s="257"/>
      <c r="V24" s="688" t="s">
        <v>1566</v>
      </c>
      <c r="W24" s="583" t="s">
        <v>297</v>
      </c>
      <c r="X24" s="243">
        <v>41442</v>
      </c>
      <c r="Y24" s="243">
        <v>41442</v>
      </c>
      <c r="Z24" s="584" t="s">
        <v>181</v>
      </c>
      <c r="AA24" s="804" t="s">
        <v>1392</v>
      </c>
      <c r="AB24" s="812" t="s">
        <v>1402</v>
      </c>
      <c r="AC24" s="332">
        <v>3.3</v>
      </c>
      <c r="AD24" s="813">
        <v>3.3</v>
      </c>
      <c r="AE24" s="814"/>
      <c r="AF24" s="589" t="s">
        <v>1071</v>
      </c>
      <c r="AG24" s="810">
        <v>0.1</v>
      </c>
      <c r="AH24" s="810"/>
      <c r="AI24" s="807">
        <v>41457</v>
      </c>
    </row>
    <row r="25" spans="1:35">
      <c r="K25" s="85"/>
      <c r="L25" s="252" t="s">
        <v>162</v>
      </c>
      <c r="M25" s="256"/>
      <c r="N25" s="379">
        <v>5.6000000000000001E-2</v>
      </c>
      <c r="O25" s="867">
        <v>8.5399999999999991</v>
      </c>
      <c r="P25" s="256">
        <v>14.9</v>
      </c>
      <c r="Q25" s="867">
        <v>7.84</v>
      </c>
      <c r="V25" s="688" t="s">
        <v>1566</v>
      </c>
      <c r="W25" s="583" t="s">
        <v>297</v>
      </c>
      <c r="X25" s="243">
        <v>41442</v>
      </c>
      <c r="Y25" s="243">
        <v>41442</v>
      </c>
      <c r="Z25" s="584" t="s">
        <v>181</v>
      </c>
      <c r="AA25" s="804" t="s">
        <v>1392</v>
      </c>
      <c r="AB25" s="812" t="s">
        <v>1402</v>
      </c>
      <c r="AC25" s="332">
        <v>4.8</v>
      </c>
      <c r="AD25" s="813">
        <v>4.8</v>
      </c>
      <c r="AE25" s="814"/>
      <c r="AF25" s="589" t="s">
        <v>1071</v>
      </c>
      <c r="AG25" s="810">
        <v>0.1</v>
      </c>
      <c r="AH25" s="810"/>
      <c r="AI25" s="807">
        <v>41457</v>
      </c>
    </row>
    <row r="26" spans="1:35">
      <c r="K26" s="85"/>
      <c r="L26" s="261" t="s">
        <v>150</v>
      </c>
      <c r="M26" s="250">
        <v>41477</v>
      </c>
      <c r="V26" s="804" t="s">
        <v>1567</v>
      </c>
      <c r="W26" s="583" t="s">
        <v>402</v>
      </c>
      <c r="X26" s="243">
        <v>41442</v>
      </c>
      <c r="Y26" s="243">
        <v>41442</v>
      </c>
      <c r="Z26" s="584" t="s">
        <v>206</v>
      </c>
      <c r="AA26" s="589" t="s">
        <v>1392</v>
      </c>
      <c r="AB26" s="805" t="s">
        <v>996</v>
      </c>
      <c r="AC26" s="589">
        <v>253</v>
      </c>
      <c r="AD26" s="583">
        <v>253</v>
      </c>
      <c r="AE26" s="589"/>
      <c r="AF26" s="637" t="s">
        <v>1071</v>
      </c>
      <c r="AG26" s="806">
        <v>6</v>
      </c>
      <c r="AH26" s="806">
        <v>42</v>
      </c>
      <c r="AI26" s="807">
        <v>41445</v>
      </c>
    </row>
    <row r="27" spans="1:35">
      <c r="K27" s="85"/>
      <c r="L27" s="251" t="s">
        <v>373</v>
      </c>
      <c r="M27" s="262" t="s">
        <v>152</v>
      </c>
      <c r="N27" s="262" t="s">
        <v>153</v>
      </c>
      <c r="O27" s="262" t="s">
        <v>154</v>
      </c>
      <c r="P27" s="262" t="s">
        <v>155</v>
      </c>
      <c r="Q27" s="262" t="s">
        <v>156</v>
      </c>
      <c r="R27" s="251" t="s">
        <v>166</v>
      </c>
      <c r="S27" s="251" t="s">
        <v>176</v>
      </c>
      <c r="V27" s="688" t="s">
        <v>1567</v>
      </c>
      <c r="W27" s="583" t="s">
        <v>402</v>
      </c>
      <c r="X27" s="243">
        <v>41442</v>
      </c>
      <c r="Y27" s="243">
        <v>41442</v>
      </c>
      <c r="Z27" s="589" t="s">
        <v>185</v>
      </c>
      <c r="AA27" s="589" t="s">
        <v>1392</v>
      </c>
      <c r="AB27" s="589" t="s">
        <v>1483</v>
      </c>
      <c r="AC27" s="589">
        <v>10</v>
      </c>
      <c r="AD27" s="583">
        <v>10</v>
      </c>
      <c r="AE27" s="589"/>
      <c r="AF27" s="589" t="s">
        <v>1071</v>
      </c>
      <c r="AG27" s="806">
        <v>2</v>
      </c>
      <c r="AH27" s="806">
        <v>8</v>
      </c>
      <c r="AI27" s="807">
        <v>41444</v>
      </c>
    </row>
    <row r="28" spans="1:35">
      <c r="K28" s="85"/>
      <c r="L28" s="252" t="s">
        <v>350</v>
      </c>
      <c r="M28" s="253">
        <v>0.42708333333333331</v>
      </c>
      <c r="N28" s="379">
        <v>6.3E-2</v>
      </c>
      <c r="O28" s="545">
        <v>6.52</v>
      </c>
      <c r="P28" s="254">
        <v>20.100000000000001</v>
      </c>
      <c r="Q28" s="545">
        <v>8.57</v>
      </c>
      <c r="R28" s="255">
        <v>1.42</v>
      </c>
      <c r="S28" s="256">
        <v>5.75</v>
      </c>
      <c r="V28" s="688" t="s">
        <v>1567</v>
      </c>
      <c r="W28" s="583" t="s">
        <v>402</v>
      </c>
      <c r="X28" s="243">
        <v>41442</v>
      </c>
      <c r="Y28" s="243">
        <v>41442</v>
      </c>
      <c r="Z28" s="589" t="s">
        <v>245</v>
      </c>
      <c r="AA28" s="589" t="s">
        <v>1392</v>
      </c>
      <c r="AB28" s="589" t="s">
        <v>991</v>
      </c>
      <c r="AC28" s="589">
        <v>56</v>
      </c>
      <c r="AD28" s="808" t="s">
        <v>1568</v>
      </c>
      <c r="AE28" s="589"/>
      <c r="AF28" s="637" t="s">
        <v>1071</v>
      </c>
      <c r="AG28" s="809">
        <v>5</v>
      </c>
      <c r="AH28" s="809">
        <v>35</v>
      </c>
      <c r="AI28" s="807">
        <v>41446</v>
      </c>
    </row>
    <row r="29" spans="1:35">
      <c r="K29" s="85"/>
      <c r="L29" s="252" t="s">
        <v>157</v>
      </c>
      <c r="M29" s="256"/>
      <c r="N29" s="379">
        <v>6.3E-2</v>
      </c>
      <c r="O29" s="545">
        <v>6.37</v>
      </c>
      <c r="P29" s="254">
        <v>20.100000000000001</v>
      </c>
      <c r="Q29" s="545">
        <v>8.3800000000000008</v>
      </c>
      <c r="R29" s="257"/>
      <c r="S29" s="235" t="s">
        <v>405</v>
      </c>
      <c r="T29" s="272">
        <f>AVERAGE(O28:O31)</f>
        <v>6.392500000000001</v>
      </c>
      <c r="V29" s="688" t="s">
        <v>1567</v>
      </c>
      <c r="W29" s="583" t="s">
        <v>402</v>
      </c>
      <c r="X29" s="243">
        <v>41442</v>
      </c>
      <c r="Y29" s="243">
        <v>41442</v>
      </c>
      <c r="Z29" s="589" t="s">
        <v>179</v>
      </c>
      <c r="AA29" s="589" t="s">
        <v>1392</v>
      </c>
      <c r="AB29" s="805" t="s">
        <v>1000</v>
      </c>
      <c r="AC29" s="589">
        <v>20</v>
      </c>
      <c r="AD29" s="583">
        <v>20</v>
      </c>
      <c r="AE29" s="589"/>
      <c r="AF29" s="589" t="s">
        <v>1071</v>
      </c>
      <c r="AG29" s="806">
        <v>2</v>
      </c>
      <c r="AH29" s="806">
        <v>8</v>
      </c>
      <c r="AI29" s="807">
        <v>41445</v>
      </c>
    </row>
    <row r="30" spans="1:35">
      <c r="K30" s="88"/>
      <c r="L30" s="252" t="s">
        <v>351</v>
      </c>
      <c r="M30" s="256"/>
      <c r="N30" s="379">
        <v>6.3E-2</v>
      </c>
      <c r="O30" s="545">
        <v>6.24</v>
      </c>
      <c r="P30" s="254">
        <v>19.8</v>
      </c>
      <c r="Q30" s="545">
        <v>8.36</v>
      </c>
      <c r="R30" s="257"/>
      <c r="S30" s="235" t="s">
        <v>357</v>
      </c>
      <c r="T30" s="272">
        <f>AVERAGE(P28:P31)</f>
        <v>19.975000000000001</v>
      </c>
      <c r="V30" s="688" t="s">
        <v>1567</v>
      </c>
      <c r="W30" s="583" t="s">
        <v>402</v>
      </c>
      <c r="X30" s="243">
        <v>41442</v>
      </c>
      <c r="Y30" s="243">
        <v>41442</v>
      </c>
      <c r="Z30" s="590" t="s">
        <v>180</v>
      </c>
      <c r="AA30" s="589" t="s">
        <v>1392</v>
      </c>
      <c r="AB30" s="805" t="s">
        <v>1000</v>
      </c>
      <c r="AC30" s="591">
        <v>3</v>
      </c>
      <c r="AD30" s="590">
        <v>3</v>
      </c>
      <c r="AE30" s="637" t="s">
        <v>1419</v>
      </c>
      <c r="AF30" s="589" t="s">
        <v>1071</v>
      </c>
      <c r="AG30" s="810">
        <v>2</v>
      </c>
      <c r="AH30" s="810">
        <v>8</v>
      </c>
      <c r="AI30" s="807">
        <v>41445</v>
      </c>
    </row>
    <row r="31" spans="1:35">
      <c r="K31" s="92"/>
      <c r="L31" s="252" t="s">
        <v>158</v>
      </c>
      <c r="M31" s="256"/>
      <c r="N31" s="379">
        <v>6.3E-2</v>
      </c>
      <c r="O31" s="545">
        <v>6.44</v>
      </c>
      <c r="P31" s="254">
        <v>19.899999999999999</v>
      </c>
      <c r="Q31" s="545">
        <v>8</v>
      </c>
      <c r="R31" s="257"/>
      <c r="S31" s="235" t="s">
        <v>406</v>
      </c>
      <c r="T31" s="272">
        <f>AVERAGE(Q28:Q37)</f>
        <v>8.0560000000000009</v>
      </c>
      <c r="V31" s="688" t="s">
        <v>1567</v>
      </c>
      <c r="W31" s="583" t="s">
        <v>402</v>
      </c>
      <c r="X31" s="243">
        <v>41442</v>
      </c>
      <c r="Y31" s="243">
        <v>41442</v>
      </c>
      <c r="Z31" s="589" t="s">
        <v>184</v>
      </c>
      <c r="AA31" s="589" t="s">
        <v>1392</v>
      </c>
      <c r="AB31" s="589" t="s">
        <v>1471</v>
      </c>
      <c r="AC31" s="592">
        <v>8.4</v>
      </c>
      <c r="AD31" s="811">
        <v>8.4</v>
      </c>
      <c r="AE31" s="589"/>
      <c r="AF31" s="589" t="s">
        <v>1096</v>
      </c>
      <c r="AG31" s="806">
        <v>4</v>
      </c>
      <c r="AH31" s="806"/>
      <c r="AI31" s="807">
        <v>41449</v>
      </c>
    </row>
    <row r="32" spans="1:35">
      <c r="L32" s="252" t="s">
        <v>352</v>
      </c>
      <c r="M32" s="256"/>
      <c r="N32" s="379">
        <v>6.3E-2</v>
      </c>
      <c r="O32" s="545">
        <v>6.24</v>
      </c>
      <c r="P32" s="254">
        <v>19.7</v>
      </c>
      <c r="Q32" s="545">
        <v>7.97</v>
      </c>
      <c r="R32" s="257"/>
      <c r="S32" s="235" t="s">
        <v>407</v>
      </c>
      <c r="T32" s="271">
        <f>AVERAGE(N28:N37)</f>
        <v>6.3100000000000003E-2</v>
      </c>
    </row>
    <row r="33" spans="2:35">
      <c r="L33" s="252" t="s">
        <v>159</v>
      </c>
      <c r="M33" s="256"/>
      <c r="N33" s="379">
        <v>6.3E-2</v>
      </c>
      <c r="O33" s="545">
        <v>5.76</v>
      </c>
      <c r="P33" s="363">
        <v>19.7</v>
      </c>
      <c r="Q33" s="545">
        <v>7.93</v>
      </c>
      <c r="R33" s="257"/>
      <c r="V33" s="804" t="s">
        <v>1581</v>
      </c>
      <c r="W33" s="583" t="s">
        <v>297</v>
      </c>
      <c r="X33" s="243">
        <v>41477</v>
      </c>
      <c r="Y33" s="243">
        <v>41477</v>
      </c>
      <c r="Z33" s="584" t="s">
        <v>206</v>
      </c>
      <c r="AA33" s="589" t="s">
        <v>1392</v>
      </c>
      <c r="AB33" s="805" t="s">
        <v>996</v>
      </c>
      <c r="AC33" s="589">
        <v>392</v>
      </c>
      <c r="AD33" s="583">
        <v>392</v>
      </c>
      <c r="AE33" s="589"/>
      <c r="AF33" s="637" t="s">
        <v>1071</v>
      </c>
      <c r="AG33" s="806">
        <v>6</v>
      </c>
      <c r="AH33" s="806">
        <v>42</v>
      </c>
      <c r="AI33" s="807">
        <v>41487</v>
      </c>
    </row>
    <row r="34" spans="2:35">
      <c r="L34" s="252" t="s">
        <v>353</v>
      </c>
      <c r="M34" s="256"/>
      <c r="N34" s="379">
        <v>6.3E-2</v>
      </c>
      <c r="O34" s="868">
        <v>6.24</v>
      </c>
      <c r="P34" s="363">
        <v>19.600000000000001</v>
      </c>
      <c r="Q34" s="545">
        <v>7.84</v>
      </c>
      <c r="R34" s="257"/>
      <c r="V34" s="688" t="s">
        <v>1581</v>
      </c>
      <c r="W34" s="583" t="s">
        <v>297</v>
      </c>
      <c r="X34" s="243">
        <v>41477</v>
      </c>
      <c r="Y34" s="243">
        <v>41477</v>
      </c>
      <c r="Z34" s="589" t="s">
        <v>185</v>
      </c>
      <c r="AA34" s="589" t="s">
        <v>1392</v>
      </c>
      <c r="AB34" s="589" t="s">
        <v>1483</v>
      </c>
      <c r="AC34" s="589">
        <v>35</v>
      </c>
      <c r="AD34" s="583">
        <v>35</v>
      </c>
      <c r="AE34" s="589"/>
      <c r="AF34" s="589" t="s">
        <v>1071</v>
      </c>
      <c r="AG34" s="806">
        <v>2</v>
      </c>
      <c r="AH34" s="806">
        <v>8</v>
      </c>
      <c r="AI34" s="807">
        <v>41478</v>
      </c>
    </row>
    <row r="35" spans="2:35">
      <c r="L35" s="252" t="s">
        <v>160</v>
      </c>
      <c r="M35" s="256"/>
      <c r="N35" s="379">
        <v>6.3E-2</v>
      </c>
      <c r="O35" s="545">
        <v>5.9</v>
      </c>
      <c r="P35" s="830">
        <v>19.600000000000001</v>
      </c>
      <c r="Q35" s="545">
        <v>7.86</v>
      </c>
      <c r="R35" s="257"/>
      <c r="V35" s="688" t="s">
        <v>1581</v>
      </c>
      <c r="W35" s="583" t="s">
        <v>297</v>
      </c>
      <c r="X35" s="243">
        <v>41477</v>
      </c>
      <c r="Y35" s="243">
        <v>41477</v>
      </c>
      <c r="Z35" s="589" t="s">
        <v>245</v>
      </c>
      <c r="AA35" s="589" t="s">
        <v>1392</v>
      </c>
      <c r="AB35" s="589" t="s">
        <v>991</v>
      </c>
      <c r="AC35" s="589">
        <v>62</v>
      </c>
      <c r="AD35" s="808" t="s">
        <v>1582</v>
      </c>
      <c r="AE35" s="589"/>
      <c r="AF35" s="637" t="s">
        <v>1071</v>
      </c>
      <c r="AG35" s="809">
        <v>5</v>
      </c>
      <c r="AH35" s="809">
        <v>35</v>
      </c>
      <c r="AI35" s="807">
        <v>41485</v>
      </c>
    </row>
    <row r="36" spans="2:35">
      <c r="B36" s="267"/>
      <c r="C36" s="268"/>
      <c r="D36" s="268"/>
      <c r="L36" s="252" t="s">
        <v>161</v>
      </c>
      <c r="M36" s="256"/>
      <c r="N36" s="379">
        <v>6.3E-2</v>
      </c>
      <c r="O36" s="545">
        <v>5.79</v>
      </c>
      <c r="P36" s="830">
        <v>19.600000000000001</v>
      </c>
      <c r="Q36" s="545">
        <v>7.84</v>
      </c>
      <c r="R36" s="257"/>
      <c r="V36" s="688" t="s">
        <v>1581</v>
      </c>
      <c r="W36" s="583" t="s">
        <v>297</v>
      </c>
      <c r="X36" s="243">
        <v>41477</v>
      </c>
      <c r="Y36" s="243">
        <v>41477</v>
      </c>
      <c r="Z36" s="589" t="s">
        <v>179</v>
      </c>
      <c r="AA36" s="589" t="s">
        <v>1392</v>
      </c>
      <c r="AB36" s="805" t="s">
        <v>1000</v>
      </c>
      <c r="AC36" s="589">
        <v>4</v>
      </c>
      <c r="AD36" s="583">
        <v>4</v>
      </c>
      <c r="AE36" s="589" t="s">
        <v>1419</v>
      </c>
      <c r="AF36" s="589" t="s">
        <v>1071</v>
      </c>
      <c r="AG36" s="806">
        <v>2</v>
      </c>
      <c r="AH36" s="806">
        <v>8</v>
      </c>
      <c r="AI36" s="807">
        <v>41487</v>
      </c>
    </row>
    <row r="37" spans="2:35">
      <c r="B37" s="267"/>
      <c r="C37" s="268"/>
      <c r="D37" s="268"/>
      <c r="E37" s="264"/>
      <c r="F37" s="264"/>
      <c r="G37" s="264"/>
      <c r="H37" s="264"/>
      <c r="I37" s="264"/>
      <c r="J37" s="264"/>
      <c r="L37" s="252" t="s">
        <v>162</v>
      </c>
      <c r="M37" s="256"/>
      <c r="N37" s="379">
        <v>6.4000000000000001E-2</v>
      </c>
      <c r="O37" s="866">
        <v>5.55</v>
      </c>
      <c r="P37" s="258">
        <v>19.5</v>
      </c>
      <c r="Q37" s="866">
        <v>7.81</v>
      </c>
      <c r="V37" s="688" t="s">
        <v>1581</v>
      </c>
      <c r="W37" s="583" t="s">
        <v>297</v>
      </c>
      <c r="X37" s="243">
        <v>41477</v>
      </c>
      <c r="Y37" s="243">
        <v>41477</v>
      </c>
      <c r="Z37" s="590" t="s">
        <v>180</v>
      </c>
      <c r="AA37" s="589" t="s">
        <v>1392</v>
      </c>
      <c r="AB37" s="805" t="s">
        <v>1000</v>
      </c>
      <c r="AC37" s="591"/>
      <c r="AD37" s="590"/>
      <c r="AE37" s="637" t="s">
        <v>1395</v>
      </c>
      <c r="AF37" s="589" t="s">
        <v>1071</v>
      </c>
      <c r="AG37" s="810">
        <v>2</v>
      </c>
      <c r="AH37" s="810">
        <v>8</v>
      </c>
      <c r="AI37" s="807">
        <v>41487</v>
      </c>
    </row>
    <row r="38" spans="2:35">
      <c r="B38" s="267"/>
      <c r="C38" s="268"/>
      <c r="D38" s="268"/>
      <c r="L38" s="261" t="s">
        <v>150</v>
      </c>
      <c r="M38" s="250">
        <v>41512</v>
      </c>
      <c r="V38" s="688" t="s">
        <v>1581</v>
      </c>
      <c r="W38" s="583" t="s">
        <v>297</v>
      </c>
      <c r="X38" s="243">
        <v>41477</v>
      </c>
      <c r="Y38" s="243">
        <v>41477</v>
      </c>
      <c r="Z38" s="589" t="s">
        <v>184</v>
      </c>
      <c r="AA38" s="589" t="s">
        <v>1392</v>
      </c>
      <c r="AB38" s="589" t="s">
        <v>1471</v>
      </c>
      <c r="AC38" s="592">
        <v>7.4</v>
      </c>
      <c r="AD38" s="811">
        <v>7.4</v>
      </c>
      <c r="AE38" s="589"/>
      <c r="AF38" s="589" t="s">
        <v>1096</v>
      </c>
      <c r="AG38" s="806">
        <v>4</v>
      </c>
      <c r="AH38" s="806"/>
      <c r="AI38" s="807">
        <v>41492</v>
      </c>
    </row>
    <row r="39" spans="2:35">
      <c r="L39" s="251" t="s">
        <v>373</v>
      </c>
      <c r="M39" s="831" t="s">
        <v>152</v>
      </c>
      <c r="N39" s="831" t="s">
        <v>153</v>
      </c>
      <c r="O39" s="831" t="s">
        <v>154</v>
      </c>
      <c r="P39" s="831" t="s">
        <v>155</v>
      </c>
      <c r="Q39" s="831" t="s">
        <v>156</v>
      </c>
      <c r="R39" s="251" t="s">
        <v>166</v>
      </c>
      <c r="S39" s="251" t="s">
        <v>176</v>
      </c>
      <c r="V39" s="688" t="s">
        <v>1581</v>
      </c>
      <c r="W39" s="583" t="s">
        <v>297</v>
      </c>
      <c r="X39" s="243">
        <v>41477</v>
      </c>
      <c r="Y39" s="243">
        <v>41477</v>
      </c>
      <c r="Z39" s="584" t="s">
        <v>181</v>
      </c>
      <c r="AA39" s="804" t="s">
        <v>1392</v>
      </c>
      <c r="AB39" s="812" t="s">
        <v>1402</v>
      </c>
      <c r="AC39" s="332">
        <v>8.1999999999999993</v>
      </c>
      <c r="AD39" s="813">
        <v>8.1999999999999993</v>
      </c>
      <c r="AE39" s="814"/>
      <c r="AF39" s="589" t="s">
        <v>1071</v>
      </c>
      <c r="AG39" s="810">
        <v>0.1</v>
      </c>
      <c r="AH39" s="810"/>
      <c r="AI39" s="807">
        <v>41487</v>
      </c>
    </row>
    <row r="40" spans="2:35">
      <c r="L40" s="252" t="s">
        <v>350</v>
      </c>
      <c r="M40" s="253">
        <v>0.42152777777777778</v>
      </c>
      <c r="N40" s="379">
        <v>6.4000000000000001E-2</v>
      </c>
      <c r="O40" s="545">
        <v>8.09</v>
      </c>
      <c r="P40" s="830">
        <v>16.73</v>
      </c>
      <c r="Q40" s="545">
        <v>8.2799999999999994</v>
      </c>
      <c r="R40" s="255">
        <v>0.77</v>
      </c>
      <c r="S40" s="256">
        <v>5.82</v>
      </c>
      <c r="V40" s="688" t="s">
        <v>1581</v>
      </c>
      <c r="W40" s="583" t="s">
        <v>297</v>
      </c>
      <c r="X40" s="243">
        <v>41477</v>
      </c>
      <c r="Y40" s="243">
        <v>41477</v>
      </c>
      <c r="Z40" s="584" t="s">
        <v>181</v>
      </c>
      <c r="AA40" s="804" t="s">
        <v>1392</v>
      </c>
      <c r="AB40" s="812" t="s">
        <v>1402</v>
      </c>
      <c r="AC40" s="332">
        <v>7.2</v>
      </c>
      <c r="AD40" s="813">
        <v>7.2</v>
      </c>
      <c r="AE40" s="814"/>
      <c r="AF40" s="589" t="s">
        <v>1071</v>
      </c>
      <c r="AG40" s="810">
        <v>0.1</v>
      </c>
      <c r="AH40" s="810"/>
      <c r="AI40" s="807">
        <v>41487</v>
      </c>
    </row>
    <row r="41" spans="2:35">
      <c r="L41" s="252" t="s">
        <v>157</v>
      </c>
      <c r="M41" s="256"/>
      <c r="N41" s="379">
        <v>6.4000000000000001E-2</v>
      </c>
      <c r="O41" s="545">
        <v>7.99</v>
      </c>
      <c r="P41" s="830">
        <v>16.420000000000002</v>
      </c>
      <c r="Q41" s="545">
        <v>8.17</v>
      </c>
      <c r="R41" s="257"/>
      <c r="S41" s="235" t="s">
        <v>405</v>
      </c>
      <c r="T41" s="272">
        <f>AVERAGE(O40:O43)</f>
        <v>7.8</v>
      </c>
      <c r="V41" s="804" t="s">
        <v>1583</v>
      </c>
      <c r="W41" s="583" t="s">
        <v>402</v>
      </c>
      <c r="X41" s="243">
        <v>41477</v>
      </c>
      <c r="Y41" s="243">
        <v>41477</v>
      </c>
      <c r="Z41" s="584" t="s">
        <v>206</v>
      </c>
      <c r="AA41" s="589" t="s">
        <v>1392</v>
      </c>
      <c r="AB41" s="805" t="s">
        <v>996</v>
      </c>
      <c r="AC41" s="589">
        <v>422</v>
      </c>
      <c r="AD41" s="583">
        <v>422</v>
      </c>
      <c r="AE41" s="589"/>
      <c r="AF41" s="637" t="s">
        <v>1071</v>
      </c>
      <c r="AG41" s="806">
        <v>6</v>
      </c>
      <c r="AH41" s="806">
        <v>42</v>
      </c>
      <c r="AI41" s="807">
        <v>41487</v>
      </c>
    </row>
    <row r="42" spans="2:35">
      <c r="L42" s="252" t="s">
        <v>351</v>
      </c>
      <c r="M42" s="256"/>
      <c r="N42" s="379">
        <v>6.4000000000000001E-2</v>
      </c>
      <c r="O42" s="545">
        <v>7.62</v>
      </c>
      <c r="P42" s="830">
        <v>16.27</v>
      </c>
      <c r="Q42" s="545">
        <v>8.07</v>
      </c>
      <c r="R42" s="257"/>
      <c r="S42" s="235" t="s">
        <v>357</v>
      </c>
      <c r="T42" s="272">
        <f>AVERAGE(P40:P43)</f>
        <v>16.414999999999999</v>
      </c>
      <c r="V42" s="688" t="s">
        <v>1583</v>
      </c>
      <c r="W42" s="583" t="s">
        <v>402</v>
      </c>
      <c r="X42" s="243">
        <v>41477</v>
      </c>
      <c r="Y42" s="243">
        <v>41477</v>
      </c>
      <c r="Z42" s="589" t="s">
        <v>185</v>
      </c>
      <c r="AA42" s="589" t="s">
        <v>1392</v>
      </c>
      <c r="AB42" s="589" t="s">
        <v>1483</v>
      </c>
      <c r="AC42" s="589">
        <v>29</v>
      </c>
      <c r="AD42" s="583">
        <v>29</v>
      </c>
      <c r="AE42" s="589"/>
      <c r="AF42" s="589" t="s">
        <v>1071</v>
      </c>
      <c r="AG42" s="806">
        <v>2</v>
      </c>
      <c r="AH42" s="806">
        <v>8</v>
      </c>
      <c r="AI42" s="807">
        <v>41478</v>
      </c>
    </row>
    <row r="43" spans="2:35">
      <c r="L43" s="252" t="s">
        <v>158</v>
      </c>
      <c r="M43" s="256"/>
      <c r="N43" s="379">
        <v>6.4000000000000001E-2</v>
      </c>
      <c r="O43" s="545">
        <v>7.5</v>
      </c>
      <c r="P43" s="830">
        <v>16.239999999999998</v>
      </c>
      <c r="Q43" s="545">
        <v>8.09</v>
      </c>
      <c r="R43" s="257"/>
      <c r="S43" s="235" t="s">
        <v>406</v>
      </c>
      <c r="T43" s="272">
        <f>AVERAGE(Q40:Q49)</f>
        <v>7.738999999999999</v>
      </c>
      <c r="V43" s="688" t="s">
        <v>1583</v>
      </c>
      <c r="W43" s="583" t="s">
        <v>402</v>
      </c>
      <c r="X43" s="243">
        <v>41477</v>
      </c>
      <c r="Y43" s="243">
        <v>41477</v>
      </c>
      <c r="Z43" s="589" t="s">
        <v>245</v>
      </c>
      <c r="AA43" s="589" t="s">
        <v>1392</v>
      </c>
      <c r="AB43" s="589" t="s">
        <v>991</v>
      </c>
      <c r="AC43" s="589">
        <v>64</v>
      </c>
      <c r="AD43" s="808" t="s">
        <v>1584</v>
      </c>
      <c r="AE43" s="589"/>
      <c r="AF43" s="637" t="s">
        <v>1071</v>
      </c>
      <c r="AG43" s="809">
        <v>5</v>
      </c>
      <c r="AH43" s="809">
        <v>35</v>
      </c>
      <c r="AI43" s="807">
        <v>41485</v>
      </c>
    </row>
    <row r="44" spans="2:35">
      <c r="L44" s="252" t="s">
        <v>352</v>
      </c>
      <c r="M44" s="256"/>
      <c r="N44" s="379">
        <v>6.4000000000000001E-2</v>
      </c>
      <c r="O44" s="545">
        <v>7.48</v>
      </c>
      <c r="P44" s="830">
        <v>16.28</v>
      </c>
      <c r="Q44" s="545">
        <v>8.01</v>
      </c>
      <c r="R44" s="257"/>
      <c r="S44" s="235" t="s">
        <v>407</v>
      </c>
      <c r="T44" s="271">
        <f>AVERAGE(N40:N49)</f>
        <v>6.3899999999999998E-2</v>
      </c>
      <c r="V44" s="688" t="s">
        <v>1583</v>
      </c>
      <c r="W44" s="583" t="s">
        <v>402</v>
      </c>
      <c r="X44" s="243">
        <v>41477</v>
      </c>
      <c r="Y44" s="243">
        <v>41477</v>
      </c>
      <c r="Z44" s="589" t="s">
        <v>179</v>
      </c>
      <c r="AA44" s="589" t="s">
        <v>1392</v>
      </c>
      <c r="AB44" s="805" t="s">
        <v>1000</v>
      </c>
      <c r="AC44" s="589">
        <v>3</v>
      </c>
      <c r="AD44" s="583">
        <v>3</v>
      </c>
      <c r="AE44" s="589" t="s">
        <v>1419</v>
      </c>
      <c r="AF44" s="589" t="s">
        <v>1071</v>
      </c>
      <c r="AG44" s="806">
        <v>2</v>
      </c>
      <c r="AH44" s="806">
        <v>8</v>
      </c>
      <c r="AI44" s="807">
        <v>41487</v>
      </c>
    </row>
    <row r="45" spans="2:35">
      <c r="L45" s="252" t="s">
        <v>159</v>
      </c>
      <c r="M45" s="256"/>
      <c r="N45" s="379">
        <v>6.4000000000000001E-2</v>
      </c>
      <c r="O45" s="545">
        <v>7.1</v>
      </c>
      <c r="P45" s="830">
        <v>16.22</v>
      </c>
      <c r="Q45" s="545">
        <v>7.89</v>
      </c>
      <c r="R45" s="257"/>
      <c r="V45" s="688" t="s">
        <v>1583</v>
      </c>
      <c r="W45" s="583" t="s">
        <v>402</v>
      </c>
      <c r="X45" s="243">
        <v>41477</v>
      </c>
      <c r="Y45" s="243">
        <v>41477</v>
      </c>
      <c r="Z45" s="590" t="s">
        <v>180</v>
      </c>
      <c r="AA45" s="589" t="s">
        <v>1392</v>
      </c>
      <c r="AB45" s="805" t="s">
        <v>1000</v>
      </c>
      <c r="AC45" s="591"/>
      <c r="AD45" s="590"/>
      <c r="AE45" s="637" t="s">
        <v>1395</v>
      </c>
      <c r="AF45" s="589" t="s">
        <v>1071</v>
      </c>
      <c r="AG45" s="810">
        <v>2</v>
      </c>
      <c r="AH45" s="810">
        <v>8</v>
      </c>
      <c r="AI45" s="807">
        <v>41487</v>
      </c>
    </row>
    <row r="46" spans="2:35">
      <c r="L46" s="252" t="s">
        <v>353</v>
      </c>
      <c r="M46" s="256"/>
      <c r="N46" s="379">
        <v>6.4000000000000001E-2</v>
      </c>
      <c r="O46" s="868">
        <v>7.24</v>
      </c>
      <c r="P46" s="830">
        <v>16.2</v>
      </c>
      <c r="Q46" s="545">
        <v>7.82</v>
      </c>
      <c r="R46" s="257"/>
      <c r="V46" s="688" t="s">
        <v>1583</v>
      </c>
      <c r="W46" s="583" t="s">
        <v>402</v>
      </c>
      <c r="X46" s="243">
        <v>41477</v>
      </c>
      <c r="Y46" s="243">
        <v>41477</v>
      </c>
      <c r="Z46" s="589" t="s">
        <v>184</v>
      </c>
      <c r="AA46" s="589" t="s">
        <v>1392</v>
      </c>
      <c r="AB46" s="589" t="s">
        <v>1471</v>
      </c>
      <c r="AC46" s="592">
        <v>8</v>
      </c>
      <c r="AD46" s="811">
        <v>8</v>
      </c>
      <c r="AE46" s="589"/>
      <c r="AF46" s="589" t="s">
        <v>1096</v>
      </c>
      <c r="AG46" s="806">
        <v>4</v>
      </c>
      <c r="AH46" s="806"/>
      <c r="AI46" s="807">
        <v>41492</v>
      </c>
    </row>
    <row r="47" spans="2:35">
      <c r="L47" s="252" t="s">
        <v>160</v>
      </c>
      <c r="M47" s="256"/>
      <c r="N47" s="379">
        <v>6.4000000000000001E-2</v>
      </c>
      <c r="O47" s="545">
        <v>7.18</v>
      </c>
      <c r="P47" s="830">
        <v>16.190000000000001</v>
      </c>
      <c r="Q47" s="545">
        <v>7.02</v>
      </c>
      <c r="R47" s="257"/>
    </row>
    <row r="48" spans="2:35">
      <c r="L48" s="252" t="s">
        <v>161</v>
      </c>
      <c r="M48" s="256"/>
      <c r="N48" s="379">
        <v>6.4000000000000001E-2</v>
      </c>
      <c r="O48" s="545">
        <v>7.25</v>
      </c>
      <c r="P48" s="830">
        <v>16.170000000000002</v>
      </c>
      <c r="Q48" s="545">
        <v>7.02</v>
      </c>
      <c r="R48" s="257"/>
      <c r="V48" s="804" t="s">
        <v>1638</v>
      </c>
      <c r="W48" s="583" t="s">
        <v>297</v>
      </c>
      <c r="X48" s="243">
        <v>41512</v>
      </c>
      <c r="Y48" s="243">
        <v>41512</v>
      </c>
      <c r="Z48" s="584" t="s">
        <v>206</v>
      </c>
      <c r="AA48" s="589" t="s">
        <v>1392</v>
      </c>
      <c r="AB48" s="805" t="s">
        <v>996</v>
      </c>
      <c r="AC48" s="589">
        <v>451</v>
      </c>
      <c r="AD48" s="583">
        <v>451</v>
      </c>
      <c r="AE48" s="589"/>
      <c r="AF48" s="637" t="s">
        <v>1071</v>
      </c>
      <c r="AG48" s="806">
        <v>6</v>
      </c>
      <c r="AH48" s="806">
        <v>42</v>
      </c>
      <c r="AI48" s="807">
        <v>41516</v>
      </c>
    </row>
    <row r="49" spans="12:35">
      <c r="L49" s="252" t="s">
        <v>162</v>
      </c>
      <c r="M49" s="256"/>
      <c r="N49" s="379">
        <v>6.3E-2</v>
      </c>
      <c r="O49" s="866">
        <v>7.13</v>
      </c>
      <c r="P49" s="258">
        <v>15.76</v>
      </c>
      <c r="Q49" s="545">
        <v>7.02</v>
      </c>
      <c r="V49" s="804" t="s">
        <v>1638</v>
      </c>
      <c r="W49" s="583" t="s">
        <v>297</v>
      </c>
      <c r="X49" s="243">
        <v>41512</v>
      </c>
      <c r="Y49" s="243">
        <v>41512</v>
      </c>
      <c r="Z49" s="589" t="s">
        <v>185</v>
      </c>
      <c r="AA49" s="589" t="s">
        <v>1392</v>
      </c>
      <c r="AB49" s="589" t="s">
        <v>1483</v>
      </c>
      <c r="AC49" s="589">
        <v>3</v>
      </c>
      <c r="AD49" s="583">
        <v>3</v>
      </c>
      <c r="AE49" s="589" t="s">
        <v>1419</v>
      </c>
      <c r="AF49" s="589" t="s">
        <v>1071</v>
      </c>
      <c r="AG49" s="806">
        <v>2</v>
      </c>
      <c r="AH49" s="806">
        <v>8</v>
      </c>
      <c r="AI49" s="807">
        <v>41514</v>
      </c>
    </row>
    <row r="50" spans="12:35">
      <c r="L50" s="261" t="s">
        <v>150</v>
      </c>
      <c r="M50" s="250">
        <v>41541</v>
      </c>
      <c r="V50" s="804" t="s">
        <v>1638</v>
      </c>
      <c r="W50" s="583" t="s">
        <v>297</v>
      </c>
      <c r="X50" s="243">
        <v>41512</v>
      </c>
      <c r="Y50" s="243">
        <v>41512</v>
      </c>
      <c r="Z50" s="589" t="s">
        <v>245</v>
      </c>
      <c r="AA50" s="589" t="s">
        <v>1392</v>
      </c>
      <c r="AB50" s="589" t="s">
        <v>991</v>
      </c>
      <c r="AC50" s="589">
        <v>50</v>
      </c>
      <c r="AD50" s="808">
        <v>50</v>
      </c>
      <c r="AE50" s="589"/>
      <c r="AF50" s="637" t="s">
        <v>1071</v>
      </c>
      <c r="AG50" s="809">
        <v>5</v>
      </c>
      <c r="AH50" s="809">
        <v>35</v>
      </c>
      <c r="AI50" s="807">
        <v>41527</v>
      </c>
    </row>
    <row r="51" spans="12:35">
      <c r="L51" s="251" t="s">
        <v>373</v>
      </c>
      <c r="M51" s="831" t="s">
        <v>152</v>
      </c>
      <c r="N51" s="831" t="s">
        <v>153</v>
      </c>
      <c r="O51" s="831" t="s">
        <v>154</v>
      </c>
      <c r="P51" s="831" t="s">
        <v>155</v>
      </c>
      <c r="Q51" s="831" t="s">
        <v>156</v>
      </c>
      <c r="R51" s="251" t="s">
        <v>166</v>
      </c>
      <c r="S51" s="251" t="s">
        <v>176</v>
      </c>
      <c r="V51" s="804" t="s">
        <v>1638</v>
      </c>
      <c r="W51" s="583" t="s">
        <v>297</v>
      </c>
      <c r="X51" s="243">
        <v>41512</v>
      </c>
      <c r="Y51" s="243">
        <v>41512</v>
      </c>
      <c r="Z51" s="589" t="s">
        <v>179</v>
      </c>
      <c r="AA51" s="589" t="s">
        <v>1392</v>
      </c>
      <c r="AB51" s="805" t="s">
        <v>1000</v>
      </c>
      <c r="AC51" s="589">
        <v>26</v>
      </c>
      <c r="AD51" s="583">
        <v>26</v>
      </c>
      <c r="AE51" s="589"/>
      <c r="AF51" s="589" t="s">
        <v>1071</v>
      </c>
      <c r="AG51" s="806">
        <v>2</v>
      </c>
      <c r="AH51" s="806">
        <v>8</v>
      </c>
      <c r="AI51" s="807">
        <v>41516</v>
      </c>
    </row>
    <row r="52" spans="12:35">
      <c r="L52" s="252" t="s">
        <v>350</v>
      </c>
      <c r="M52" s="253">
        <v>0.46597222222222223</v>
      </c>
      <c r="N52" s="379">
        <v>8.5999999999999993E-2</v>
      </c>
      <c r="O52" s="545">
        <v>10.25</v>
      </c>
      <c r="P52" s="830">
        <v>8.5</v>
      </c>
      <c r="Q52" s="545">
        <v>8.6300000000000008</v>
      </c>
      <c r="R52" s="255">
        <v>1</v>
      </c>
      <c r="S52" s="256">
        <v>5.87</v>
      </c>
      <c r="V52" s="804" t="s">
        <v>1638</v>
      </c>
      <c r="W52" s="583" t="s">
        <v>297</v>
      </c>
      <c r="X52" s="243">
        <v>41512</v>
      </c>
      <c r="Y52" s="243">
        <v>41512</v>
      </c>
      <c r="Z52" s="590" t="s">
        <v>180</v>
      </c>
      <c r="AA52" s="589" t="s">
        <v>1392</v>
      </c>
      <c r="AB52" s="805" t="s">
        <v>1000</v>
      </c>
      <c r="AC52" s="591">
        <v>4</v>
      </c>
      <c r="AD52" s="590">
        <v>4</v>
      </c>
      <c r="AE52" s="637" t="s">
        <v>1419</v>
      </c>
      <c r="AF52" s="589" t="s">
        <v>1071</v>
      </c>
      <c r="AG52" s="810">
        <v>2</v>
      </c>
      <c r="AH52" s="810">
        <v>8</v>
      </c>
      <c r="AI52" s="807">
        <v>41516</v>
      </c>
    </row>
    <row r="53" spans="12:35">
      <c r="L53" s="252" t="s">
        <v>157</v>
      </c>
      <c r="M53" s="256"/>
      <c r="N53" s="379">
        <v>8.2000000000000003E-2</v>
      </c>
      <c r="O53" s="545">
        <v>10.06</v>
      </c>
      <c r="P53" s="830">
        <v>8.1</v>
      </c>
      <c r="Q53" s="545">
        <v>8.26</v>
      </c>
      <c r="R53" s="257"/>
      <c r="S53" s="235" t="s">
        <v>405</v>
      </c>
      <c r="T53" s="272">
        <f>AVERAGE(O52:O55)</f>
        <v>10.1675</v>
      </c>
      <c r="V53" s="804" t="s">
        <v>1638</v>
      </c>
      <c r="W53" s="583" t="s">
        <v>297</v>
      </c>
      <c r="X53" s="243">
        <v>41512</v>
      </c>
      <c r="Y53" s="243">
        <v>41512</v>
      </c>
      <c r="Z53" s="589" t="s">
        <v>184</v>
      </c>
      <c r="AA53" s="589" t="s">
        <v>1392</v>
      </c>
      <c r="AB53" s="589" t="s">
        <v>1471</v>
      </c>
      <c r="AC53" s="592">
        <v>14.4</v>
      </c>
      <c r="AD53" s="811">
        <v>14.4</v>
      </c>
      <c r="AE53" s="589"/>
      <c r="AF53" s="589" t="s">
        <v>1096</v>
      </c>
      <c r="AG53" s="806">
        <v>4</v>
      </c>
      <c r="AH53" s="806"/>
      <c r="AI53" s="807">
        <v>41521</v>
      </c>
    </row>
    <row r="54" spans="12:35">
      <c r="L54" s="252" t="s">
        <v>351</v>
      </c>
      <c r="M54" s="256"/>
      <c r="N54" s="379">
        <v>8.2000000000000003E-2</v>
      </c>
      <c r="O54" s="545">
        <v>10.06</v>
      </c>
      <c r="P54" s="830">
        <v>8.1</v>
      </c>
      <c r="Q54" s="545">
        <v>8.19</v>
      </c>
      <c r="R54" s="257"/>
      <c r="S54" s="235" t="s">
        <v>357</v>
      </c>
      <c r="T54" s="272">
        <f>AVERAGE(P52:P55)</f>
        <v>8.1750000000000007</v>
      </c>
      <c r="V54" s="804" t="s">
        <v>1638</v>
      </c>
      <c r="W54" s="583" t="s">
        <v>297</v>
      </c>
      <c r="X54" s="243">
        <v>41512</v>
      </c>
      <c r="Y54" s="243">
        <v>41512</v>
      </c>
      <c r="Z54" s="584" t="s">
        <v>181</v>
      </c>
      <c r="AA54" s="804" t="s">
        <v>1392</v>
      </c>
      <c r="AB54" s="812" t="s">
        <v>1402</v>
      </c>
      <c r="AC54" s="332">
        <v>23.6</v>
      </c>
      <c r="AD54" s="813">
        <v>8</v>
      </c>
      <c r="AE54" s="814"/>
      <c r="AF54" s="589" t="s">
        <v>1071</v>
      </c>
      <c r="AG54" s="810">
        <v>0.1</v>
      </c>
      <c r="AH54" s="810"/>
      <c r="AI54" s="807">
        <v>41522</v>
      </c>
    </row>
    <row r="55" spans="12:35">
      <c r="L55" s="252" t="s">
        <v>158</v>
      </c>
      <c r="M55" s="256"/>
      <c r="N55" s="379">
        <v>8.2000000000000003E-2</v>
      </c>
      <c r="O55" s="545">
        <v>10.3</v>
      </c>
      <c r="P55" s="830">
        <v>8</v>
      </c>
      <c r="Q55" s="545">
        <v>8.06</v>
      </c>
      <c r="R55" s="257"/>
      <c r="S55" s="235" t="s">
        <v>406</v>
      </c>
      <c r="T55" s="272">
        <f>AVERAGE(Q52:Q61)</f>
        <v>8.0800000000000018</v>
      </c>
      <c r="V55" s="804" t="s">
        <v>1638</v>
      </c>
      <c r="W55" s="583" t="s">
        <v>297</v>
      </c>
      <c r="X55" s="243">
        <v>41512</v>
      </c>
      <c r="Y55" s="243">
        <v>41512</v>
      </c>
      <c r="Z55" s="584" t="s">
        <v>181</v>
      </c>
      <c r="AA55" s="804" t="s">
        <v>1392</v>
      </c>
      <c r="AB55" s="812" t="s">
        <v>1402</v>
      </c>
      <c r="AC55" s="332">
        <v>27.1</v>
      </c>
      <c r="AD55" s="813">
        <v>8.3000000000000007</v>
      </c>
      <c r="AE55" s="814"/>
      <c r="AF55" s="589" t="s">
        <v>1071</v>
      </c>
      <c r="AG55" s="810">
        <v>0.1</v>
      </c>
      <c r="AH55" s="810"/>
      <c r="AI55" s="807">
        <v>41522</v>
      </c>
    </row>
    <row r="56" spans="12:35">
      <c r="L56" s="252" t="s">
        <v>352</v>
      </c>
      <c r="M56" s="256"/>
      <c r="N56" s="379">
        <v>8.2000000000000003E-2</v>
      </c>
      <c r="O56" s="545">
        <v>10.29</v>
      </c>
      <c r="P56" s="830">
        <v>8</v>
      </c>
      <c r="Q56" s="545">
        <v>7.99</v>
      </c>
      <c r="R56" s="257"/>
      <c r="S56" s="235" t="s">
        <v>407</v>
      </c>
      <c r="T56" s="271">
        <f>AVERAGE(N52:N61)</f>
        <v>8.2400000000000001E-2</v>
      </c>
      <c r="V56" s="804" t="s">
        <v>1639</v>
      </c>
      <c r="W56" s="583" t="s">
        <v>402</v>
      </c>
      <c r="X56" s="243">
        <v>41512</v>
      </c>
      <c r="Y56" s="243">
        <v>41512</v>
      </c>
      <c r="Z56" s="584" t="s">
        <v>206</v>
      </c>
      <c r="AA56" s="589" t="s">
        <v>1392</v>
      </c>
      <c r="AB56" s="805" t="s">
        <v>996</v>
      </c>
      <c r="AC56" s="589">
        <v>253</v>
      </c>
      <c r="AD56" s="583">
        <v>253</v>
      </c>
      <c r="AE56" s="589"/>
      <c r="AF56" s="637" t="s">
        <v>1071</v>
      </c>
      <c r="AG56" s="806">
        <v>6</v>
      </c>
      <c r="AH56" s="806">
        <v>42</v>
      </c>
      <c r="AI56" s="807">
        <v>41516</v>
      </c>
    </row>
    <row r="57" spans="12:35">
      <c r="L57" s="252" t="s">
        <v>159</v>
      </c>
      <c r="M57" s="256"/>
      <c r="N57" s="379">
        <v>8.2000000000000003E-2</v>
      </c>
      <c r="O57" s="545">
        <v>10.06</v>
      </c>
      <c r="P57" s="830">
        <v>8</v>
      </c>
      <c r="Q57" s="545">
        <v>7.99</v>
      </c>
      <c r="R57" s="257"/>
      <c r="V57" s="804" t="s">
        <v>1639</v>
      </c>
      <c r="W57" s="583" t="s">
        <v>402</v>
      </c>
      <c r="X57" s="243">
        <v>41512</v>
      </c>
      <c r="Y57" s="243">
        <v>41512</v>
      </c>
      <c r="Z57" s="589" t="s">
        <v>185</v>
      </c>
      <c r="AA57" s="589" t="s">
        <v>1392</v>
      </c>
      <c r="AB57" s="589" t="s">
        <v>1483</v>
      </c>
      <c r="AC57" s="589">
        <v>4</v>
      </c>
      <c r="AD57" s="583">
        <v>4</v>
      </c>
      <c r="AE57" s="589" t="s">
        <v>1419</v>
      </c>
      <c r="AF57" s="589" t="s">
        <v>1071</v>
      </c>
      <c r="AG57" s="806">
        <v>2</v>
      </c>
      <c r="AH57" s="806">
        <v>8</v>
      </c>
      <c r="AI57" s="807">
        <v>41514</v>
      </c>
    </row>
    <row r="58" spans="12:35">
      <c r="L58" s="252" t="s">
        <v>353</v>
      </c>
      <c r="M58" s="256"/>
      <c r="N58" s="379">
        <v>8.2000000000000003E-2</v>
      </c>
      <c r="O58" s="868">
        <v>10.36</v>
      </c>
      <c r="P58" s="830">
        <v>7.9</v>
      </c>
      <c r="Q58" s="545">
        <v>7.96</v>
      </c>
      <c r="R58" s="257"/>
      <c r="V58" s="804" t="s">
        <v>1639</v>
      </c>
      <c r="W58" s="583" t="s">
        <v>402</v>
      </c>
      <c r="X58" s="243">
        <v>41512</v>
      </c>
      <c r="Y58" s="243">
        <v>41512</v>
      </c>
      <c r="Z58" s="589" t="s">
        <v>245</v>
      </c>
      <c r="AA58" s="589" t="s">
        <v>1392</v>
      </c>
      <c r="AB58" s="589" t="s">
        <v>991</v>
      </c>
      <c r="AC58" s="589">
        <v>45</v>
      </c>
      <c r="AD58" s="808">
        <v>45</v>
      </c>
      <c r="AE58" s="589"/>
      <c r="AF58" s="637" t="s">
        <v>1071</v>
      </c>
      <c r="AG58" s="809">
        <v>5</v>
      </c>
      <c r="AH58" s="809">
        <v>35</v>
      </c>
      <c r="AI58" s="807">
        <v>41527</v>
      </c>
    </row>
    <row r="59" spans="12:35">
      <c r="L59" s="252" t="s">
        <v>160</v>
      </c>
      <c r="M59" s="256"/>
      <c r="N59" s="379">
        <v>8.2000000000000003E-2</v>
      </c>
      <c r="O59" s="545">
        <v>10.119999999999999</v>
      </c>
      <c r="P59" s="830">
        <v>7.7</v>
      </c>
      <c r="Q59" s="545">
        <v>7.94</v>
      </c>
      <c r="R59" s="257"/>
      <c r="V59" s="804" t="s">
        <v>1639</v>
      </c>
      <c r="W59" s="583" t="s">
        <v>402</v>
      </c>
      <c r="X59" s="243">
        <v>41512</v>
      </c>
      <c r="Y59" s="243">
        <v>41512</v>
      </c>
      <c r="Z59" s="589" t="s">
        <v>179</v>
      </c>
      <c r="AA59" s="589" t="s">
        <v>1392</v>
      </c>
      <c r="AB59" s="805" t="s">
        <v>1000</v>
      </c>
      <c r="AC59" s="589">
        <v>26</v>
      </c>
      <c r="AD59" s="583">
        <v>26</v>
      </c>
      <c r="AE59" s="589"/>
      <c r="AF59" s="589" t="s">
        <v>1071</v>
      </c>
      <c r="AG59" s="806">
        <v>2</v>
      </c>
      <c r="AH59" s="806">
        <v>8</v>
      </c>
      <c r="AI59" s="807">
        <v>41516</v>
      </c>
    </row>
    <row r="60" spans="12:35">
      <c r="L60" s="252" t="s">
        <v>161</v>
      </c>
      <c r="M60" s="256"/>
      <c r="N60" s="379">
        <v>8.2000000000000003E-2</v>
      </c>
      <c r="O60" s="545">
        <v>10.039999999999999</v>
      </c>
      <c r="P60" s="830">
        <v>7.6</v>
      </c>
      <c r="Q60" s="545">
        <v>7.91</v>
      </c>
      <c r="R60" s="257"/>
      <c r="V60" s="804" t="s">
        <v>1639</v>
      </c>
      <c r="W60" s="583" t="s">
        <v>402</v>
      </c>
      <c r="X60" s="243">
        <v>41512</v>
      </c>
      <c r="Y60" s="243">
        <v>41512</v>
      </c>
      <c r="Z60" s="590" t="s">
        <v>180</v>
      </c>
      <c r="AA60" s="589" t="s">
        <v>1392</v>
      </c>
      <c r="AB60" s="805" t="s">
        <v>1000</v>
      </c>
      <c r="AC60" s="591">
        <v>5</v>
      </c>
      <c r="AD60" s="590">
        <v>5</v>
      </c>
      <c r="AE60" s="637" t="s">
        <v>1419</v>
      </c>
      <c r="AF60" s="589" t="s">
        <v>1071</v>
      </c>
      <c r="AG60" s="810">
        <v>2</v>
      </c>
      <c r="AH60" s="810">
        <v>8</v>
      </c>
      <c r="AI60" s="807">
        <v>41516</v>
      </c>
    </row>
    <row r="61" spans="12:35">
      <c r="L61" s="252" t="s">
        <v>162</v>
      </c>
      <c r="M61" s="256"/>
      <c r="N61" s="379">
        <v>8.2000000000000003E-2</v>
      </c>
      <c r="O61" s="866">
        <v>10.23</v>
      </c>
      <c r="P61" s="258">
        <v>7.6</v>
      </c>
      <c r="Q61" s="866">
        <v>7.87</v>
      </c>
      <c r="V61" s="804" t="s">
        <v>1639</v>
      </c>
      <c r="W61" s="583" t="s">
        <v>402</v>
      </c>
      <c r="X61" s="243">
        <v>41512</v>
      </c>
      <c r="Y61" s="243">
        <v>41512</v>
      </c>
      <c r="Z61" s="589" t="s">
        <v>184</v>
      </c>
      <c r="AA61" s="589" t="s">
        <v>1392</v>
      </c>
      <c r="AB61" s="589" t="s">
        <v>1471</v>
      </c>
      <c r="AC61" s="592">
        <v>15.2</v>
      </c>
      <c r="AD61" s="811">
        <v>15.2</v>
      </c>
      <c r="AE61" s="589"/>
      <c r="AF61" s="589" t="s">
        <v>1096</v>
      </c>
      <c r="AG61" s="806">
        <v>4</v>
      </c>
      <c r="AH61" s="806"/>
      <c r="AI61" s="807">
        <v>41521</v>
      </c>
    </row>
    <row r="62" spans="12:35">
      <c r="L62" s="261" t="s">
        <v>150</v>
      </c>
      <c r="M62" s="250">
        <v>41556</v>
      </c>
    </row>
    <row r="63" spans="12:35">
      <c r="L63" s="251" t="s">
        <v>373</v>
      </c>
      <c r="M63" s="831" t="s">
        <v>152</v>
      </c>
      <c r="N63" s="831" t="s">
        <v>153</v>
      </c>
      <c r="O63" s="831" t="s">
        <v>154</v>
      </c>
      <c r="P63" s="831" t="s">
        <v>155</v>
      </c>
      <c r="Q63" s="831" t="s">
        <v>156</v>
      </c>
      <c r="R63" s="251" t="s">
        <v>166</v>
      </c>
      <c r="S63" s="251" t="s">
        <v>176</v>
      </c>
      <c r="V63" s="804" t="s">
        <v>1674</v>
      </c>
      <c r="W63" s="583" t="s">
        <v>297</v>
      </c>
      <c r="X63" s="243">
        <v>41541</v>
      </c>
      <c r="Y63" s="243">
        <v>41541</v>
      </c>
      <c r="Z63" s="584" t="s">
        <v>206</v>
      </c>
      <c r="AA63" s="589" t="s">
        <v>1392</v>
      </c>
      <c r="AB63" s="805" t="s">
        <v>996</v>
      </c>
      <c r="AC63" s="589">
        <v>401</v>
      </c>
      <c r="AD63" s="583">
        <v>401</v>
      </c>
      <c r="AE63" s="589"/>
      <c r="AF63" s="637" t="s">
        <v>1071</v>
      </c>
      <c r="AG63" s="806">
        <v>6</v>
      </c>
      <c r="AH63" s="806">
        <v>42</v>
      </c>
      <c r="AI63" s="807">
        <v>41547</v>
      </c>
    </row>
    <row r="64" spans="12:35">
      <c r="L64" s="252" t="s">
        <v>350</v>
      </c>
      <c r="M64" s="253">
        <v>0.51041666666666663</v>
      </c>
      <c r="N64" s="379">
        <v>8.4000000000000005E-2</v>
      </c>
      <c r="O64" s="545">
        <v>0.52430555555555558</v>
      </c>
      <c r="P64" s="830">
        <v>6.6</v>
      </c>
      <c r="Q64" s="545">
        <v>8.69</v>
      </c>
      <c r="R64" s="255">
        <v>1.45</v>
      </c>
      <c r="S64" s="256">
        <v>5.83</v>
      </c>
      <c r="V64" s="688" t="s">
        <v>1674</v>
      </c>
      <c r="W64" s="583" t="s">
        <v>297</v>
      </c>
      <c r="X64" s="243">
        <v>41541</v>
      </c>
      <c r="Y64" s="243">
        <v>41541</v>
      </c>
      <c r="Z64" s="589" t="s">
        <v>185</v>
      </c>
      <c r="AA64" s="589" t="s">
        <v>1392</v>
      </c>
      <c r="AB64" s="589" t="s">
        <v>1483</v>
      </c>
      <c r="AC64" s="589">
        <v>106</v>
      </c>
      <c r="AD64" s="583">
        <v>106</v>
      </c>
      <c r="AE64" s="589"/>
      <c r="AF64" s="589" t="s">
        <v>1071</v>
      </c>
      <c r="AG64" s="806">
        <v>2</v>
      </c>
      <c r="AH64" s="806">
        <v>8</v>
      </c>
      <c r="AI64" s="807">
        <v>41542</v>
      </c>
    </row>
    <row r="65" spans="12:35">
      <c r="L65" s="252" t="s">
        <v>157</v>
      </c>
      <c r="M65" s="256"/>
      <c r="N65" s="379">
        <v>8.4000000000000005E-2</v>
      </c>
      <c r="O65" s="545">
        <v>11.52</v>
      </c>
      <c r="P65" s="830">
        <v>6.5</v>
      </c>
      <c r="Q65" s="545">
        <v>8.41</v>
      </c>
      <c r="R65" s="257"/>
      <c r="S65" s="235" t="s">
        <v>405</v>
      </c>
      <c r="T65" s="272">
        <f>AVERAGE(O64:O67)</f>
        <v>8.6885763888888885</v>
      </c>
      <c r="V65" s="688" t="s">
        <v>1674</v>
      </c>
      <c r="W65" s="583" t="s">
        <v>297</v>
      </c>
      <c r="X65" s="243">
        <v>41541</v>
      </c>
      <c r="Y65" s="243">
        <v>41541</v>
      </c>
      <c r="Z65" s="589" t="s">
        <v>245</v>
      </c>
      <c r="AA65" s="589" t="s">
        <v>1392</v>
      </c>
      <c r="AB65" s="589" t="s">
        <v>991</v>
      </c>
      <c r="AC65" s="589">
        <v>22</v>
      </c>
      <c r="AD65" s="583">
        <v>22</v>
      </c>
      <c r="AE65" s="589" t="s">
        <v>1419</v>
      </c>
      <c r="AF65" s="637" t="s">
        <v>1071</v>
      </c>
      <c r="AG65" s="809">
        <v>5</v>
      </c>
      <c r="AH65" s="809">
        <v>35</v>
      </c>
      <c r="AI65" s="807">
        <v>41550</v>
      </c>
    </row>
    <row r="66" spans="12:35">
      <c r="L66" s="252" t="s">
        <v>351</v>
      </c>
      <c r="M66" s="256"/>
      <c r="N66" s="379">
        <v>8.3000000000000004E-2</v>
      </c>
      <c r="O66" s="545">
        <v>11.38</v>
      </c>
      <c r="P66" s="830">
        <v>6.5</v>
      </c>
      <c r="Q66" s="545">
        <v>8.32</v>
      </c>
      <c r="R66" s="257"/>
      <c r="S66" s="235" t="s">
        <v>357</v>
      </c>
      <c r="T66" s="272">
        <f>AVERAGE(P64:P67)</f>
        <v>6.5250000000000004</v>
      </c>
      <c r="V66" s="688" t="s">
        <v>1674</v>
      </c>
      <c r="W66" s="583" t="s">
        <v>297</v>
      </c>
      <c r="X66" s="243">
        <v>41541</v>
      </c>
      <c r="Y66" s="243">
        <v>41541</v>
      </c>
      <c r="Z66" s="589" t="s">
        <v>179</v>
      </c>
      <c r="AA66" s="589" t="s">
        <v>1392</v>
      </c>
      <c r="AB66" s="805" t="s">
        <v>1000</v>
      </c>
      <c r="AC66" s="589">
        <v>26</v>
      </c>
      <c r="AD66" s="583">
        <v>26</v>
      </c>
      <c r="AE66" s="589"/>
      <c r="AF66" s="589" t="s">
        <v>1071</v>
      </c>
      <c r="AG66" s="806">
        <v>2</v>
      </c>
      <c r="AH66" s="806">
        <v>8</v>
      </c>
      <c r="AI66" s="807">
        <v>41547</v>
      </c>
    </row>
    <row r="67" spans="12:35">
      <c r="L67" s="252" t="s">
        <v>158</v>
      </c>
      <c r="M67" s="256"/>
      <c r="N67" s="379">
        <v>8.3000000000000004E-2</v>
      </c>
      <c r="O67" s="545">
        <v>11.33</v>
      </c>
      <c r="P67" s="830">
        <v>6.5</v>
      </c>
      <c r="Q67" s="545">
        <v>8.19</v>
      </c>
      <c r="R67" s="257"/>
      <c r="S67" s="235" t="s">
        <v>406</v>
      </c>
      <c r="T67" s="272">
        <f>AVERAGE(Q64:Q73)</f>
        <v>8.109</v>
      </c>
      <c r="V67" s="589" t="s">
        <v>1674</v>
      </c>
      <c r="W67" s="583" t="s">
        <v>297</v>
      </c>
      <c r="X67" s="243">
        <v>41541</v>
      </c>
      <c r="Y67" s="243">
        <v>41541</v>
      </c>
      <c r="Z67" s="590" t="s">
        <v>180</v>
      </c>
      <c r="AA67" s="589" t="s">
        <v>1392</v>
      </c>
      <c r="AB67" s="805" t="s">
        <v>1000</v>
      </c>
      <c r="AC67" s="591">
        <v>8</v>
      </c>
      <c r="AD67" s="590">
        <v>8</v>
      </c>
      <c r="AE67" s="637" t="s">
        <v>1419</v>
      </c>
      <c r="AF67" s="589" t="s">
        <v>1071</v>
      </c>
      <c r="AG67" s="810">
        <v>2</v>
      </c>
      <c r="AH67" s="810">
        <v>8</v>
      </c>
      <c r="AI67" s="807">
        <v>41547</v>
      </c>
    </row>
    <row r="68" spans="12:35">
      <c r="L68" s="252" t="s">
        <v>352</v>
      </c>
      <c r="M68" s="256"/>
      <c r="N68" s="379">
        <v>8.3000000000000004E-2</v>
      </c>
      <c r="O68" s="545">
        <v>10.96</v>
      </c>
      <c r="P68" s="830">
        <v>6.5</v>
      </c>
      <c r="Q68" s="545">
        <v>8.0500000000000007</v>
      </c>
      <c r="R68" s="257"/>
      <c r="S68" s="235" t="s">
        <v>407</v>
      </c>
      <c r="T68" s="271">
        <f>AVERAGE(N64:N73)</f>
        <v>8.3099999999999979E-2</v>
      </c>
      <c r="V68" s="688" t="s">
        <v>1674</v>
      </c>
      <c r="W68" s="583" t="s">
        <v>297</v>
      </c>
      <c r="X68" s="243">
        <v>41541</v>
      </c>
      <c r="Y68" s="243">
        <v>41541</v>
      </c>
      <c r="Z68" s="589" t="s">
        <v>184</v>
      </c>
      <c r="AA68" s="589" t="s">
        <v>1392</v>
      </c>
      <c r="AB68" s="589" t="s">
        <v>1471</v>
      </c>
      <c r="AC68" s="592">
        <v>7.6</v>
      </c>
      <c r="AD68" s="811">
        <v>7.6</v>
      </c>
      <c r="AE68" s="589"/>
      <c r="AF68" s="589" t="s">
        <v>1096</v>
      </c>
      <c r="AG68" s="806">
        <v>4</v>
      </c>
      <c r="AH68" s="806"/>
      <c r="AI68" s="807">
        <v>41542</v>
      </c>
    </row>
    <row r="69" spans="12:35">
      <c r="L69" s="252" t="s">
        <v>159</v>
      </c>
      <c r="M69" s="256"/>
      <c r="N69" s="379">
        <v>8.3000000000000004E-2</v>
      </c>
      <c r="O69" s="545">
        <v>11.19</v>
      </c>
      <c r="P69" s="830">
        <v>6.5</v>
      </c>
      <c r="Q69" s="545">
        <v>7.95</v>
      </c>
      <c r="R69" s="257"/>
      <c r="V69" s="688" t="s">
        <v>1674</v>
      </c>
      <c r="W69" s="583" t="s">
        <v>297</v>
      </c>
      <c r="X69" s="243">
        <v>41541</v>
      </c>
      <c r="Y69" s="243">
        <v>41541</v>
      </c>
      <c r="Z69" s="584" t="s">
        <v>181</v>
      </c>
      <c r="AA69" s="804" t="s">
        <v>1392</v>
      </c>
      <c r="AB69" s="812" t="s">
        <v>1402</v>
      </c>
      <c r="AC69" s="332">
        <v>0.3</v>
      </c>
      <c r="AD69" s="813">
        <v>0.3</v>
      </c>
      <c r="AE69" s="814"/>
      <c r="AF69" s="589" t="s">
        <v>1071</v>
      </c>
      <c r="AG69" s="810">
        <v>0.1</v>
      </c>
      <c r="AH69" s="810"/>
      <c r="AI69" s="807">
        <v>41546</v>
      </c>
    </row>
    <row r="70" spans="12:35">
      <c r="L70" s="252" t="s">
        <v>353</v>
      </c>
      <c r="M70" s="256"/>
      <c r="N70" s="379">
        <v>8.3000000000000004E-2</v>
      </c>
      <c r="O70" s="868">
        <v>11.21</v>
      </c>
      <c r="P70" s="830">
        <v>6.5</v>
      </c>
      <c r="Q70" s="545">
        <v>7.91</v>
      </c>
      <c r="R70" s="257"/>
      <c r="V70" s="688" t="s">
        <v>1674</v>
      </c>
      <c r="W70" s="583" t="s">
        <v>297</v>
      </c>
      <c r="X70" s="243">
        <v>41541</v>
      </c>
      <c r="Y70" s="243">
        <v>41541</v>
      </c>
      <c r="Z70" s="584" t="s">
        <v>181</v>
      </c>
      <c r="AA70" s="804" t="s">
        <v>1392</v>
      </c>
      <c r="AB70" s="812" t="s">
        <v>1402</v>
      </c>
      <c r="AC70" s="332">
        <v>0.3</v>
      </c>
      <c r="AD70" s="813">
        <v>0.3</v>
      </c>
      <c r="AE70" s="814"/>
      <c r="AF70" s="589" t="s">
        <v>1071</v>
      </c>
      <c r="AG70" s="810">
        <v>0.1</v>
      </c>
      <c r="AH70" s="810"/>
      <c r="AI70" s="807">
        <v>41546</v>
      </c>
    </row>
    <row r="71" spans="12:35">
      <c r="L71" s="252" t="s">
        <v>160</v>
      </c>
      <c r="M71" s="256"/>
      <c r="N71" s="379">
        <v>8.3000000000000004E-2</v>
      </c>
      <c r="O71" s="545">
        <v>11.19</v>
      </c>
      <c r="P71" s="830">
        <v>6.4</v>
      </c>
      <c r="Q71" s="545">
        <v>7.87</v>
      </c>
      <c r="R71" s="257"/>
      <c r="V71" s="804" t="s">
        <v>1675</v>
      </c>
      <c r="W71" s="583" t="s">
        <v>402</v>
      </c>
      <c r="X71" s="243">
        <v>41541</v>
      </c>
      <c r="Y71" s="243">
        <v>41541</v>
      </c>
      <c r="Z71" s="584" t="s">
        <v>206</v>
      </c>
      <c r="AA71" s="589" t="s">
        <v>1392</v>
      </c>
      <c r="AB71" s="805" t="s">
        <v>996</v>
      </c>
      <c r="AC71" s="589">
        <v>382</v>
      </c>
      <c r="AD71" s="583">
        <v>382</v>
      </c>
      <c r="AE71" s="589"/>
      <c r="AF71" s="637" t="s">
        <v>1071</v>
      </c>
      <c r="AG71" s="806">
        <v>6</v>
      </c>
      <c r="AH71" s="806">
        <v>42</v>
      </c>
      <c r="AI71" s="807">
        <v>41547</v>
      </c>
    </row>
    <row r="72" spans="12:35">
      <c r="L72" s="252" t="s">
        <v>161</v>
      </c>
      <c r="M72" s="256"/>
      <c r="N72" s="379">
        <v>8.3000000000000004E-2</v>
      </c>
      <c r="O72" s="545">
        <v>11.26</v>
      </c>
      <c r="P72" s="830">
        <v>6.4</v>
      </c>
      <c r="Q72" s="545">
        <v>7.86</v>
      </c>
      <c r="R72" s="257"/>
      <c r="V72" s="688" t="s">
        <v>1675</v>
      </c>
      <c r="W72" s="583" t="s">
        <v>402</v>
      </c>
      <c r="X72" s="243">
        <v>41541</v>
      </c>
      <c r="Y72" s="243">
        <v>41541</v>
      </c>
      <c r="Z72" s="589" t="s">
        <v>185</v>
      </c>
      <c r="AA72" s="589" t="s">
        <v>1392</v>
      </c>
      <c r="AB72" s="589" t="s">
        <v>1483</v>
      </c>
      <c r="AC72" s="589">
        <v>106</v>
      </c>
      <c r="AD72" s="583">
        <v>106</v>
      </c>
      <c r="AE72" s="589"/>
      <c r="AF72" s="589" t="s">
        <v>1071</v>
      </c>
      <c r="AG72" s="806">
        <v>2</v>
      </c>
      <c r="AH72" s="806">
        <v>8</v>
      </c>
      <c r="AI72" s="807">
        <v>41542</v>
      </c>
    </row>
    <row r="73" spans="12:35">
      <c r="L73" s="252" t="s">
        <v>162</v>
      </c>
      <c r="M73" s="256"/>
      <c r="N73" s="379">
        <v>8.2000000000000003E-2</v>
      </c>
      <c r="O73" s="866">
        <v>11.15</v>
      </c>
      <c r="P73" s="258">
        <v>6.3</v>
      </c>
      <c r="Q73" s="866">
        <v>7.84</v>
      </c>
      <c r="V73" s="688" t="s">
        <v>1675</v>
      </c>
      <c r="W73" s="583" t="s">
        <v>402</v>
      </c>
      <c r="X73" s="243">
        <v>41541</v>
      </c>
      <c r="Y73" s="243">
        <v>41541</v>
      </c>
      <c r="Z73" s="589" t="s">
        <v>245</v>
      </c>
      <c r="AA73" s="589" t="s">
        <v>1392</v>
      </c>
      <c r="AB73" s="589" t="s">
        <v>991</v>
      </c>
      <c r="AC73" s="589">
        <v>21</v>
      </c>
      <c r="AD73" s="583">
        <v>21</v>
      </c>
      <c r="AE73" s="589" t="s">
        <v>1419</v>
      </c>
      <c r="AF73" s="637" t="s">
        <v>1071</v>
      </c>
      <c r="AG73" s="809">
        <v>5</v>
      </c>
      <c r="AH73" s="809">
        <v>35</v>
      </c>
      <c r="AI73" s="807">
        <v>41550</v>
      </c>
    </row>
    <row r="74" spans="12:35">
      <c r="L74" s="261" t="s">
        <v>150</v>
      </c>
      <c r="M74" s="1112">
        <v>41568</v>
      </c>
      <c r="V74" s="688" t="s">
        <v>1675</v>
      </c>
      <c r="W74" s="583" t="s">
        <v>402</v>
      </c>
      <c r="X74" s="243">
        <v>41541</v>
      </c>
      <c r="Y74" s="243">
        <v>41541</v>
      </c>
      <c r="Z74" s="589" t="s">
        <v>179</v>
      </c>
      <c r="AA74" s="589" t="s">
        <v>1392</v>
      </c>
      <c r="AB74" s="805" t="s">
        <v>1000</v>
      </c>
      <c r="AC74" s="589">
        <v>31</v>
      </c>
      <c r="AD74" s="583">
        <v>31</v>
      </c>
      <c r="AE74" s="589"/>
      <c r="AF74" s="589" t="s">
        <v>1071</v>
      </c>
      <c r="AG74" s="806">
        <v>2</v>
      </c>
      <c r="AH74" s="806">
        <v>8</v>
      </c>
      <c r="AI74" s="807">
        <v>41547</v>
      </c>
    </row>
    <row r="75" spans="12:35">
      <c r="L75" s="251" t="s">
        <v>373</v>
      </c>
      <c r="M75" s="831" t="s">
        <v>152</v>
      </c>
      <c r="N75" s="831" t="s">
        <v>153</v>
      </c>
      <c r="O75" s="831" t="s">
        <v>154</v>
      </c>
      <c r="P75" s="831" t="s">
        <v>155</v>
      </c>
      <c r="Q75" s="831" t="s">
        <v>156</v>
      </c>
      <c r="R75" s="251" t="s">
        <v>166</v>
      </c>
      <c r="S75" s="251" t="s">
        <v>176</v>
      </c>
      <c r="V75" s="589" t="s">
        <v>1675</v>
      </c>
      <c r="W75" s="583" t="s">
        <v>402</v>
      </c>
      <c r="X75" s="243">
        <v>41541</v>
      </c>
      <c r="Y75" s="243">
        <v>41541</v>
      </c>
      <c r="Z75" s="590" t="s">
        <v>180</v>
      </c>
      <c r="AA75" s="589" t="s">
        <v>1392</v>
      </c>
      <c r="AB75" s="805" t="s">
        <v>1000</v>
      </c>
      <c r="AC75" s="591">
        <v>8</v>
      </c>
      <c r="AD75" s="590">
        <v>8</v>
      </c>
      <c r="AE75" s="637" t="s">
        <v>1419</v>
      </c>
      <c r="AF75" s="589" t="s">
        <v>1071</v>
      </c>
      <c r="AG75" s="810">
        <v>2</v>
      </c>
      <c r="AH75" s="810">
        <v>8</v>
      </c>
      <c r="AI75" s="807">
        <v>41547</v>
      </c>
    </row>
    <row r="76" spans="12:35">
      <c r="L76" s="252" t="s">
        <v>350</v>
      </c>
      <c r="M76" s="253">
        <v>0.48472222222222222</v>
      </c>
      <c r="N76" s="379">
        <v>8.6999999999999994E-2</v>
      </c>
      <c r="O76" s="545">
        <v>12.47</v>
      </c>
      <c r="P76" s="830">
        <v>3.2</v>
      </c>
      <c r="Q76" s="545">
        <v>8.39</v>
      </c>
      <c r="R76" s="255">
        <v>2.5499999999999998</v>
      </c>
      <c r="S76" s="256">
        <v>5.84</v>
      </c>
      <c r="V76" s="688" t="s">
        <v>1675</v>
      </c>
      <c r="W76" s="583" t="s">
        <v>402</v>
      </c>
      <c r="X76" s="243">
        <v>41541</v>
      </c>
      <c r="Y76" s="243">
        <v>41541</v>
      </c>
      <c r="Z76" s="589" t="s">
        <v>184</v>
      </c>
      <c r="AA76" s="589" t="s">
        <v>1392</v>
      </c>
      <c r="AB76" s="589" t="s">
        <v>1471</v>
      </c>
      <c r="AC76" s="592">
        <v>12.8</v>
      </c>
      <c r="AD76" s="811">
        <v>12.8</v>
      </c>
      <c r="AE76" s="589"/>
      <c r="AF76" s="589" t="s">
        <v>1096</v>
      </c>
      <c r="AG76" s="806">
        <v>4</v>
      </c>
      <c r="AH76" s="806"/>
      <c r="AI76" s="807">
        <v>41542</v>
      </c>
    </row>
    <row r="77" spans="12:35">
      <c r="L77" s="252" t="s">
        <v>157</v>
      </c>
      <c r="M77" s="256"/>
      <c r="N77" s="379">
        <v>8.4000000000000005E-2</v>
      </c>
      <c r="O77" s="545">
        <v>11.99</v>
      </c>
      <c r="P77" s="830">
        <v>3.1</v>
      </c>
      <c r="Q77" s="545">
        <v>8.19</v>
      </c>
      <c r="R77" s="257"/>
      <c r="S77" s="235" t="s">
        <v>405</v>
      </c>
      <c r="T77" s="272">
        <f>AVERAGE(O76:O79)</f>
        <v>12.112500000000001</v>
      </c>
    </row>
    <row r="78" spans="12:35">
      <c r="L78" s="252" t="s">
        <v>351</v>
      </c>
      <c r="M78" s="256"/>
      <c r="N78" s="379">
        <v>8.4000000000000005E-2</v>
      </c>
      <c r="O78" s="545">
        <v>12.11</v>
      </c>
      <c r="P78" s="830">
        <v>3.1</v>
      </c>
      <c r="Q78" s="545">
        <v>8.08</v>
      </c>
      <c r="R78" s="257"/>
      <c r="S78" s="235" t="s">
        <v>357</v>
      </c>
      <c r="T78" s="272">
        <f>AVERAGE(P76:P79)</f>
        <v>3.1500000000000004</v>
      </c>
      <c r="V78" s="804" t="s">
        <v>1745</v>
      </c>
      <c r="W78" s="585" t="s">
        <v>297</v>
      </c>
      <c r="X78" s="243">
        <v>41556</v>
      </c>
      <c r="Y78" s="243">
        <v>41556</v>
      </c>
      <c r="Z78" s="584" t="s">
        <v>206</v>
      </c>
      <c r="AA78" s="589" t="s">
        <v>1392</v>
      </c>
      <c r="AB78" s="805" t="s">
        <v>996</v>
      </c>
      <c r="AC78" s="589">
        <v>183</v>
      </c>
      <c r="AD78" s="583">
        <v>183</v>
      </c>
      <c r="AE78" s="589"/>
      <c r="AF78" s="637" t="s">
        <v>1071</v>
      </c>
      <c r="AG78" s="806">
        <v>6</v>
      </c>
      <c r="AH78" s="806">
        <v>42</v>
      </c>
      <c r="AI78" s="807">
        <v>41562</v>
      </c>
    </row>
    <row r="79" spans="12:35">
      <c r="L79" s="252" t="s">
        <v>158</v>
      </c>
      <c r="M79" s="256"/>
      <c r="N79" s="379">
        <v>8.5000000000000006E-2</v>
      </c>
      <c r="O79" s="545">
        <v>11.88</v>
      </c>
      <c r="P79" s="830">
        <v>3.2</v>
      </c>
      <c r="Q79" s="545">
        <v>8.09</v>
      </c>
      <c r="R79" s="257"/>
      <c r="S79" s="235" t="s">
        <v>406</v>
      </c>
      <c r="T79" s="272">
        <f>AVERAGE(Q76:Q85)</f>
        <v>7.9730000000000008</v>
      </c>
      <c r="V79" s="804" t="s">
        <v>1745</v>
      </c>
      <c r="W79" s="585" t="s">
        <v>297</v>
      </c>
      <c r="X79" s="243">
        <v>41556</v>
      </c>
      <c r="Y79" s="243">
        <v>41556</v>
      </c>
      <c r="Z79" s="589" t="s">
        <v>185</v>
      </c>
      <c r="AA79" s="589" t="s">
        <v>1392</v>
      </c>
      <c r="AB79" s="589" t="s">
        <v>1483</v>
      </c>
      <c r="AC79" s="589">
        <v>118</v>
      </c>
      <c r="AD79" s="583">
        <v>118</v>
      </c>
      <c r="AE79" s="589"/>
      <c r="AF79" s="589" t="s">
        <v>1071</v>
      </c>
      <c r="AG79" s="806">
        <v>2</v>
      </c>
      <c r="AH79" s="806">
        <v>8</v>
      </c>
      <c r="AI79" s="807">
        <v>41557</v>
      </c>
    </row>
    <row r="80" spans="12:35">
      <c r="L80" s="252" t="s">
        <v>352</v>
      </c>
      <c r="M80" s="256"/>
      <c r="N80" s="379">
        <v>8.5000000000000006E-2</v>
      </c>
      <c r="O80" s="545">
        <v>11.88</v>
      </c>
      <c r="P80" s="830">
        <v>3.2</v>
      </c>
      <c r="Q80" s="545">
        <v>7.93</v>
      </c>
      <c r="R80" s="257"/>
      <c r="S80" s="235" t="s">
        <v>407</v>
      </c>
      <c r="T80" s="271">
        <f>AVERAGE(N76:N85)</f>
        <v>8.4999999999999992E-2</v>
      </c>
      <c r="V80" s="804" t="s">
        <v>1745</v>
      </c>
      <c r="W80" s="585" t="s">
        <v>297</v>
      </c>
      <c r="X80" s="243">
        <v>41556</v>
      </c>
      <c r="Y80" s="243">
        <v>41556</v>
      </c>
      <c r="Z80" s="589" t="s">
        <v>245</v>
      </c>
      <c r="AA80" s="589" t="s">
        <v>1392</v>
      </c>
      <c r="AB80" s="589" t="s">
        <v>991</v>
      </c>
      <c r="AC80" s="589">
        <v>31</v>
      </c>
      <c r="AD80" s="808" t="s">
        <v>1519</v>
      </c>
      <c r="AE80" s="589"/>
      <c r="AF80" s="637" t="s">
        <v>1071</v>
      </c>
      <c r="AG80" s="809">
        <v>5</v>
      </c>
      <c r="AH80" s="809">
        <v>35</v>
      </c>
      <c r="AI80" s="807">
        <v>41575</v>
      </c>
    </row>
    <row r="81" spans="12:35">
      <c r="L81" s="252" t="s">
        <v>159</v>
      </c>
      <c r="M81" s="256"/>
      <c r="N81" s="379">
        <v>8.5000000000000006E-2</v>
      </c>
      <c r="O81" s="545">
        <v>11.85</v>
      </c>
      <c r="P81" s="830">
        <v>3.2</v>
      </c>
      <c r="Q81" s="545">
        <v>7.88</v>
      </c>
      <c r="R81" s="257"/>
      <c r="V81" s="804" t="s">
        <v>1745</v>
      </c>
      <c r="W81" s="585" t="s">
        <v>297</v>
      </c>
      <c r="X81" s="243">
        <v>41556</v>
      </c>
      <c r="Y81" s="243">
        <v>41556</v>
      </c>
      <c r="Z81" s="589" t="s">
        <v>179</v>
      </c>
      <c r="AA81" s="589" t="s">
        <v>1392</v>
      </c>
      <c r="AB81" s="805" t="s">
        <v>1000</v>
      </c>
      <c r="AC81" s="589">
        <v>16</v>
      </c>
      <c r="AD81" s="583">
        <v>16</v>
      </c>
      <c r="AE81" s="589"/>
      <c r="AF81" s="589" t="s">
        <v>1071</v>
      </c>
      <c r="AG81" s="806">
        <v>2</v>
      </c>
      <c r="AH81" s="806">
        <v>8</v>
      </c>
      <c r="AI81" s="807">
        <v>41562</v>
      </c>
    </row>
    <row r="82" spans="12:35">
      <c r="L82" s="252" t="s">
        <v>353</v>
      </c>
      <c r="M82" s="256"/>
      <c r="N82" s="379">
        <v>8.5000000000000006E-2</v>
      </c>
      <c r="O82" s="868">
        <v>11.52</v>
      </c>
      <c r="P82" s="830">
        <v>3.2</v>
      </c>
      <c r="Q82" s="545">
        <v>7.85</v>
      </c>
      <c r="R82" s="257"/>
      <c r="V82" s="804" t="s">
        <v>1745</v>
      </c>
      <c r="W82" s="585" t="s">
        <v>297</v>
      </c>
      <c r="X82" s="243">
        <v>41556</v>
      </c>
      <c r="Y82" s="243">
        <v>41556</v>
      </c>
      <c r="Z82" s="590" t="s">
        <v>180</v>
      </c>
      <c r="AA82" s="589" t="s">
        <v>1392</v>
      </c>
      <c r="AB82" s="805" t="s">
        <v>1000</v>
      </c>
      <c r="AC82" s="591"/>
      <c r="AD82" s="590"/>
      <c r="AE82" s="637" t="s">
        <v>1395</v>
      </c>
      <c r="AF82" s="589" t="s">
        <v>1071</v>
      </c>
      <c r="AG82" s="810">
        <v>2</v>
      </c>
      <c r="AH82" s="810">
        <v>8</v>
      </c>
      <c r="AI82" s="807">
        <v>41562</v>
      </c>
    </row>
    <row r="83" spans="12:35">
      <c r="L83" s="252" t="s">
        <v>160</v>
      </c>
      <c r="M83" s="256"/>
      <c r="N83" s="379">
        <v>8.5000000000000006E-2</v>
      </c>
      <c r="O83" s="545">
        <v>11.92</v>
      </c>
      <c r="P83" s="830">
        <v>3.2</v>
      </c>
      <c r="Q83" s="545">
        <v>7.82</v>
      </c>
      <c r="R83" s="257"/>
      <c r="V83" s="804" t="s">
        <v>1745</v>
      </c>
      <c r="W83" s="585" t="s">
        <v>297</v>
      </c>
      <c r="X83" s="243">
        <v>41556</v>
      </c>
      <c r="Y83" s="243">
        <v>41556</v>
      </c>
      <c r="Z83" s="589" t="s">
        <v>184</v>
      </c>
      <c r="AA83" s="589" t="s">
        <v>1392</v>
      </c>
      <c r="AB83" s="589" t="s">
        <v>1471</v>
      </c>
      <c r="AC83" s="592">
        <v>10</v>
      </c>
      <c r="AD83" s="811">
        <v>10</v>
      </c>
      <c r="AE83" s="589"/>
      <c r="AF83" s="589" t="s">
        <v>1096</v>
      </c>
      <c r="AG83" s="806">
        <v>4</v>
      </c>
      <c r="AH83" s="806"/>
      <c r="AI83" s="807">
        <v>41557</v>
      </c>
    </row>
    <row r="84" spans="12:35">
      <c r="L84" s="252" t="s">
        <v>161</v>
      </c>
      <c r="M84" s="256"/>
      <c r="N84" s="379">
        <v>8.5000000000000006E-2</v>
      </c>
      <c r="O84" s="545">
        <v>11.99</v>
      </c>
      <c r="P84" s="830">
        <v>3.3</v>
      </c>
      <c r="Q84" s="545">
        <v>7.76</v>
      </c>
      <c r="R84" s="257"/>
      <c r="V84" s="804" t="s">
        <v>1745</v>
      </c>
      <c r="W84" s="585" t="s">
        <v>297</v>
      </c>
      <c r="X84" s="243">
        <v>41556</v>
      </c>
      <c r="Y84" s="243">
        <v>41556</v>
      </c>
      <c r="Z84" s="584" t="s">
        <v>181</v>
      </c>
      <c r="AA84" s="804" t="s">
        <v>1392</v>
      </c>
      <c r="AB84" s="812" t="s">
        <v>1402</v>
      </c>
      <c r="AC84" s="332">
        <v>1.9</v>
      </c>
      <c r="AD84" s="813">
        <v>1.9</v>
      </c>
      <c r="AE84" s="814"/>
      <c r="AF84" s="589" t="s">
        <v>1071</v>
      </c>
      <c r="AG84" s="810">
        <v>0.1</v>
      </c>
      <c r="AH84" s="810"/>
      <c r="AI84" s="807">
        <v>41561</v>
      </c>
    </row>
    <row r="85" spans="12:35">
      <c r="L85" s="252" t="s">
        <v>162</v>
      </c>
      <c r="M85" s="256"/>
      <c r="N85" s="379">
        <v>8.5000000000000006E-2</v>
      </c>
      <c r="O85" s="866">
        <v>11.72</v>
      </c>
      <c r="P85" s="258">
        <v>3.3</v>
      </c>
      <c r="Q85" s="866">
        <v>7.74</v>
      </c>
      <c r="V85" s="804" t="s">
        <v>1745</v>
      </c>
      <c r="W85" s="585" t="s">
        <v>297</v>
      </c>
      <c r="X85" s="243">
        <v>41556</v>
      </c>
      <c r="Y85" s="243">
        <v>41556</v>
      </c>
      <c r="Z85" s="584" t="s">
        <v>181</v>
      </c>
      <c r="AA85" s="804" t="s">
        <v>1392</v>
      </c>
      <c r="AB85" s="812" t="s">
        <v>1402</v>
      </c>
      <c r="AC85" s="332">
        <v>0.6</v>
      </c>
      <c r="AD85" s="813">
        <v>0.6</v>
      </c>
      <c r="AE85" s="814"/>
      <c r="AF85" s="589" t="s">
        <v>1071</v>
      </c>
      <c r="AG85" s="810">
        <v>0.1</v>
      </c>
      <c r="AH85" s="810"/>
      <c r="AI85" s="807">
        <v>41561</v>
      </c>
    </row>
    <row r="86" spans="12:35">
      <c r="V86" s="804" t="s">
        <v>1746</v>
      </c>
      <c r="W86" s="585" t="s">
        <v>402</v>
      </c>
      <c r="X86" s="243">
        <v>41556</v>
      </c>
      <c r="Y86" s="243">
        <v>41556</v>
      </c>
      <c r="Z86" s="584" t="s">
        <v>206</v>
      </c>
      <c r="AA86" s="589" t="s">
        <v>1392</v>
      </c>
      <c r="AB86" s="805" t="s">
        <v>996</v>
      </c>
      <c r="AC86" s="589">
        <v>186</v>
      </c>
      <c r="AD86" s="583">
        <v>186</v>
      </c>
      <c r="AE86" s="589"/>
      <c r="AF86" s="637" t="s">
        <v>1071</v>
      </c>
      <c r="AG86" s="806">
        <v>6</v>
      </c>
      <c r="AH86" s="806">
        <v>42</v>
      </c>
      <c r="AI86" s="807">
        <v>41562</v>
      </c>
    </row>
    <row r="87" spans="12:35">
      <c r="V87" s="804" t="s">
        <v>1746</v>
      </c>
      <c r="W87" s="585" t="s">
        <v>402</v>
      </c>
      <c r="X87" s="243">
        <v>41556</v>
      </c>
      <c r="Y87" s="243">
        <v>41556</v>
      </c>
      <c r="Z87" s="589" t="s">
        <v>185</v>
      </c>
      <c r="AA87" s="589" t="s">
        <v>1392</v>
      </c>
      <c r="AB87" s="589" t="s">
        <v>1483</v>
      </c>
      <c r="AC87" s="589">
        <v>114</v>
      </c>
      <c r="AD87" s="583">
        <v>114</v>
      </c>
      <c r="AE87" s="589"/>
      <c r="AF87" s="589" t="s">
        <v>1071</v>
      </c>
      <c r="AG87" s="806">
        <v>2</v>
      </c>
      <c r="AH87" s="806">
        <v>8</v>
      </c>
      <c r="AI87" s="807">
        <v>41557</v>
      </c>
    </row>
    <row r="88" spans="12:35">
      <c r="V88" s="804" t="s">
        <v>1746</v>
      </c>
      <c r="W88" s="585" t="s">
        <v>402</v>
      </c>
      <c r="X88" s="243">
        <v>41556</v>
      </c>
      <c r="Y88" s="243">
        <v>41556</v>
      </c>
      <c r="Z88" s="589" t="s">
        <v>245</v>
      </c>
      <c r="AA88" s="589" t="s">
        <v>1392</v>
      </c>
      <c r="AB88" s="589" t="s">
        <v>991</v>
      </c>
      <c r="AC88" s="589">
        <v>28</v>
      </c>
      <c r="AD88" s="808" t="s">
        <v>1409</v>
      </c>
      <c r="AE88" s="589"/>
      <c r="AF88" s="637" t="s">
        <v>1071</v>
      </c>
      <c r="AG88" s="809">
        <v>5</v>
      </c>
      <c r="AH88" s="809">
        <v>35</v>
      </c>
      <c r="AI88" s="807">
        <v>41575</v>
      </c>
    </row>
    <row r="89" spans="12:35">
      <c r="V89" s="804" t="s">
        <v>1746</v>
      </c>
      <c r="W89" s="585" t="s">
        <v>402</v>
      </c>
      <c r="X89" s="243">
        <v>41556</v>
      </c>
      <c r="Y89" s="243">
        <v>41556</v>
      </c>
      <c r="Z89" s="589" t="s">
        <v>179</v>
      </c>
      <c r="AA89" s="589" t="s">
        <v>1392</v>
      </c>
      <c r="AB89" s="805" t="s">
        <v>1000</v>
      </c>
      <c r="AC89" s="589">
        <v>43</v>
      </c>
      <c r="AD89" s="583">
        <v>43</v>
      </c>
      <c r="AE89" s="589"/>
      <c r="AF89" s="589" t="s">
        <v>1071</v>
      </c>
      <c r="AG89" s="806">
        <v>2</v>
      </c>
      <c r="AH89" s="806">
        <v>8</v>
      </c>
      <c r="AI89" s="807">
        <v>41562</v>
      </c>
    </row>
    <row r="90" spans="12:35">
      <c r="V90" s="804" t="s">
        <v>1746</v>
      </c>
      <c r="W90" s="585" t="s">
        <v>402</v>
      </c>
      <c r="X90" s="243">
        <v>41556</v>
      </c>
      <c r="Y90" s="243">
        <v>41556</v>
      </c>
      <c r="Z90" s="590" t="s">
        <v>180</v>
      </c>
      <c r="AA90" s="589" t="s">
        <v>1392</v>
      </c>
      <c r="AB90" s="805" t="s">
        <v>1000</v>
      </c>
      <c r="AC90" s="591"/>
      <c r="AD90" s="590"/>
      <c r="AE90" s="637" t="s">
        <v>1395</v>
      </c>
      <c r="AF90" s="589" t="s">
        <v>1071</v>
      </c>
      <c r="AG90" s="810">
        <v>2</v>
      </c>
      <c r="AH90" s="810">
        <v>8</v>
      </c>
      <c r="AI90" s="807">
        <v>41562</v>
      </c>
    </row>
    <row r="91" spans="12:35">
      <c r="V91" s="804" t="s">
        <v>1746</v>
      </c>
      <c r="W91" s="585" t="s">
        <v>402</v>
      </c>
      <c r="X91" s="243">
        <v>41556</v>
      </c>
      <c r="Y91" s="243">
        <v>41556</v>
      </c>
      <c r="Z91" s="589" t="s">
        <v>184</v>
      </c>
      <c r="AA91" s="589" t="s">
        <v>1392</v>
      </c>
      <c r="AB91" s="589" t="s">
        <v>1471</v>
      </c>
      <c r="AC91" s="592">
        <v>26.2</v>
      </c>
      <c r="AD91" s="811">
        <v>26.2</v>
      </c>
      <c r="AE91" s="589"/>
      <c r="AF91" s="589" t="s">
        <v>1096</v>
      </c>
      <c r="AG91" s="806">
        <v>4</v>
      </c>
      <c r="AH91" s="806"/>
      <c r="AI91" s="807">
        <v>41557</v>
      </c>
    </row>
    <row r="93" spans="12:35">
      <c r="V93" s="804" t="s">
        <v>1721</v>
      </c>
      <c r="W93" s="585" t="s">
        <v>297</v>
      </c>
      <c r="X93" s="243">
        <v>41568</v>
      </c>
      <c r="Y93" s="243">
        <v>41568</v>
      </c>
      <c r="Z93" s="584" t="s">
        <v>206</v>
      </c>
      <c r="AA93" s="589" t="s">
        <v>1392</v>
      </c>
      <c r="AB93" s="805" t="s">
        <v>996</v>
      </c>
      <c r="AC93" s="589">
        <v>247</v>
      </c>
      <c r="AD93" s="583">
        <v>247</v>
      </c>
      <c r="AE93" s="589"/>
      <c r="AF93" s="637" t="s">
        <v>1071</v>
      </c>
      <c r="AG93" s="806">
        <v>6</v>
      </c>
      <c r="AH93" s="806">
        <v>42</v>
      </c>
      <c r="AI93" s="807">
        <v>41584</v>
      </c>
    </row>
    <row r="94" spans="12:35">
      <c r="V94" s="804" t="s">
        <v>1721</v>
      </c>
      <c r="W94" s="585" t="s">
        <v>297</v>
      </c>
      <c r="X94" s="243">
        <v>41568</v>
      </c>
      <c r="Y94" s="243">
        <v>41568</v>
      </c>
      <c r="Z94" s="589" t="s">
        <v>185</v>
      </c>
      <c r="AA94" s="589" t="s">
        <v>1392</v>
      </c>
      <c r="AB94" s="589" t="s">
        <v>1483</v>
      </c>
      <c r="AC94" s="589">
        <v>104</v>
      </c>
      <c r="AD94" s="583">
        <v>104</v>
      </c>
      <c r="AE94" s="589"/>
      <c r="AF94" s="589" t="s">
        <v>1071</v>
      </c>
      <c r="AG94" s="806">
        <v>2</v>
      </c>
      <c r="AH94" s="806">
        <v>8</v>
      </c>
      <c r="AI94" s="807">
        <v>41572</v>
      </c>
    </row>
    <row r="95" spans="12:35">
      <c r="V95" s="804" t="s">
        <v>1721</v>
      </c>
      <c r="W95" s="585" t="s">
        <v>297</v>
      </c>
      <c r="X95" s="243">
        <v>41568</v>
      </c>
      <c r="Y95" s="243">
        <v>41568</v>
      </c>
      <c r="Z95" s="589" t="s">
        <v>245</v>
      </c>
      <c r="AA95" s="589" t="s">
        <v>1392</v>
      </c>
      <c r="AB95" s="589" t="s">
        <v>991</v>
      </c>
      <c r="AC95" s="589">
        <v>7</v>
      </c>
      <c r="AD95" s="808" t="s">
        <v>1722</v>
      </c>
      <c r="AE95" s="589" t="s">
        <v>1419</v>
      </c>
      <c r="AF95" s="637" t="s">
        <v>1071</v>
      </c>
      <c r="AG95" s="809">
        <v>5</v>
      </c>
      <c r="AH95" s="809">
        <v>35</v>
      </c>
      <c r="AI95" s="807">
        <v>41575</v>
      </c>
    </row>
    <row r="96" spans="12:35">
      <c r="V96" s="804" t="s">
        <v>1721</v>
      </c>
      <c r="W96" s="585" t="s">
        <v>297</v>
      </c>
      <c r="X96" s="243">
        <v>41568</v>
      </c>
      <c r="Y96" s="243">
        <v>41568</v>
      </c>
      <c r="Z96" s="589" t="s">
        <v>179</v>
      </c>
      <c r="AA96" s="589" t="s">
        <v>1392</v>
      </c>
      <c r="AB96" s="805" t="s">
        <v>1000</v>
      </c>
      <c r="AC96" s="589"/>
      <c r="AD96" s="583"/>
      <c r="AE96" s="589" t="s">
        <v>1395</v>
      </c>
      <c r="AF96" s="589" t="s">
        <v>1071</v>
      </c>
      <c r="AG96" s="806">
        <v>2</v>
      </c>
      <c r="AH96" s="806">
        <v>8</v>
      </c>
      <c r="AI96" s="807">
        <v>41584</v>
      </c>
    </row>
    <row r="97" spans="22:35">
      <c r="V97" s="804" t="s">
        <v>1721</v>
      </c>
      <c r="W97" s="585" t="s">
        <v>297</v>
      </c>
      <c r="X97" s="243">
        <v>41568</v>
      </c>
      <c r="Y97" s="243">
        <v>41568</v>
      </c>
      <c r="Z97" s="590" t="s">
        <v>180</v>
      </c>
      <c r="AA97" s="589" t="s">
        <v>1392</v>
      </c>
      <c r="AB97" s="805" t="s">
        <v>1000</v>
      </c>
      <c r="AC97" s="591"/>
      <c r="AD97" s="590"/>
      <c r="AE97" s="637" t="s">
        <v>1395</v>
      </c>
      <c r="AF97" s="589" t="s">
        <v>1071</v>
      </c>
      <c r="AG97" s="810">
        <v>2</v>
      </c>
      <c r="AH97" s="810">
        <v>8</v>
      </c>
      <c r="AI97" s="807">
        <v>41584</v>
      </c>
    </row>
    <row r="98" spans="22:35">
      <c r="V98" s="804" t="s">
        <v>1721</v>
      </c>
      <c r="W98" s="585" t="s">
        <v>297</v>
      </c>
      <c r="X98" s="243">
        <v>41568</v>
      </c>
      <c r="Y98" s="243">
        <v>41568</v>
      </c>
      <c r="Z98" s="589" t="s">
        <v>184</v>
      </c>
      <c r="AA98" s="589" t="s">
        <v>1392</v>
      </c>
      <c r="AB98" s="589" t="s">
        <v>1471</v>
      </c>
      <c r="AC98" s="592"/>
      <c r="AD98" s="811"/>
      <c r="AE98" s="589" t="s">
        <v>1395</v>
      </c>
      <c r="AF98" s="589" t="s">
        <v>1096</v>
      </c>
      <c r="AG98" s="806">
        <v>4</v>
      </c>
      <c r="AH98" s="806"/>
      <c r="AI98" s="807">
        <v>41576</v>
      </c>
    </row>
    <row r="99" spans="22:35">
      <c r="V99" s="804" t="s">
        <v>1721</v>
      </c>
      <c r="W99" s="585" t="s">
        <v>297</v>
      </c>
      <c r="X99" s="243">
        <v>41568</v>
      </c>
      <c r="Y99" s="243">
        <v>41568</v>
      </c>
      <c r="Z99" s="584" t="s">
        <v>181</v>
      </c>
      <c r="AA99" s="804" t="s">
        <v>1392</v>
      </c>
      <c r="AB99" s="812" t="s">
        <v>1402</v>
      </c>
      <c r="AC99" s="332">
        <v>1.5</v>
      </c>
      <c r="AD99" s="813">
        <v>1.5</v>
      </c>
      <c r="AE99" s="814"/>
      <c r="AF99" s="589" t="s">
        <v>1071</v>
      </c>
      <c r="AG99" s="810">
        <v>0.1</v>
      </c>
      <c r="AH99" s="810"/>
      <c r="AI99" s="807">
        <v>41585</v>
      </c>
    </row>
    <row r="100" spans="22:35">
      <c r="V100" s="804" t="s">
        <v>1721</v>
      </c>
      <c r="W100" s="585" t="s">
        <v>297</v>
      </c>
      <c r="X100" s="243">
        <v>41568</v>
      </c>
      <c r="Y100" s="243">
        <v>41568</v>
      </c>
      <c r="Z100" s="584" t="s">
        <v>181</v>
      </c>
      <c r="AA100" s="804" t="s">
        <v>1392</v>
      </c>
      <c r="AB100" s="812" t="s">
        <v>1402</v>
      </c>
      <c r="AC100" s="332">
        <v>0.9</v>
      </c>
      <c r="AD100" s="813">
        <v>0.9</v>
      </c>
      <c r="AE100" s="814"/>
      <c r="AF100" s="589" t="s">
        <v>1071</v>
      </c>
      <c r="AG100" s="810">
        <v>0.1</v>
      </c>
      <c r="AH100" s="810"/>
      <c r="AI100" s="807">
        <v>41585</v>
      </c>
    </row>
    <row r="101" spans="22:35">
      <c r="V101" s="804" t="s">
        <v>1723</v>
      </c>
      <c r="W101" s="585" t="s">
        <v>402</v>
      </c>
      <c r="X101" s="243">
        <v>41568</v>
      </c>
      <c r="Y101" s="243">
        <v>41568</v>
      </c>
      <c r="Z101" s="584" t="s">
        <v>206</v>
      </c>
      <c r="AA101" s="589" t="s">
        <v>1392</v>
      </c>
      <c r="AB101" s="805" t="s">
        <v>996</v>
      </c>
      <c r="AC101" s="589">
        <v>224</v>
      </c>
      <c r="AD101" s="583">
        <v>224</v>
      </c>
      <c r="AE101" s="589"/>
      <c r="AF101" s="637" t="s">
        <v>1071</v>
      </c>
      <c r="AG101" s="806">
        <v>6</v>
      </c>
      <c r="AH101" s="806">
        <v>42</v>
      </c>
      <c r="AI101" s="807">
        <v>41584</v>
      </c>
    </row>
    <row r="102" spans="22:35">
      <c r="V102" s="804" t="s">
        <v>1723</v>
      </c>
      <c r="W102" s="585" t="s">
        <v>402</v>
      </c>
      <c r="X102" s="243">
        <v>41568</v>
      </c>
      <c r="Y102" s="243">
        <v>41568</v>
      </c>
      <c r="Z102" s="589" t="s">
        <v>185</v>
      </c>
      <c r="AA102" s="589" t="s">
        <v>1392</v>
      </c>
      <c r="AB102" s="589" t="s">
        <v>1483</v>
      </c>
      <c r="AC102" s="589">
        <v>104</v>
      </c>
      <c r="AD102" s="583">
        <v>104</v>
      </c>
      <c r="AE102" s="589"/>
      <c r="AF102" s="589" t="s">
        <v>1071</v>
      </c>
      <c r="AG102" s="806">
        <v>2</v>
      </c>
      <c r="AH102" s="806">
        <v>8</v>
      </c>
      <c r="AI102" s="807">
        <v>41572</v>
      </c>
    </row>
    <row r="103" spans="22:35">
      <c r="V103" s="804" t="s">
        <v>1723</v>
      </c>
      <c r="W103" s="585" t="s">
        <v>402</v>
      </c>
      <c r="X103" s="243">
        <v>41568</v>
      </c>
      <c r="Y103" s="243">
        <v>41568</v>
      </c>
      <c r="Z103" s="589" t="s">
        <v>245</v>
      </c>
      <c r="AA103" s="589" t="s">
        <v>1392</v>
      </c>
      <c r="AB103" s="589" t="s">
        <v>991</v>
      </c>
      <c r="AC103" s="589">
        <v>9</v>
      </c>
      <c r="AD103" s="808" t="s">
        <v>1603</v>
      </c>
      <c r="AE103" s="589" t="s">
        <v>1419</v>
      </c>
      <c r="AF103" s="637" t="s">
        <v>1071</v>
      </c>
      <c r="AG103" s="809">
        <v>5</v>
      </c>
      <c r="AH103" s="809">
        <v>35</v>
      </c>
      <c r="AI103" s="807">
        <v>41575</v>
      </c>
    </row>
    <row r="104" spans="22:35">
      <c r="V104" s="804" t="s">
        <v>1723</v>
      </c>
      <c r="W104" s="585" t="s">
        <v>402</v>
      </c>
      <c r="X104" s="243">
        <v>41568</v>
      </c>
      <c r="Y104" s="243">
        <v>41568</v>
      </c>
      <c r="Z104" s="589" t="s">
        <v>179</v>
      </c>
      <c r="AA104" s="589" t="s">
        <v>1392</v>
      </c>
      <c r="AB104" s="805" t="s">
        <v>1000</v>
      </c>
      <c r="AC104" s="589"/>
      <c r="AD104" s="583"/>
      <c r="AE104" s="589" t="s">
        <v>1395</v>
      </c>
      <c r="AF104" s="589" t="s">
        <v>1071</v>
      </c>
      <c r="AG104" s="806">
        <v>2</v>
      </c>
      <c r="AH104" s="806">
        <v>8</v>
      </c>
      <c r="AI104" s="807">
        <v>41584</v>
      </c>
    </row>
    <row r="105" spans="22:35">
      <c r="V105" s="804" t="s">
        <v>1723</v>
      </c>
      <c r="W105" s="585" t="s">
        <v>402</v>
      </c>
      <c r="X105" s="243">
        <v>41568</v>
      </c>
      <c r="Y105" s="243">
        <v>41568</v>
      </c>
      <c r="Z105" s="590" t="s">
        <v>180</v>
      </c>
      <c r="AA105" s="589" t="s">
        <v>1392</v>
      </c>
      <c r="AB105" s="805" t="s">
        <v>1000</v>
      </c>
      <c r="AC105" s="591">
        <v>6</v>
      </c>
      <c r="AD105" s="590">
        <v>6</v>
      </c>
      <c r="AE105" s="637" t="s">
        <v>1419</v>
      </c>
      <c r="AF105" s="589" t="s">
        <v>1071</v>
      </c>
      <c r="AG105" s="810">
        <v>2</v>
      </c>
      <c r="AH105" s="810">
        <v>8</v>
      </c>
      <c r="AI105" s="807">
        <v>41584</v>
      </c>
    </row>
    <row r="106" spans="22:35">
      <c r="V106" s="804" t="s">
        <v>1723</v>
      </c>
      <c r="W106" s="585" t="s">
        <v>402</v>
      </c>
      <c r="X106" s="243">
        <v>41568</v>
      </c>
      <c r="Y106" s="243">
        <v>41568</v>
      </c>
      <c r="Z106" s="589" t="s">
        <v>184</v>
      </c>
      <c r="AA106" s="589" t="s">
        <v>1392</v>
      </c>
      <c r="AB106" s="589" t="s">
        <v>1471</v>
      </c>
      <c r="AC106" s="592"/>
      <c r="AD106" s="811"/>
      <c r="AE106" s="589" t="s">
        <v>1395</v>
      </c>
      <c r="AF106" s="589" t="s">
        <v>1096</v>
      </c>
      <c r="AG106" s="806">
        <v>4</v>
      </c>
      <c r="AH106" s="806"/>
      <c r="AI106" s="807">
        <v>41576</v>
      </c>
    </row>
  </sheetData>
  <mergeCells count="5">
    <mergeCell ref="A13:A18"/>
    <mergeCell ref="A20:A23"/>
    <mergeCell ref="B2:J2"/>
    <mergeCell ref="O1:P1"/>
    <mergeCell ref="A4:A12"/>
  </mergeCells>
  <pageMargins left="0.7" right="0.7" top="0.75" bottom="0.75" header="0.3" footer="0.3"/>
  <pageSetup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92D050"/>
  </sheetPr>
  <dimension ref="A2:AC49"/>
  <sheetViews>
    <sheetView topLeftCell="O1" zoomScale="130" zoomScaleNormal="130" workbookViewId="0">
      <selection activeCell="X7" sqref="X7"/>
    </sheetView>
  </sheetViews>
  <sheetFormatPr defaultRowHeight="16.5" customHeight="1"/>
  <cols>
    <col min="1" max="1" width="9.90625" customWidth="1"/>
    <col min="2" max="2" width="7.36328125" customWidth="1"/>
    <col min="3" max="3" width="7.36328125" bestFit="1" customWidth="1"/>
    <col min="4" max="4" width="10" customWidth="1"/>
    <col min="5" max="5" width="7.6328125" customWidth="1"/>
    <col min="6" max="6" width="8" customWidth="1"/>
    <col min="7" max="7" width="10.08984375" customWidth="1"/>
    <col min="9" max="9" width="7.90625" customWidth="1"/>
    <col min="10" max="10" width="9.6328125" bestFit="1" customWidth="1"/>
    <col min="14" max="14" width="30.90625" customWidth="1"/>
    <col min="15" max="17" width="9.08984375" bestFit="1" customWidth="1"/>
    <col min="18" max="18" width="8.08984375" bestFit="1" customWidth="1"/>
    <col min="21" max="21" width="25.90625" bestFit="1" customWidth="1"/>
    <col min="22" max="22" width="30.36328125" customWidth="1"/>
    <col min="23" max="25" width="7.453125" bestFit="1" customWidth="1"/>
    <col min="26" max="26" width="8.08984375" customWidth="1"/>
    <col min="27" max="27" width="13.6328125" bestFit="1" customWidth="1"/>
    <col min="29" max="29" width="3" bestFit="1" customWidth="1"/>
  </cols>
  <sheetData>
    <row r="2" spans="1:29" ht="16.5" customHeight="1">
      <c r="A2" s="1182" t="s">
        <v>511</v>
      </c>
      <c r="B2" s="1182"/>
      <c r="C2" s="1182"/>
      <c r="D2" s="1182"/>
      <c r="E2" s="1182"/>
      <c r="F2" s="1182"/>
      <c r="G2" s="1182"/>
      <c r="H2" s="1182"/>
      <c r="I2" s="1182"/>
      <c r="J2" s="1182"/>
      <c r="K2" s="1182"/>
      <c r="L2" s="1182"/>
      <c r="U2" s="251" t="s">
        <v>11</v>
      </c>
      <c r="V2" s="251" t="s">
        <v>10</v>
      </c>
      <c r="W2" s="685">
        <v>41444</v>
      </c>
      <c r="X2" s="673">
        <v>41479</v>
      </c>
      <c r="Y2" s="685">
        <v>41514</v>
      </c>
      <c r="Z2" s="673">
        <v>41543</v>
      </c>
      <c r="AA2" s="686" t="s">
        <v>17</v>
      </c>
    </row>
    <row r="3" spans="1:29" ht="16.5" customHeight="1">
      <c r="C3" s="17" t="s">
        <v>339</v>
      </c>
      <c r="D3" s="1312">
        <v>41159</v>
      </c>
      <c r="E3" s="1312"/>
      <c r="F3" s="1312"/>
      <c r="U3" s="1318" t="s">
        <v>1062</v>
      </c>
      <c r="V3" s="1318"/>
      <c r="W3" s="1318"/>
      <c r="X3" s="1318"/>
      <c r="Y3" s="1318"/>
      <c r="Z3" s="1318"/>
      <c r="AA3" s="1318"/>
      <c r="AC3" s="583"/>
    </row>
    <row r="4" spans="1:29" ht="16.5" customHeight="1">
      <c r="A4" s="1313" t="s">
        <v>509</v>
      </c>
      <c r="B4" s="1313"/>
      <c r="C4" s="1313"/>
      <c r="D4" s="1304" t="s">
        <v>516</v>
      </c>
      <c r="E4" s="1305"/>
      <c r="F4" s="1306"/>
      <c r="G4" s="1304" t="s">
        <v>510</v>
      </c>
      <c r="H4" s="1305"/>
      <c r="I4" s="1306"/>
      <c r="J4" s="1304" t="s">
        <v>517</v>
      </c>
      <c r="K4" s="1305"/>
      <c r="L4" s="1306"/>
      <c r="N4" s="653"/>
      <c r="O4" s="654">
        <v>41444</v>
      </c>
      <c r="P4" s="655">
        <v>41479</v>
      </c>
      <c r="Q4" s="654">
        <v>41514</v>
      </c>
      <c r="R4" s="655">
        <v>41543</v>
      </c>
      <c r="S4" s="351"/>
      <c r="U4" s="544" t="s">
        <v>555</v>
      </c>
      <c r="V4" s="675" t="s">
        <v>1064</v>
      </c>
      <c r="W4" s="680">
        <v>289</v>
      </c>
      <c r="X4" s="680">
        <v>260</v>
      </c>
      <c r="Y4" s="680">
        <v>351</v>
      </c>
      <c r="Z4" s="696">
        <v>345</v>
      </c>
      <c r="AA4" s="679">
        <f t="shared" ref="AA4:AA15" si="0">AVERAGE(W4:Z4)</f>
        <v>311.25</v>
      </c>
      <c r="AC4" s="583"/>
    </row>
    <row r="5" spans="1:29" ht="16.5" customHeight="1">
      <c r="A5" s="160" t="s">
        <v>152</v>
      </c>
      <c r="B5" s="1307"/>
      <c r="C5" s="1308"/>
      <c r="D5" s="169" t="s">
        <v>152</v>
      </c>
      <c r="E5" s="1309"/>
      <c r="F5" s="1309"/>
      <c r="G5" s="169" t="s">
        <v>152</v>
      </c>
      <c r="H5" s="1310"/>
      <c r="I5" s="1311"/>
      <c r="J5" s="169" t="s">
        <v>152</v>
      </c>
      <c r="K5" s="1310"/>
      <c r="L5" s="1311"/>
      <c r="N5" s="226"/>
      <c r="O5" s="1319" t="s">
        <v>515</v>
      </c>
      <c r="P5" s="1320"/>
      <c r="Q5" s="1320"/>
      <c r="R5" s="1321"/>
      <c r="S5" s="57"/>
      <c r="U5" s="544" t="s">
        <v>555</v>
      </c>
      <c r="V5" s="676" t="s">
        <v>1065</v>
      </c>
      <c r="W5" s="680">
        <v>52</v>
      </c>
      <c r="X5" s="680">
        <v>75</v>
      </c>
      <c r="Y5" s="680">
        <v>127</v>
      </c>
      <c r="Z5" s="696">
        <v>165</v>
      </c>
      <c r="AA5" s="679">
        <f t="shared" si="0"/>
        <v>104.75</v>
      </c>
      <c r="AC5" s="583"/>
    </row>
    <row r="6" spans="1:29" ht="16.5" customHeight="1">
      <c r="A6" s="231" t="s">
        <v>367</v>
      </c>
      <c r="B6" s="1314"/>
      <c r="C6" s="1315"/>
      <c r="D6" s="231" t="s">
        <v>367</v>
      </c>
      <c r="E6" s="1316"/>
      <c r="F6" s="1316"/>
      <c r="G6" s="231" t="s">
        <v>367</v>
      </c>
      <c r="H6" s="1310"/>
      <c r="I6" s="1311"/>
      <c r="J6" s="231" t="s">
        <v>367</v>
      </c>
      <c r="K6" s="1310"/>
      <c r="L6" s="1311"/>
      <c r="N6" s="650" t="s">
        <v>152</v>
      </c>
      <c r="O6" s="664">
        <v>0.49444444444444446</v>
      </c>
      <c r="P6" s="665">
        <v>0.4291666666666667</v>
      </c>
      <c r="Q6" s="665">
        <v>0.44861111111111113</v>
      </c>
      <c r="R6" s="666">
        <v>0.4381944444444445</v>
      </c>
      <c r="S6" s="352"/>
      <c r="U6" s="544" t="s">
        <v>555</v>
      </c>
      <c r="V6" s="676" t="s">
        <v>1066</v>
      </c>
      <c r="W6" s="680">
        <v>46</v>
      </c>
      <c r="X6" s="680">
        <v>9</v>
      </c>
      <c r="Y6" s="680">
        <v>63</v>
      </c>
      <c r="Z6" s="696">
        <v>16</v>
      </c>
      <c r="AA6" s="679">
        <f t="shared" si="0"/>
        <v>33.5</v>
      </c>
      <c r="AC6" s="583"/>
    </row>
    <row r="7" spans="1:29" ht="16.5" customHeight="1">
      <c r="A7" s="161" t="s">
        <v>168</v>
      </c>
      <c r="B7" s="1317"/>
      <c r="C7" s="1317"/>
      <c r="D7" s="170" t="s">
        <v>168</v>
      </c>
      <c r="E7" s="1317"/>
      <c r="F7" s="1317"/>
      <c r="G7" s="170" t="s">
        <v>168</v>
      </c>
      <c r="H7" s="1310"/>
      <c r="I7" s="1311"/>
      <c r="J7" s="170" t="s">
        <v>168</v>
      </c>
      <c r="K7" s="1310"/>
      <c r="L7" s="1311"/>
      <c r="N7" s="650" t="s">
        <v>512</v>
      </c>
      <c r="O7" s="667">
        <v>4.4000000000000004</v>
      </c>
      <c r="P7" s="668">
        <v>10.9</v>
      </c>
      <c r="Q7" s="668">
        <v>10</v>
      </c>
      <c r="R7" s="669">
        <v>4.5999999999999996</v>
      </c>
      <c r="S7" s="353"/>
      <c r="U7" s="544" t="s">
        <v>555</v>
      </c>
      <c r="V7" s="676" t="s">
        <v>1067</v>
      </c>
      <c r="W7" s="680">
        <v>16</v>
      </c>
      <c r="X7" s="680">
        <v>2</v>
      </c>
      <c r="Y7" s="680">
        <v>40</v>
      </c>
      <c r="Z7" s="696">
        <v>6</v>
      </c>
      <c r="AA7" s="679">
        <f t="shared" si="0"/>
        <v>16</v>
      </c>
      <c r="AC7" s="583"/>
    </row>
    <row r="8" spans="1:29" ht="16.5" customHeight="1">
      <c r="A8" s="158" t="s">
        <v>169</v>
      </c>
      <c r="B8" s="158" t="s">
        <v>170</v>
      </c>
      <c r="C8" s="159" t="s">
        <v>411</v>
      </c>
      <c r="D8" s="158" t="s">
        <v>169</v>
      </c>
      <c r="E8" s="158" t="s">
        <v>170</v>
      </c>
      <c r="F8" s="159" t="s">
        <v>411</v>
      </c>
      <c r="G8" s="158" t="s">
        <v>169</v>
      </c>
      <c r="H8" s="158" t="s">
        <v>170</v>
      </c>
      <c r="I8" s="159" t="s">
        <v>411</v>
      </c>
      <c r="J8" s="158" t="s">
        <v>169</v>
      </c>
      <c r="K8" s="158" t="s">
        <v>170</v>
      </c>
      <c r="L8" s="159" t="s">
        <v>411</v>
      </c>
      <c r="N8" s="650" t="s">
        <v>156</v>
      </c>
      <c r="O8" s="667">
        <v>6.82</v>
      </c>
      <c r="P8" s="668">
        <v>8.9499999999999993</v>
      </c>
      <c r="Q8" s="668">
        <v>7.77</v>
      </c>
      <c r="R8" s="669">
        <v>7.24</v>
      </c>
      <c r="S8" s="353"/>
      <c r="U8" s="650" t="s">
        <v>1150</v>
      </c>
      <c r="V8" s="675" t="s">
        <v>1064</v>
      </c>
      <c r="W8" s="680">
        <v>229</v>
      </c>
      <c r="X8" s="680">
        <v>517</v>
      </c>
      <c r="Y8" s="680">
        <v>458</v>
      </c>
      <c r="Z8" s="696">
        <v>283</v>
      </c>
      <c r="AA8" s="679">
        <f t="shared" si="0"/>
        <v>371.75</v>
      </c>
      <c r="AC8" s="583"/>
    </row>
    <row r="9" spans="1:29" ht="16.5" customHeight="1">
      <c r="A9" s="566">
        <v>1</v>
      </c>
      <c r="B9" s="567"/>
      <c r="C9" s="563"/>
      <c r="D9" s="566">
        <v>1</v>
      </c>
      <c r="E9" s="567"/>
      <c r="F9" s="563"/>
      <c r="G9" s="566">
        <v>1</v>
      </c>
      <c r="H9" s="567"/>
      <c r="I9" s="563"/>
      <c r="J9" s="566">
        <v>1</v>
      </c>
      <c r="K9" s="73"/>
      <c r="L9" s="53"/>
      <c r="N9" s="650" t="s">
        <v>513</v>
      </c>
      <c r="O9" s="670">
        <v>0.02</v>
      </c>
      <c r="P9" s="671">
        <v>2.1000000000000001E-2</v>
      </c>
      <c r="Q9" s="671">
        <v>0.02</v>
      </c>
      <c r="R9" s="672">
        <v>2.3E-2</v>
      </c>
      <c r="S9" s="353"/>
      <c r="U9" s="650" t="s">
        <v>1151</v>
      </c>
      <c r="V9" s="676" t="s">
        <v>1065</v>
      </c>
      <c r="W9" s="680">
        <v>74</v>
      </c>
      <c r="X9" s="680">
        <v>76</v>
      </c>
      <c r="Y9" s="680">
        <v>251</v>
      </c>
      <c r="Z9" s="696">
        <v>167</v>
      </c>
      <c r="AA9" s="679">
        <f t="shared" si="0"/>
        <v>142</v>
      </c>
      <c r="AC9" s="583"/>
    </row>
    <row r="10" spans="1:29" ht="16.5" customHeight="1">
      <c r="A10" s="566">
        <v>2</v>
      </c>
      <c r="B10" s="567"/>
      <c r="C10" s="567"/>
      <c r="D10" s="566">
        <v>2</v>
      </c>
      <c r="E10" s="567"/>
      <c r="F10" s="567"/>
      <c r="G10" s="566">
        <v>2</v>
      </c>
      <c r="H10" s="567"/>
      <c r="I10" s="567"/>
      <c r="J10" s="566">
        <v>2</v>
      </c>
      <c r="K10" s="73"/>
      <c r="L10" s="73"/>
      <c r="N10" s="650" t="s">
        <v>514</v>
      </c>
      <c r="O10" s="667">
        <v>10.61</v>
      </c>
      <c r="P10" s="668">
        <v>7.54</v>
      </c>
      <c r="Q10" s="668">
        <v>7.75</v>
      </c>
      <c r="R10" s="669">
        <v>9.65</v>
      </c>
      <c r="S10" s="353"/>
      <c r="U10" s="650" t="s">
        <v>1152</v>
      </c>
      <c r="V10" s="676" t="s">
        <v>1066</v>
      </c>
      <c r="W10" s="680">
        <v>43</v>
      </c>
      <c r="X10" s="680">
        <v>25</v>
      </c>
      <c r="Y10" s="680">
        <v>9</v>
      </c>
      <c r="Z10" s="696">
        <v>14</v>
      </c>
      <c r="AA10" s="679">
        <f t="shared" si="0"/>
        <v>22.75</v>
      </c>
      <c r="AC10" s="583"/>
    </row>
    <row r="11" spans="1:29" ht="16.5" customHeight="1">
      <c r="A11" s="82" t="s">
        <v>155</v>
      </c>
      <c r="B11" s="73"/>
      <c r="C11" s="73"/>
      <c r="D11" s="82" t="s">
        <v>155</v>
      </c>
      <c r="E11" s="73"/>
      <c r="F11" s="73"/>
      <c r="G11" s="82" t="s">
        <v>155</v>
      </c>
      <c r="H11" s="73"/>
      <c r="I11" s="73"/>
      <c r="J11" s="82" t="s">
        <v>155</v>
      </c>
      <c r="K11" s="73"/>
      <c r="L11" s="73"/>
      <c r="N11" s="226"/>
      <c r="O11" s="1297" t="s">
        <v>546</v>
      </c>
      <c r="P11" s="1297"/>
      <c r="Q11" s="1297"/>
      <c r="R11" s="1298"/>
      <c r="S11" s="57"/>
      <c r="U11" s="650" t="s">
        <v>1153</v>
      </c>
      <c r="V11" s="676" t="s">
        <v>1067</v>
      </c>
      <c r="W11" s="680">
        <v>16</v>
      </c>
      <c r="X11" s="680">
        <v>2</v>
      </c>
      <c r="Y11" s="680">
        <v>63</v>
      </c>
      <c r="Z11" s="696">
        <v>8</v>
      </c>
      <c r="AA11" s="679">
        <f t="shared" si="0"/>
        <v>22.25</v>
      </c>
      <c r="AB11" s="106"/>
      <c r="AC11" s="583"/>
    </row>
    <row r="12" spans="1:29" ht="16.5" customHeight="1">
      <c r="A12" s="82" t="s">
        <v>156</v>
      </c>
      <c r="B12" s="73"/>
      <c r="C12" s="73"/>
      <c r="D12" s="82" t="s">
        <v>156</v>
      </c>
      <c r="E12" s="73"/>
      <c r="F12" s="73"/>
      <c r="G12" s="82" t="s">
        <v>156</v>
      </c>
      <c r="H12" s="73"/>
      <c r="I12" s="73"/>
      <c r="J12" s="82" t="s">
        <v>156</v>
      </c>
      <c r="K12" s="73"/>
      <c r="L12" s="73"/>
      <c r="N12" s="651" t="s">
        <v>152</v>
      </c>
      <c r="O12" s="656">
        <v>0.4770833333333333</v>
      </c>
      <c r="P12" s="656">
        <v>0.44861111111111113</v>
      </c>
      <c r="Q12" s="309">
        <v>0.4770833333333333</v>
      </c>
      <c r="R12" s="309">
        <v>0.4548611111111111</v>
      </c>
      <c r="S12" s="352"/>
      <c r="U12" s="677" t="s">
        <v>556</v>
      </c>
      <c r="V12" s="675" t="s">
        <v>1064</v>
      </c>
      <c r="W12" s="681">
        <v>219</v>
      </c>
      <c r="X12" s="680">
        <v>327</v>
      </c>
      <c r="Y12" s="680">
        <v>421</v>
      </c>
      <c r="Z12" s="696">
        <v>338</v>
      </c>
      <c r="AA12" s="679">
        <f t="shared" si="0"/>
        <v>326.25</v>
      </c>
      <c r="AB12" s="106"/>
      <c r="AC12" s="583"/>
    </row>
    <row r="13" spans="1:29" ht="16.5" customHeight="1">
      <c r="A13" s="82" t="s">
        <v>153</v>
      </c>
      <c r="B13" s="53"/>
      <c r="C13" s="53"/>
      <c r="D13" s="82" t="s">
        <v>153</v>
      </c>
      <c r="E13" s="53"/>
      <c r="F13" s="53"/>
      <c r="G13" s="82" t="s">
        <v>153</v>
      </c>
      <c r="H13" s="53"/>
      <c r="I13" s="53"/>
      <c r="J13" s="82" t="s">
        <v>153</v>
      </c>
      <c r="K13" s="53"/>
      <c r="L13" s="53"/>
      <c r="N13" s="651" t="s">
        <v>512</v>
      </c>
      <c r="O13" s="657">
        <v>8.3000000000000007</v>
      </c>
      <c r="P13" s="657">
        <v>12.1</v>
      </c>
      <c r="Q13" s="657">
        <v>10.32</v>
      </c>
      <c r="R13" s="669">
        <v>3</v>
      </c>
      <c r="S13" s="353"/>
      <c r="U13" s="677" t="s">
        <v>556</v>
      </c>
      <c r="V13" s="676" t="s">
        <v>1066</v>
      </c>
      <c r="W13" s="681">
        <v>32</v>
      </c>
      <c r="X13" s="680">
        <v>32</v>
      </c>
      <c r="Y13" s="680">
        <v>51</v>
      </c>
      <c r="Z13" s="696">
        <v>15</v>
      </c>
      <c r="AA13" s="679">
        <f t="shared" si="0"/>
        <v>32.5</v>
      </c>
      <c r="AB13" s="106"/>
      <c r="AC13" s="583"/>
    </row>
    <row r="14" spans="1:29" ht="16.5" customHeight="1">
      <c r="A14" s="82" t="s">
        <v>154</v>
      </c>
      <c r="B14" s="53"/>
      <c r="C14" s="53"/>
      <c r="D14" s="82" t="s">
        <v>154</v>
      </c>
      <c r="E14" s="53"/>
      <c r="F14" s="53"/>
      <c r="G14" s="82" t="s">
        <v>154</v>
      </c>
      <c r="H14" s="53"/>
      <c r="I14" s="53"/>
      <c r="J14" s="82" t="s">
        <v>154</v>
      </c>
      <c r="K14" s="53"/>
      <c r="L14" s="53"/>
      <c r="N14" s="651" t="s">
        <v>156</v>
      </c>
      <c r="O14" s="657">
        <v>6.87</v>
      </c>
      <c r="P14" s="657">
        <v>7.44</v>
      </c>
      <c r="Q14" s="657">
        <v>6.48</v>
      </c>
      <c r="R14" s="669">
        <v>7</v>
      </c>
      <c r="S14" s="353"/>
      <c r="U14" s="677" t="s">
        <v>556</v>
      </c>
      <c r="V14" s="676" t="s">
        <v>1065</v>
      </c>
      <c r="W14" s="681">
        <v>86</v>
      </c>
      <c r="X14" s="680">
        <v>101</v>
      </c>
      <c r="Y14" s="680">
        <v>228</v>
      </c>
      <c r="Z14" s="696">
        <v>169</v>
      </c>
      <c r="AA14" s="679">
        <f t="shared" si="0"/>
        <v>146</v>
      </c>
      <c r="AB14" s="106"/>
      <c r="AC14" s="583"/>
    </row>
    <row r="15" spans="1:29" ht="16.5" customHeight="1">
      <c r="N15" s="651" t="s">
        <v>513</v>
      </c>
      <c r="O15" s="658">
        <v>0.02</v>
      </c>
      <c r="P15" s="658">
        <v>0.02</v>
      </c>
      <c r="Q15" s="658">
        <v>2.1000000000000001E-2</v>
      </c>
      <c r="R15" s="672">
        <v>2.3E-2</v>
      </c>
      <c r="S15" s="353"/>
      <c r="U15" s="677" t="s">
        <v>556</v>
      </c>
      <c r="V15" s="676" t="s">
        <v>1067</v>
      </c>
      <c r="W15" s="681">
        <v>7</v>
      </c>
      <c r="X15" s="680">
        <v>2</v>
      </c>
      <c r="Y15" s="680">
        <v>12</v>
      </c>
      <c r="Z15" s="696">
        <v>6</v>
      </c>
      <c r="AA15" s="679">
        <f t="shared" si="0"/>
        <v>6.75</v>
      </c>
      <c r="AC15" s="585"/>
    </row>
    <row r="16" spans="1:29" ht="16.5" customHeight="1">
      <c r="N16" s="651" t="s">
        <v>514</v>
      </c>
      <c r="O16" s="657">
        <v>9.5500000000000007</v>
      </c>
      <c r="P16" s="657">
        <v>8.06</v>
      </c>
      <c r="Q16" s="657">
        <v>7.32</v>
      </c>
      <c r="R16" s="669">
        <v>10.3</v>
      </c>
      <c r="S16" s="353"/>
      <c r="U16" s="1318" t="s">
        <v>1063</v>
      </c>
      <c r="V16" s="1318"/>
      <c r="W16" s="1318"/>
      <c r="X16" s="1318"/>
      <c r="Y16" s="1318"/>
      <c r="Z16" s="1318"/>
      <c r="AA16" s="1318"/>
      <c r="AC16" s="585"/>
    </row>
    <row r="17" spans="14:29" ht="16.5" customHeight="1">
      <c r="N17" s="226"/>
      <c r="O17" s="1297" t="s">
        <v>517</v>
      </c>
      <c r="P17" s="1297"/>
      <c r="Q17" s="1297"/>
      <c r="R17" s="1298"/>
      <c r="S17" s="57"/>
      <c r="U17" s="544" t="s">
        <v>554</v>
      </c>
      <c r="V17" s="678" t="s">
        <v>1067</v>
      </c>
      <c r="W17" s="697">
        <v>4112</v>
      </c>
      <c r="X17" s="696">
        <v>1798</v>
      </c>
      <c r="Y17" s="696">
        <v>208</v>
      </c>
      <c r="Z17" s="696">
        <v>1087</v>
      </c>
      <c r="AA17" s="679">
        <f t="shared" ref="AA17:AA22" si="1">AVERAGE(W17:Z17)</f>
        <v>1801.25</v>
      </c>
      <c r="AC17" s="585"/>
    </row>
    <row r="18" spans="14:29" ht="16.5" customHeight="1">
      <c r="N18" s="650" t="s">
        <v>152</v>
      </c>
      <c r="O18" s="659">
        <v>0.44791666666666669</v>
      </c>
      <c r="P18" s="309">
        <v>0.43541666666666662</v>
      </c>
      <c r="Q18" s="309">
        <v>0.45</v>
      </c>
      <c r="R18" s="309">
        <v>0.44444444444444442</v>
      </c>
      <c r="S18" s="57"/>
      <c r="U18" s="544" t="s">
        <v>554</v>
      </c>
      <c r="V18" s="678" t="s">
        <v>208</v>
      </c>
      <c r="W18" s="697"/>
      <c r="X18" s="696"/>
      <c r="Y18" s="696">
        <v>39</v>
      </c>
      <c r="Z18" s="696">
        <v>22</v>
      </c>
      <c r="AA18" s="679">
        <f t="shared" si="1"/>
        <v>30.5</v>
      </c>
      <c r="AC18" s="585"/>
    </row>
    <row r="19" spans="14:29" ht="16.5" customHeight="1">
      <c r="N19" s="650" t="s">
        <v>512</v>
      </c>
      <c r="O19" s="660">
        <v>7.7</v>
      </c>
      <c r="P19" s="657">
        <v>10.9</v>
      </c>
      <c r="Q19" s="657">
        <v>9.52</v>
      </c>
      <c r="R19" s="657">
        <v>4.0999999999999996</v>
      </c>
      <c r="S19" s="57"/>
      <c r="U19" s="544" t="s">
        <v>554</v>
      </c>
      <c r="V19" s="678" t="s">
        <v>1068</v>
      </c>
      <c r="W19" s="696"/>
      <c r="X19" s="696"/>
      <c r="Y19" s="696">
        <v>22</v>
      </c>
      <c r="Z19" s="696">
        <v>29</v>
      </c>
      <c r="AA19" s="679">
        <f t="shared" si="1"/>
        <v>25.5</v>
      </c>
    </row>
    <row r="20" spans="14:29" ht="16.5" customHeight="1">
      <c r="N20" s="650" t="s">
        <v>156</v>
      </c>
      <c r="O20" s="660">
        <v>6.78</v>
      </c>
      <c r="P20" s="657">
        <v>7.8</v>
      </c>
      <c r="Q20" s="657">
        <v>6.53</v>
      </c>
      <c r="R20" s="657">
        <v>6</v>
      </c>
      <c r="S20" s="57"/>
      <c r="U20" s="544" t="s">
        <v>554</v>
      </c>
      <c r="V20" s="266" t="s">
        <v>1064</v>
      </c>
      <c r="W20" s="696">
        <v>1722</v>
      </c>
      <c r="X20" s="696">
        <v>3108</v>
      </c>
      <c r="Y20" s="696">
        <v>121</v>
      </c>
      <c r="Z20" s="696">
        <v>925</v>
      </c>
      <c r="AA20" s="679">
        <f t="shared" si="1"/>
        <v>1469</v>
      </c>
    </row>
    <row r="21" spans="14:29" ht="16.5" customHeight="1">
      <c r="N21" s="650" t="s">
        <v>513</v>
      </c>
      <c r="O21" s="661">
        <v>3.5000000000000003E-2</v>
      </c>
      <c r="P21" s="658">
        <v>3.1E-2</v>
      </c>
      <c r="Q21" s="658">
        <v>3.4000000000000002E-2</v>
      </c>
      <c r="R21" s="658">
        <v>0.03</v>
      </c>
      <c r="S21" s="57"/>
      <c r="U21" s="544" t="s">
        <v>554</v>
      </c>
      <c r="V21" s="678" t="s">
        <v>1066</v>
      </c>
      <c r="W21" s="696">
        <v>49</v>
      </c>
      <c r="X21" s="696">
        <v>42</v>
      </c>
      <c r="Y21" s="696">
        <v>83</v>
      </c>
      <c r="Z21" s="696">
        <v>32</v>
      </c>
      <c r="AA21" s="679">
        <f t="shared" si="1"/>
        <v>51.5</v>
      </c>
    </row>
    <row r="22" spans="14:29" ht="16.5" customHeight="1">
      <c r="N22" s="650" t="s">
        <v>514</v>
      </c>
      <c r="O22" s="660">
        <v>3.28</v>
      </c>
      <c r="P22" s="657">
        <v>4.17</v>
      </c>
      <c r="Q22" s="657">
        <v>1.46</v>
      </c>
      <c r="R22" s="657">
        <v>13.9</v>
      </c>
      <c r="S22" s="57"/>
      <c r="U22" s="544" t="s">
        <v>554</v>
      </c>
      <c r="V22" s="678" t="s">
        <v>1065</v>
      </c>
      <c r="W22" s="696">
        <v>4</v>
      </c>
      <c r="X22" s="696">
        <v>3</v>
      </c>
      <c r="Y22" s="696">
        <v>2</v>
      </c>
      <c r="Z22" s="696">
        <v>2</v>
      </c>
      <c r="AA22" s="679">
        <f t="shared" si="1"/>
        <v>2.75</v>
      </c>
    </row>
    <row r="23" spans="14:29" ht="16.5" customHeight="1">
      <c r="N23" s="226"/>
      <c r="O23" s="1299" t="s">
        <v>1057</v>
      </c>
      <c r="P23" s="1297"/>
      <c r="Q23" s="1297"/>
      <c r="R23" s="1298"/>
      <c r="S23" s="57"/>
      <c r="V23" s="1300" t="s">
        <v>1133</v>
      </c>
      <c r="W23" s="1300"/>
      <c r="X23" s="1300"/>
      <c r="Y23" s="1300"/>
      <c r="Z23" s="1300"/>
      <c r="AA23" s="1300"/>
    </row>
    <row r="24" spans="14:29" ht="16.5" customHeight="1">
      <c r="N24" s="650" t="s">
        <v>152</v>
      </c>
      <c r="O24" s="659">
        <v>0.46527777777777773</v>
      </c>
      <c r="P24" s="309">
        <v>0.44097222222222227</v>
      </c>
      <c r="Q24" s="309">
        <v>0.46875</v>
      </c>
      <c r="R24" s="309">
        <v>0.44791666666666669</v>
      </c>
      <c r="S24" s="57"/>
      <c r="V24" s="683"/>
      <c r="W24" s="684" t="s">
        <v>448</v>
      </c>
      <c r="X24" s="95" t="s">
        <v>441</v>
      </c>
      <c r="Y24" s="95" t="s">
        <v>442</v>
      </c>
      <c r="Z24" s="95" t="s">
        <v>77</v>
      </c>
      <c r="AA24" s="95" t="s">
        <v>1132</v>
      </c>
    </row>
    <row r="25" spans="14:29" ht="16.5" customHeight="1">
      <c r="N25" s="650" t="s">
        <v>512</v>
      </c>
      <c r="O25" s="660">
        <v>5.8</v>
      </c>
      <c r="P25" s="657">
        <v>12</v>
      </c>
      <c r="Q25" s="657">
        <v>10.27</v>
      </c>
      <c r="R25" s="226">
        <v>2.8</v>
      </c>
      <c r="S25" s="57"/>
      <c r="V25" s="650" t="s">
        <v>1122</v>
      </c>
      <c r="W25" s="53">
        <f>(O30*1.983)*30</f>
        <v>63.059400000000004</v>
      </c>
      <c r="X25" s="53">
        <f t="shared" ref="X25:Y27" si="2">(P30*1.983)*31</f>
        <v>56.555160000000008</v>
      </c>
      <c r="Y25" s="53">
        <f t="shared" si="2"/>
        <v>110.65140000000001</v>
      </c>
      <c r="Z25" s="53">
        <f>(R30*1.983)*30</f>
        <v>58.300200000000004</v>
      </c>
      <c r="AA25" s="137">
        <f>SUM(W25:Z25)</f>
        <v>288.56616000000002</v>
      </c>
    </row>
    <row r="26" spans="14:29" ht="16.5" customHeight="1">
      <c r="N26" s="650" t="s">
        <v>156</v>
      </c>
      <c r="O26" s="660">
        <v>6.88</v>
      </c>
      <c r="P26" s="657">
        <v>7.43</v>
      </c>
      <c r="Q26" s="657">
        <v>6.32</v>
      </c>
      <c r="R26" s="226">
        <v>6.66</v>
      </c>
      <c r="S26" s="57"/>
      <c r="V26" s="650" t="s">
        <v>1125</v>
      </c>
      <c r="W26" s="53">
        <f>(O31*1.983)*30</f>
        <v>57.110399999999998</v>
      </c>
      <c r="X26" s="53">
        <f t="shared" si="2"/>
        <v>130.32276000000002</v>
      </c>
      <c r="Y26" s="53">
        <f t="shared" si="2"/>
        <v>244.04781000000003</v>
      </c>
      <c r="Z26" s="53">
        <f>(R31*1.983)*30</f>
        <v>126.11880000000001</v>
      </c>
      <c r="AA26" s="137">
        <f t="shared" ref="AA26:AA34" si="3">SUM(W26:Z26)</f>
        <v>557.59977000000003</v>
      </c>
    </row>
    <row r="27" spans="14:29" ht="16.5" customHeight="1">
      <c r="N27" s="650" t="s">
        <v>513</v>
      </c>
      <c r="O27" s="661">
        <v>1.7000000000000001E-2</v>
      </c>
      <c r="P27" s="658">
        <v>1.9E-2</v>
      </c>
      <c r="Q27" s="658">
        <v>2.1000000000000001E-2</v>
      </c>
      <c r="R27" s="658">
        <v>2.3E-2</v>
      </c>
      <c r="S27" s="57"/>
      <c r="U27" s="17" t="s">
        <v>1127</v>
      </c>
      <c r="V27" s="650" t="s">
        <v>1123</v>
      </c>
      <c r="W27" s="53">
        <f>(O32*1.983)*30</f>
        <v>0.59489999999999998</v>
      </c>
      <c r="X27" s="53">
        <f t="shared" si="2"/>
        <v>0.922095</v>
      </c>
      <c r="Y27" s="53">
        <f t="shared" si="2"/>
        <v>1.7827170000000001</v>
      </c>
      <c r="Z27" s="53">
        <f>(R32*1.983)*30</f>
        <v>0.47592000000000001</v>
      </c>
      <c r="AA27" s="137">
        <f t="shared" si="3"/>
        <v>3.7756320000000003</v>
      </c>
    </row>
    <row r="28" spans="14:29" ht="16.5" customHeight="1">
      <c r="N28" s="650" t="s">
        <v>514</v>
      </c>
      <c r="O28" s="660">
        <v>10.65</v>
      </c>
      <c r="P28" s="657">
        <v>9.09</v>
      </c>
      <c r="Q28" s="657">
        <v>8.5</v>
      </c>
      <c r="R28" s="226">
        <v>10</v>
      </c>
      <c r="S28" s="57"/>
      <c r="V28" s="652" t="s">
        <v>1126</v>
      </c>
      <c r="W28" s="53">
        <f>W27*9.5</f>
        <v>5.6515500000000003</v>
      </c>
      <c r="X28" s="53">
        <f>X27*9.5</f>
        <v>8.7599025000000008</v>
      </c>
      <c r="Y28" s="53">
        <f>Y27*9.5</f>
        <v>16.9358115</v>
      </c>
      <c r="Z28" s="53">
        <f>Z27*9.5</f>
        <v>4.5212399999999997</v>
      </c>
      <c r="AA28" s="137">
        <f t="shared" si="3"/>
        <v>35.868504000000001</v>
      </c>
    </row>
    <row r="29" spans="14:29" ht="16.5" customHeight="1">
      <c r="N29" s="226"/>
      <c r="O29" s="1299" t="s">
        <v>1055</v>
      </c>
      <c r="P29" s="1297"/>
      <c r="Q29" s="1297"/>
      <c r="R29" s="1298"/>
      <c r="S29" s="57"/>
      <c r="V29" s="650" t="s">
        <v>1134</v>
      </c>
      <c r="W29" s="53">
        <f>(O33*1.983)*30</f>
        <v>59.49</v>
      </c>
      <c r="X29" s="53">
        <f>(P33*1.983)*31</f>
        <v>73.767600000000002</v>
      </c>
      <c r="Y29" s="53">
        <f>(Q33*1.983)*31</f>
        <v>152.14567500000001</v>
      </c>
      <c r="Z29" s="53">
        <f>(R33*1.983)*30</f>
        <v>89.234999999999999</v>
      </c>
      <c r="AA29" s="137">
        <f t="shared" si="3"/>
        <v>374.63827500000002</v>
      </c>
    </row>
    <row r="30" spans="14:29" ht="16.5" customHeight="1">
      <c r="N30" s="650" t="s">
        <v>1122</v>
      </c>
      <c r="O30" s="660">
        <v>1.06</v>
      </c>
      <c r="P30" s="657">
        <v>0.92</v>
      </c>
      <c r="Q30" s="657">
        <v>1.8</v>
      </c>
      <c r="R30" s="657">
        <v>0.98</v>
      </c>
      <c r="S30" s="57"/>
      <c r="U30" s="682">
        <v>2.7230000000000002E-3</v>
      </c>
      <c r="V30" s="1302" t="s">
        <v>1131</v>
      </c>
      <c r="W30" s="1302"/>
      <c r="X30" s="1302"/>
      <c r="Y30" s="1302"/>
      <c r="Z30" s="1302"/>
      <c r="AA30" s="1302"/>
      <c r="AB30" s="17"/>
    </row>
    <row r="31" spans="14:29" ht="16.5" customHeight="1">
      <c r="N31" s="650" t="s">
        <v>1125</v>
      </c>
      <c r="O31" s="660">
        <v>0.96</v>
      </c>
      <c r="P31" s="657">
        <v>2.12</v>
      </c>
      <c r="Q31" s="657">
        <v>3.97</v>
      </c>
      <c r="R31" s="657">
        <v>2.12</v>
      </c>
      <c r="S31" s="57"/>
      <c r="V31" s="650" t="s">
        <v>1122</v>
      </c>
      <c r="W31" s="53">
        <f>W25*$U$30*W7</f>
        <v>2.7473719392000002</v>
      </c>
      <c r="X31" s="53">
        <f>X25*$U$30*X7</f>
        <v>0.30799940136000004</v>
      </c>
      <c r="Y31" s="53">
        <f>Y25*$U$30*Y7</f>
        <v>12.052150488000002</v>
      </c>
      <c r="Z31" s="51">
        <f>Z25*$U$30*Z7</f>
        <v>0.95250866760000008</v>
      </c>
      <c r="AA31" s="137">
        <f t="shared" si="3"/>
        <v>16.060030496160003</v>
      </c>
    </row>
    <row r="32" spans="14:29" ht="16.5" customHeight="1">
      <c r="N32" s="650" t="s">
        <v>1123</v>
      </c>
      <c r="O32" s="661">
        <v>0.01</v>
      </c>
      <c r="P32" s="658">
        <v>1.4999999999999999E-2</v>
      </c>
      <c r="Q32" s="658">
        <v>2.9000000000000001E-2</v>
      </c>
      <c r="R32" s="658">
        <v>8.0000000000000002E-3</v>
      </c>
      <c r="S32" s="57"/>
      <c r="V32" s="650" t="s">
        <v>1125</v>
      </c>
      <c r="W32" s="53">
        <f>W26*$U$30*W11</f>
        <v>2.4881859072000001</v>
      </c>
      <c r="X32" s="53">
        <f>X26*$U$30*X11</f>
        <v>0.70973775096000014</v>
      </c>
      <c r="Y32" s="53">
        <f>Y26*$U$30*Y11</f>
        <v>41.866157757690004</v>
      </c>
      <c r="Z32" s="53">
        <f>Z26*$U$30*Z11</f>
        <v>2.7473719392000002</v>
      </c>
      <c r="AA32" s="137">
        <f t="shared" si="3"/>
        <v>47.811453355050006</v>
      </c>
    </row>
    <row r="33" spans="14:27" ht="16.5" customHeight="1">
      <c r="N33" s="650" t="s">
        <v>1124</v>
      </c>
      <c r="O33" s="660">
        <v>1</v>
      </c>
      <c r="P33" s="657">
        <v>1.2</v>
      </c>
      <c r="Q33" s="657">
        <v>2.4750000000000001</v>
      </c>
      <c r="R33" s="657">
        <v>1.5</v>
      </c>
      <c r="S33" s="57"/>
      <c r="V33" s="652" t="s">
        <v>1126</v>
      </c>
      <c r="W33" s="53">
        <f>W28*$U$30*W17</f>
        <v>63.280269712800006</v>
      </c>
      <c r="X33" s="53">
        <f>X28*$U$30*X17</f>
        <v>42.888079684485007</v>
      </c>
      <c r="Y33" s="53">
        <f>Y28*$U$30*Y17</f>
        <v>9.5921726606160007</v>
      </c>
      <c r="Z33" s="53">
        <f>Z28*$U$30*Z17</f>
        <v>13.38242279724</v>
      </c>
      <c r="AA33" s="137">
        <f t="shared" si="3"/>
        <v>129.14294485514102</v>
      </c>
    </row>
    <row r="34" spans="14:27" ht="16.5" customHeight="1">
      <c r="N34" s="226"/>
      <c r="O34" s="1299" t="s">
        <v>1058</v>
      </c>
      <c r="P34" s="1297"/>
      <c r="Q34" s="1297"/>
      <c r="R34" s="1298"/>
      <c r="S34" s="57"/>
      <c r="V34" s="650" t="s">
        <v>1124</v>
      </c>
      <c r="W34" s="53">
        <f>W29*$U$30*W11</f>
        <v>2.5918603200000003</v>
      </c>
      <c r="X34" s="53">
        <f>X29*$U$30*X11</f>
        <v>0.40173834960000004</v>
      </c>
      <c r="Y34" s="53">
        <f>Y29*$U$30*Y11</f>
        <v>26.100438400575005</v>
      </c>
      <c r="Z34" s="53">
        <f>Z29*$U$30*Z11</f>
        <v>1.94389524</v>
      </c>
      <c r="AA34" s="137">
        <f t="shared" si="3"/>
        <v>31.037932310175005</v>
      </c>
    </row>
    <row r="35" spans="14:27" ht="16.5" customHeight="1">
      <c r="N35" s="650" t="s">
        <v>1120</v>
      </c>
      <c r="O35" s="662">
        <v>0.01</v>
      </c>
      <c r="P35" s="663">
        <v>0.01</v>
      </c>
      <c r="Q35" s="663">
        <v>0.02</v>
      </c>
      <c r="R35" s="663">
        <v>0.01</v>
      </c>
      <c r="S35" s="57"/>
      <c r="V35" s="1303" t="s">
        <v>1130</v>
      </c>
      <c r="W35" s="1303"/>
      <c r="X35" s="1303"/>
      <c r="Y35" s="1303"/>
      <c r="Z35" s="1303"/>
      <c r="AA35" s="1303"/>
    </row>
    <row r="36" spans="14:27" ht="16.5" customHeight="1">
      <c r="N36" s="650" t="s">
        <v>1125</v>
      </c>
      <c r="O36" s="662">
        <v>0.25</v>
      </c>
      <c r="P36" s="663">
        <v>0.2</v>
      </c>
      <c r="Q36" s="663">
        <v>0.15</v>
      </c>
      <c r="R36" s="663">
        <v>0.15</v>
      </c>
      <c r="S36" s="57"/>
      <c r="V36" s="650" t="s">
        <v>1122</v>
      </c>
      <c r="W36" s="53">
        <f>W25*$U$30*W4</f>
        <v>49.624405651800004</v>
      </c>
      <c r="X36" s="53">
        <f>X25*$U$30*X4</f>
        <v>40.039922176800005</v>
      </c>
      <c r="Y36" s="53">
        <f>Y25*$U$30*Y4</f>
        <v>105.75762053220002</v>
      </c>
      <c r="Z36" s="53">
        <f>Z25*$U$30*Z4</f>
        <v>54.769248387000005</v>
      </c>
      <c r="AA36" s="137">
        <f>SUM(W36:Z36)</f>
        <v>250.19119674780003</v>
      </c>
    </row>
    <row r="37" spans="14:27" ht="16.5" customHeight="1">
      <c r="N37" s="650" t="s">
        <v>1124</v>
      </c>
      <c r="O37" s="663">
        <v>0.05</v>
      </c>
      <c r="P37" s="663">
        <v>0.75</v>
      </c>
      <c r="Q37" s="663">
        <v>0.15</v>
      </c>
      <c r="R37" s="663">
        <v>0.05</v>
      </c>
      <c r="S37" s="57"/>
      <c r="V37" s="650" t="s">
        <v>1125</v>
      </c>
      <c r="W37" s="53">
        <f>W26*$U$30*W12</f>
        <v>34.057044604799998</v>
      </c>
      <c r="X37" s="53">
        <f>X26*$U$30*X12</f>
        <v>116.04212228196002</v>
      </c>
      <c r="Y37" s="53">
        <f>Y26*$U$30*Y12</f>
        <v>279.77226057123005</v>
      </c>
      <c r="Z37" s="53">
        <f>Z26*$U$30*Z12</f>
        <v>116.07646443120001</v>
      </c>
      <c r="AA37" s="137">
        <f>SUM(W37:Z37)</f>
        <v>545.94789188919003</v>
      </c>
    </row>
    <row r="38" spans="14:27" ht="16.5" customHeight="1">
      <c r="N38" s="652" t="s">
        <v>1056</v>
      </c>
      <c r="O38" s="662">
        <v>0.4</v>
      </c>
      <c r="P38" s="663">
        <v>1</v>
      </c>
      <c r="Q38" s="663">
        <v>0.75</v>
      </c>
      <c r="R38" s="663">
        <v>0.4</v>
      </c>
      <c r="S38" s="57"/>
      <c r="V38" s="652" t="s">
        <v>1126</v>
      </c>
      <c r="W38" s="53">
        <f>W28*$U$30*W20</f>
        <v>26.500151859300004</v>
      </c>
      <c r="X38" s="53">
        <f>X28*$U$30*X20</f>
        <v>74.135790689310014</v>
      </c>
      <c r="Y38" s="53">
        <f>Y28*$U$30*Y20</f>
        <v>5.5800619804545004</v>
      </c>
      <c r="Z38" s="53">
        <f>Z28*$U$30*Z20</f>
        <v>11.387986281</v>
      </c>
      <c r="AA38" s="137">
        <f>SUM(W38:Z38)</f>
        <v>117.60399081006452</v>
      </c>
    </row>
    <row r="39" spans="14:27" ht="16.5" customHeight="1">
      <c r="N39" s="53"/>
      <c r="O39" s="1301" t="s">
        <v>1115</v>
      </c>
      <c r="P39" s="1301"/>
      <c r="Q39" s="1301"/>
      <c r="R39" s="1301"/>
      <c r="S39" s="57"/>
      <c r="V39" s="650" t="s">
        <v>1124</v>
      </c>
      <c r="W39" s="53">
        <f>W29*$U$30*W8</f>
        <v>37.096000830000001</v>
      </c>
      <c r="X39" s="53">
        <f>X29*$U$30*X8</f>
        <v>103.84936337160001</v>
      </c>
      <c r="Y39" s="53">
        <f>Y29*$U$30*Y8</f>
        <v>189.74604424545004</v>
      </c>
      <c r="Z39" s="53">
        <f>Z29*$U$30*Z8</f>
        <v>68.765294115000003</v>
      </c>
      <c r="AA39" s="137">
        <f>SUM(W39:Z39)</f>
        <v>399.45670256205005</v>
      </c>
    </row>
    <row r="40" spans="14:27" ht="16.5" customHeight="1">
      <c r="N40" s="650" t="s">
        <v>1120</v>
      </c>
      <c r="O40" s="91" t="s">
        <v>1119</v>
      </c>
      <c r="P40" s="91" t="s">
        <v>1119</v>
      </c>
      <c r="Q40" s="91" t="s">
        <v>1118</v>
      </c>
      <c r="R40" s="91" t="s">
        <v>1117</v>
      </c>
      <c r="V40" s="1302" t="s">
        <v>1128</v>
      </c>
      <c r="W40" s="1302"/>
      <c r="X40" s="1302"/>
      <c r="Y40" s="1302"/>
      <c r="Z40" s="1302"/>
      <c r="AA40" s="1302"/>
    </row>
    <row r="41" spans="14:27" ht="16.5" customHeight="1">
      <c r="N41" s="650" t="s">
        <v>1125</v>
      </c>
      <c r="O41" s="91" t="s">
        <v>1116</v>
      </c>
      <c r="P41" s="91" t="s">
        <v>1116</v>
      </c>
      <c r="Q41" s="91" t="s">
        <v>1116</v>
      </c>
      <c r="R41" s="91" t="s">
        <v>1116</v>
      </c>
      <c r="V41" s="650" t="s">
        <v>1122</v>
      </c>
      <c r="W41" s="53">
        <f>W25*$U$30*W5</f>
        <v>8.9289588024000004</v>
      </c>
      <c r="X41" s="53">
        <f>X25*$U$30*X5</f>
        <v>11.549977551000001</v>
      </c>
      <c r="Y41" s="53">
        <f>Y25*$U$30*Y5</f>
        <v>38.265577799400006</v>
      </c>
      <c r="Z41" s="53">
        <f>Z25*$U$30*Z5</f>
        <v>26.193988359000002</v>
      </c>
      <c r="AA41" s="137">
        <f>SUM(W41:Z41)</f>
        <v>84.93850251180001</v>
      </c>
    </row>
    <row r="42" spans="14:27" ht="16.5" customHeight="1">
      <c r="N42" s="650" t="s">
        <v>1124</v>
      </c>
      <c r="O42" s="91" t="s">
        <v>1116</v>
      </c>
      <c r="P42" s="91" t="s">
        <v>1119</v>
      </c>
      <c r="Q42" s="91" t="s">
        <v>1116</v>
      </c>
      <c r="R42" s="91" t="s">
        <v>1119</v>
      </c>
      <c r="V42" s="650" t="s">
        <v>1125</v>
      </c>
      <c r="W42" s="53">
        <f>W26*$U$30*W14</f>
        <v>13.373999251200001</v>
      </c>
      <c r="X42" s="53">
        <f>X26*$U$30*X14</f>
        <v>35.841756423480007</v>
      </c>
      <c r="Y42" s="53">
        <f>Y26*$U$30*Y14</f>
        <v>151.51561855164002</v>
      </c>
      <c r="Z42" s="53">
        <f>Z26*$U$30*Z14</f>
        <v>58.038232215600004</v>
      </c>
      <c r="AA42" s="137">
        <f>SUM(W42:Z42)</f>
        <v>258.76960644192002</v>
      </c>
    </row>
    <row r="43" spans="14:27" ht="16.5" customHeight="1">
      <c r="N43" s="652" t="s">
        <v>1056</v>
      </c>
      <c r="O43" s="91" t="s">
        <v>1116</v>
      </c>
      <c r="P43" s="91" t="s">
        <v>1116</v>
      </c>
      <c r="Q43" s="91" t="s">
        <v>1116</v>
      </c>
      <c r="R43" s="91" t="s">
        <v>1116</v>
      </c>
      <c r="V43" s="652" t="s">
        <v>1126</v>
      </c>
      <c r="W43" s="53">
        <f>W28*$U$30*W22</f>
        <v>6.1556682600000009E-2</v>
      </c>
      <c r="X43" s="53">
        <f>X28*$U$30*X22</f>
        <v>7.1559643522500022E-2</v>
      </c>
      <c r="Y43" s="53">
        <f>Y28*$U$30*Y22</f>
        <v>9.2232429429000007E-2</v>
      </c>
      <c r="Z43" s="53">
        <f>Z28*$U$30*Z22</f>
        <v>2.4622673040000001E-2</v>
      </c>
      <c r="AA43" s="137">
        <f>SUM(W43:Z43)</f>
        <v>0.24997142859150001</v>
      </c>
    </row>
    <row r="44" spans="14:27" ht="16.5" customHeight="1">
      <c r="N44" s="652" t="s">
        <v>1121</v>
      </c>
      <c r="O44" s="91" t="s">
        <v>1116</v>
      </c>
      <c r="P44" s="91" t="s">
        <v>1116</v>
      </c>
      <c r="Q44" s="91" t="s">
        <v>1116</v>
      </c>
      <c r="R44" s="91" t="s">
        <v>1116</v>
      </c>
      <c r="V44" s="650" t="s">
        <v>1124</v>
      </c>
      <c r="W44" s="53">
        <f>W29*$U$30*W9</f>
        <v>11.987353980000002</v>
      </c>
      <c r="X44" s="53">
        <f>X29*$U$30*X9</f>
        <v>15.266057284800002</v>
      </c>
      <c r="Y44" s="53">
        <f>Y29*$U$30*Y9</f>
        <v>103.98746092927502</v>
      </c>
      <c r="Z44" s="53">
        <f>Z29*$U$30*Z9</f>
        <v>40.578813134999997</v>
      </c>
      <c r="AA44" s="137">
        <f>SUM(W44:Z44)</f>
        <v>171.81968532907501</v>
      </c>
    </row>
    <row r="45" spans="14:27" ht="16.5" customHeight="1">
      <c r="V45" s="1296" t="s">
        <v>1129</v>
      </c>
      <c r="W45" s="1296"/>
      <c r="X45" s="1296"/>
      <c r="Y45" s="1296"/>
      <c r="Z45" s="1296"/>
      <c r="AA45" s="1296"/>
    </row>
    <row r="46" spans="14:27" ht="16.5" customHeight="1">
      <c r="V46" s="650" t="s">
        <v>1122</v>
      </c>
      <c r="W46" s="53">
        <f>W25*$U$30*W6</f>
        <v>7.898694325200001</v>
      </c>
      <c r="X46" s="53">
        <f>X25*$U$30*X6</f>
        <v>1.3859973061200002</v>
      </c>
      <c r="Y46" s="53">
        <f>Y25*$U$30*Y6</f>
        <v>18.982137018600003</v>
      </c>
      <c r="Z46" s="53">
        <f>Z25*$U$30*Z6</f>
        <v>2.5400231136000002</v>
      </c>
      <c r="AA46" s="137">
        <f>SUM(W46:Z46)</f>
        <v>30.806851763520005</v>
      </c>
    </row>
    <row r="47" spans="14:27" ht="16.5" customHeight="1">
      <c r="V47" s="650" t="s">
        <v>1125</v>
      </c>
      <c r="W47" s="53">
        <f>W26*$U$30*W13</f>
        <v>4.9763718144000002</v>
      </c>
      <c r="X47" s="53">
        <f>X26*$U$30*X13</f>
        <v>11.355804015360002</v>
      </c>
      <c r="Y47" s="53">
        <f>Y26*$U$30*Y13</f>
        <v>33.891651518130004</v>
      </c>
      <c r="Z47" s="53">
        <f>Z26*$U$30*Z13</f>
        <v>5.1513223860000004</v>
      </c>
      <c r="AA47" s="137">
        <f>SUM(W47:Z47)</f>
        <v>55.375149733890012</v>
      </c>
    </row>
    <row r="48" spans="14:27" ht="16.5" customHeight="1">
      <c r="V48" s="652" t="s">
        <v>1126</v>
      </c>
      <c r="W48" s="53">
        <f>W28*$U$30*W21</f>
        <v>0.75406936185000006</v>
      </c>
      <c r="X48" s="53">
        <f>X28*$U$30*X21</f>
        <v>1.0018350093150001</v>
      </c>
      <c r="Y48" s="53">
        <f>Y28*$U$30*Y21</f>
        <v>3.8276458213035003</v>
      </c>
      <c r="Z48" s="53">
        <f>Z28*$U$30*Z21</f>
        <v>0.39396276864000002</v>
      </c>
      <c r="AA48" s="137">
        <f>SUM(W48:Z48)</f>
        <v>5.9775129611085003</v>
      </c>
    </row>
    <row r="49" spans="22:27" ht="16.5" customHeight="1">
      <c r="V49" s="650" t="s">
        <v>1124</v>
      </c>
      <c r="W49" s="53">
        <f>W29*$U$30*W10</f>
        <v>6.9656246100000008</v>
      </c>
      <c r="X49" s="53">
        <f>X29*$U$30*X10</f>
        <v>5.021729370000001</v>
      </c>
      <c r="Y49" s="53">
        <f>Y29*$U$30*Y10</f>
        <v>3.7286340572250003</v>
      </c>
      <c r="Z49" s="53">
        <f>Z29*$U$30*Z10</f>
        <v>3.4018166700000001</v>
      </c>
      <c r="AA49" s="137">
        <f>SUM(W49:Z49)</f>
        <v>19.117804707225002</v>
      </c>
    </row>
  </sheetData>
  <mergeCells count="32">
    <mergeCell ref="U3:AA3"/>
    <mergeCell ref="U16:AA16"/>
    <mergeCell ref="K6:L6"/>
    <mergeCell ref="K7:L7"/>
    <mergeCell ref="O5:R5"/>
    <mergeCell ref="O11:R11"/>
    <mergeCell ref="B6:C6"/>
    <mergeCell ref="E6:F6"/>
    <mergeCell ref="H6:I6"/>
    <mergeCell ref="B7:C7"/>
    <mergeCell ref="E7:F7"/>
    <mergeCell ref="H7:I7"/>
    <mergeCell ref="A2:L2"/>
    <mergeCell ref="G4:I4"/>
    <mergeCell ref="B5:C5"/>
    <mergeCell ref="E5:F5"/>
    <mergeCell ref="H5:I5"/>
    <mergeCell ref="J4:L4"/>
    <mergeCell ref="K5:L5"/>
    <mergeCell ref="D3:F3"/>
    <mergeCell ref="A4:C4"/>
    <mergeCell ref="D4:F4"/>
    <mergeCell ref="V45:AA45"/>
    <mergeCell ref="O17:R17"/>
    <mergeCell ref="O23:R23"/>
    <mergeCell ref="O29:R29"/>
    <mergeCell ref="O34:R34"/>
    <mergeCell ref="V23:AA23"/>
    <mergeCell ref="O39:R39"/>
    <mergeCell ref="V30:AA30"/>
    <mergeCell ref="V35:AA35"/>
    <mergeCell ref="V40:AA40"/>
  </mergeCells>
  <pageMargins left="1" right="0.25" top="0.75" bottom="0.75" header="0.3" footer="0.3"/>
  <pageSetup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92D050"/>
  </sheetPr>
  <dimension ref="A2:S72"/>
  <sheetViews>
    <sheetView topLeftCell="C22" workbookViewId="0">
      <selection activeCell="C40" sqref="C40:I53"/>
    </sheetView>
  </sheetViews>
  <sheetFormatPr defaultRowHeight="12.5"/>
  <cols>
    <col min="1" max="1" width="11.08984375" bestFit="1" customWidth="1"/>
    <col min="3" max="3" width="21.6328125" customWidth="1"/>
    <col min="4" max="4" width="10.6328125" bestFit="1" customWidth="1"/>
    <col min="5" max="5" width="11.54296875" customWidth="1"/>
    <col min="7" max="7" width="11.6328125" customWidth="1"/>
    <col min="8" max="8" width="12.08984375" customWidth="1"/>
    <col min="9" max="9" width="12.453125" customWidth="1"/>
    <col min="10" max="10" width="10.54296875" customWidth="1"/>
    <col min="11" max="11" width="14" customWidth="1"/>
    <col min="17" max="17" width="12.6328125" bestFit="1" customWidth="1"/>
    <col min="19" max="19" width="16.36328125" bestFit="1" customWidth="1"/>
  </cols>
  <sheetData>
    <row r="2" spans="1:19" ht="25">
      <c r="A2" s="955" t="s">
        <v>291</v>
      </c>
      <c r="B2" s="957" t="s">
        <v>11</v>
      </c>
      <c r="C2" s="958" t="s">
        <v>290</v>
      </c>
      <c r="D2" s="957" t="s">
        <v>150</v>
      </c>
      <c r="E2" s="957" t="s">
        <v>152</v>
      </c>
      <c r="F2" s="959" t="s">
        <v>156</v>
      </c>
      <c r="G2" s="960" t="s">
        <v>288</v>
      </c>
      <c r="H2" s="959" t="s">
        <v>289</v>
      </c>
      <c r="I2" s="961" t="s">
        <v>287</v>
      </c>
      <c r="J2" s="959" t="s">
        <v>371</v>
      </c>
      <c r="K2" s="956" t="s">
        <v>584</v>
      </c>
      <c r="L2" s="956" t="s">
        <v>585</v>
      </c>
      <c r="O2" t="s">
        <v>169</v>
      </c>
      <c r="P2" t="s">
        <v>170</v>
      </c>
      <c r="Q2" t="s">
        <v>171</v>
      </c>
      <c r="R2" t="s">
        <v>172</v>
      </c>
      <c r="S2" t="s">
        <v>567</v>
      </c>
    </row>
    <row r="3" spans="1:19" ht="13">
      <c r="A3" s="1258" t="s">
        <v>1156</v>
      </c>
      <c r="B3" s="1322" t="s">
        <v>611</v>
      </c>
      <c r="C3" s="1326" t="s">
        <v>1859</v>
      </c>
      <c r="D3" s="966">
        <v>41324</v>
      </c>
      <c r="E3" s="969">
        <v>0.52986111111111112</v>
      </c>
      <c r="F3" s="970">
        <v>8.2799999999999994</v>
      </c>
      <c r="G3" s="971">
        <v>0</v>
      </c>
      <c r="H3" s="970">
        <v>8.44</v>
      </c>
      <c r="I3" s="972">
        <v>1.39</v>
      </c>
      <c r="J3" s="970">
        <v>0.16600000000000001</v>
      </c>
      <c r="K3" s="973">
        <v>0</v>
      </c>
      <c r="L3" s="974" t="s">
        <v>1838</v>
      </c>
      <c r="O3" s="365">
        <v>2</v>
      </c>
      <c r="P3" s="364">
        <v>0.28000000000000003</v>
      </c>
      <c r="Q3" s="364">
        <v>0.66</v>
      </c>
      <c r="R3" s="364">
        <f>P3*2.5</f>
        <v>0.70000000000000007</v>
      </c>
      <c r="S3" s="8">
        <f>Q3*R3</f>
        <v>0.46200000000000008</v>
      </c>
    </row>
    <row r="4" spans="1:19" ht="13">
      <c r="A4" s="1258"/>
      <c r="B4" s="1323"/>
      <c r="C4" s="1327"/>
      <c r="D4" s="921">
        <v>41386</v>
      </c>
      <c r="E4" s="962">
        <v>0.41666666666666669</v>
      </c>
      <c r="F4" s="963">
        <v>8.09</v>
      </c>
      <c r="G4" s="963">
        <v>5.3</v>
      </c>
      <c r="H4" s="963">
        <v>11.5</v>
      </c>
      <c r="I4" s="964">
        <v>1.35</v>
      </c>
      <c r="J4" s="963">
        <v>0.49399999999999999</v>
      </c>
      <c r="K4" s="967">
        <v>0.2</v>
      </c>
      <c r="L4" s="965" t="s">
        <v>1838</v>
      </c>
      <c r="O4" s="366">
        <v>4</v>
      </c>
      <c r="P4" s="6">
        <v>0.15</v>
      </c>
      <c r="Q4" s="6">
        <v>0.67</v>
      </c>
      <c r="R4" s="364">
        <f>P4*1.5</f>
        <v>0.22499999999999998</v>
      </c>
      <c r="S4" s="364">
        <f t="shared" ref="S4:S5" si="0">Q4*R4</f>
        <v>0.15075</v>
      </c>
    </row>
    <row r="5" spans="1:19" ht="13">
      <c r="A5" s="1258"/>
      <c r="B5" s="1323"/>
      <c r="C5" s="1327"/>
      <c r="D5" s="910">
        <v>41442</v>
      </c>
      <c r="E5" s="951">
        <v>0.54027777777777775</v>
      </c>
      <c r="F5" s="927">
        <v>8.34</v>
      </c>
      <c r="G5" s="927">
        <v>14.7</v>
      </c>
      <c r="H5" s="927">
        <v>9.06</v>
      </c>
      <c r="I5" s="952">
        <v>0.74</v>
      </c>
      <c r="J5" s="927">
        <v>0.38600000000000001</v>
      </c>
      <c r="K5" s="914">
        <v>0.1</v>
      </c>
      <c r="L5" s="899" t="s">
        <v>1838</v>
      </c>
      <c r="O5" s="365">
        <v>6</v>
      </c>
      <c r="P5" s="6"/>
      <c r="Q5" s="6"/>
      <c r="R5" s="364">
        <f t="shared" ref="R5" si="1">P5*2</f>
        <v>0</v>
      </c>
      <c r="S5" s="364">
        <f t="shared" si="0"/>
        <v>0</v>
      </c>
    </row>
    <row r="6" spans="1:19">
      <c r="A6" s="1258"/>
      <c r="B6" s="1323"/>
      <c r="C6" s="1327"/>
      <c r="D6" s="910">
        <v>41512</v>
      </c>
      <c r="E6" s="933">
        <v>6.0416666666666667E-2</v>
      </c>
      <c r="F6" s="923">
        <v>8.2200000000000006</v>
      </c>
      <c r="G6" s="923">
        <v>19.059999999999999</v>
      </c>
      <c r="H6" s="923">
        <v>7.17</v>
      </c>
      <c r="I6" s="929">
        <v>1.129</v>
      </c>
      <c r="J6" s="923">
        <v>0.129</v>
      </c>
      <c r="K6" s="913">
        <v>0.05</v>
      </c>
      <c r="L6" s="899" t="s">
        <v>1838</v>
      </c>
      <c r="S6" s="4">
        <f>SUM(S3:S5)</f>
        <v>0.61275000000000013</v>
      </c>
    </row>
    <row r="7" spans="1:19">
      <c r="A7" s="1258"/>
      <c r="B7" s="1323"/>
      <c r="C7" s="1327"/>
      <c r="D7" s="910">
        <v>41596</v>
      </c>
      <c r="E7" s="933">
        <v>0.50486111111111109</v>
      </c>
      <c r="F7" s="923">
        <v>8.11</v>
      </c>
      <c r="G7" s="923">
        <v>0.02</v>
      </c>
      <c r="H7" s="923">
        <v>12.24</v>
      </c>
      <c r="I7" s="929">
        <v>1.41</v>
      </c>
      <c r="J7" s="923">
        <v>0.20499999999999999</v>
      </c>
      <c r="K7" s="913">
        <v>0.05</v>
      </c>
      <c r="L7" s="899" t="s">
        <v>1838</v>
      </c>
    </row>
    <row r="8" spans="1:19">
      <c r="A8" s="1258"/>
      <c r="B8" s="1324" t="s">
        <v>613</v>
      </c>
      <c r="C8" s="1325" t="s">
        <v>1860</v>
      </c>
      <c r="D8" s="910">
        <v>41324</v>
      </c>
      <c r="E8" s="951">
        <v>0.53819444444444442</v>
      </c>
      <c r="F8" s="927">
        <v>8.57</v>
      </c>
      <c r="G8" s="927">
        <v>0.3</v>
      </c>
      <c r="H8" s="927">
        <v>13.78</v>
      </c>
      <c r="I8" s="952">
        <v>1.32</v>
      </c>
      <c r="J8" s="927">
        <v>0.21099999999999999</v>
      </c>
      <c r="K8" s="914">
        <v>0.05</v>
      </c>
      <c r="L8" s="899" t="s">
        <v>1838</v>
      </c>
    </row>
    <row r="9" spans="1:19">
      <c r="A9" s="1258"/>
      <c r="B9" s="1324"/>
      <c r="C9" s="1325"/>
      <c r="D9" s="921">
        <v>41386</v>
      </c>
      <c r="E9" s="968">
        <v>0.4236111111111111</v>
      </c>
      <c r="F9" s="953">
        <v>8.1999999999999993</v>
      </c>
      <c r="G9" s="953">
        <v>6.6</v>
      </c>
      <c r="H9" s="953">
        <v>11.42</v>
      </c>
      <c r="I9" s="954">
        <v>1.35</v>
      </c>
      <c r="J9" s="953">
        <v>0.23400000000000001</v>
      </c>
      <c r="K9" s="914">
        <v>0.15</v>
      </c>
      <c r="L9" s="899" t="s">
        <v>1838</v>
      </c>
    </row>
    <row r="10" spans="1:19">
      <c r="A10" s="1258"/>
      <c r="B10" s="1324"/>
      <c r="C10" s="1325"/>
      <c r="D10" s="910">
        <v>41442</v>
      </c>
      <c r="E10" s="951">
        <v>0.54166666666666663</v>
      </c>
      <c r="F10" s="927">
        <v>8.27</v>
      </c>
      <c r="G10" s="927">
        <v>14.7</v>
      </c>
      <c r="H10" s="927">
        <v>10.34</v>
      </c>
      <c r="I10" s="952">
        <v>0.73</v>
      </c>
      <c r="J10" s="927">
        <v>0.27</v>
      </c>
      <c r="K10" s="914">
        <v>0.25</v>
      </c>
      <c r="L10" s="899" t="s">
        <v>1838</v>
      </c>
    </row>
    <row r="11" spans="1:19">
      <c r="A11" s="1258"/>
      <c r="B11" s="1324"/>
      <c r="C11" s="1325"/>
      <c r="D11" s="910">
        <v>41512</v>
      </c>
      <c r="E11" s="933">
        <v>6.5972222222222224E-2</v>
      </c>
      <c r="F11" s="923">
        <v>8.56</v>
      </c>
      <c r="G11" s="923">
        <v>22</v>
      </c>
      <c r="H11" s="923">
        <v>7.51</v>
      </c>
      <c r="I11" s="929">
        <v>1.115</v>
      </c>
      <c r="J11" s="923">
        <v>0.193</v>
      </c>
      <c r="K11" s="913">
        <v>0.05</v>
      </c>
      <c r="L11" s="899" t="s">
        <v>1841</v>
      </c>
    </row>
    <row r="12" spans="1:19">
      <c r="A12" s="1258"/>
      <c r="B12" s="1324"/>
      <c r="C12" s="1325"/>
      <c r="D12" s="910">
        <v>41596</v>
      </c>
      <c r="E12" s="933">
        <v>0.51250000000000007</v>
      </c>
      <c r="F12" s="923">
        <v>8.2799999999999994</v>
      </c>
      <c r="G12" s="923">
        <v>3.8</v>
      </c>
      <c r="H12" s="923">
        <v>13</v>
      </c>
      <c r="I12" s="929">
        <v>1.37</v>
      </c>
      <c r="J12" s="923">
        <v>0.46200000000000002</v>
      </c>
      <c r="K12" s="913">
        <v>0.05</v>
      </c>
      <c r="L12" s="899" t="s">
        <v>1838</v>
      </c>
    </row>
    <row r="13" spans="1:19">
      <c r="A13" s="975"/>
      <c r="B13" s="976"/>
      <c r="C13" s="977"/>
      <c r="D13" s="978"/>
      <c r="E13" s="979"/>
      <c r="F13" s="980"/>
      <c r="G13" s="980"/>
      <c r="H13" s="980"/>
      <c r="I13" s="981"/>
      <c r="J13" s="980"/>
      <c r="K13" s="982"/>
      <c r="L13" s="983"/>
    </row>
    <row r="14" spans="1:19">
      <c r="A14" s="975"/>
      <c r="B14" s="976"/>
      <c r="C14" s="977"/>
      <c r="D14" s="978"/>
    </row>
    <row r="15" spans="1:19" ht="25">
      <c r="A15" s="1034" t="s">
        <v>291</v>
      </c>
      <c r="B15" s="1034" t="s">
        <v>11</v>
      </c>
      <c r="C15" s="1035" t="s">
        <v>290</v>
      </c>
      <c r="D15" s="1034" t="s">
        <v>150</v>
      </c>
      <c r="E15" s="1036" t="s">
        <v>206</v>
      </c>
      <c r="F15" s="1036" t="s">
        <v>245</v>
      </c>
      <c r="G15" s="1036" t="s">
        <v>1871</v>
      </c>
      <c r="H15" s="1036" t="s">
        <v>179</v>
      </c>
      <c r="J15" s="984"/>
      <c r="K15" s="984"/>
      <c r="L15" s="985"/>
    </row>
    <row r="16" spans="1:19">
      <c r="A16" s="1258" t="s">
        <v>1156</v>
      </c>
      <c r="B16" s="1324" t="s">
        <v>611</v>
      </c>
      <c r="C16" s="1325" t="s">
        <v>1859</v>
      </c>
      <c r="D16" s="966">
        <v>41324</v>
      </c>
      <c r="E16" s="605">
        <v>1898</v>
      </c>
      <c r="F16" s="989">
        <v>36</v>
      </c>
      <c r="G16" s="605">
        <v>1756</v>
      </c>
      <c r="H16" s="605">
        <v>30</v>
      </c>
      <c r="I16" s="992"/>
    </row>
    <row r="17" spans="1:12">
      <c r="A17" s="1258"/>
      <c r="B17" s="1324"/>
      <c r="C17" s="1325"/>
      <c r="D17" s="910">
        <v>41386</v>
      </c>
      <c r="E17" s="605">
        <v>1214</v>
      </c>
      <c r="F17" s="605">
        <v>14</v>
      </c>
      <c r="G17" s="605">
        <v>800</v>
      </c>
      <c r="H17" s="605">
        <v>37</v>
      </c>
      <c r="K17" s="982"/>
      <c r="L17" s="983"/>
    </row>
    <row r="18" spans="1:12">
      <c r="A18" s="1258"/>
      <c r="B18" s="1324"/>
      <c r="C18" s="1325"/>
      <c r="D18" s="910">
        <v>41442</v>
      </c>
      <c r="E18" s="605">
        <v>982</v>
      </c>
      <c r="F18" s="605">
        <v>41</v>
      </c>
      <c r="G18" s="605">
        <v>465</v>
      </c>
      <c r="H18" s="605">
        <v>87</v>
      </c>
      <c r="K18" s="982"/>
      <c r="L18" s="983"/>
    </row>
    <row r="19" spans="1:12">
      <c r="A19" s="1258"/>
      <c r="B19" s="1324"/>
      <c r="C19" s="1325"/>
      <c r="D19" s="910">
        <v>41512</v>
      </c>
      <c r="E19" s="605">
        <v>1199</v>
      </c>
      <c r="F19" s="605">
        <v>45</v>
      </c>
      <c r="G19" s="605">
        <v>305</v>
      </c>
      <c r="H19" s="605">
        <v>103</v>
      </c>
      <c r="K19" s="982"/>
      <c r="L19" s="983"/>
    </row>
    <row r="20" spans="1:12">
      <c r="A20" s="1258"/>
      <c r="B20" s="1324"/>
      <c r="C20" s="1325"/>
      <c r="D20" s="910">
        <v>41596</v>
      </c>
      <c r="E20" s="605">
        <v>2010</v>
      </c>
      <c r="F20" s="605">
        <v>35</v>
      </c>
      <c r="G20" s="605">
        <v>1640</v>
      </c>
      <c r="H20" s="605">
        <v>31</v>
      </c>
      <c r="K20" s="982"/>
      <c r="L20" s="983"/>
    </row>
    <row r="21" spans="1:12">
      <c r="A21" s="1258"/>
      <c r="B21" s="1324" t="s">
        <v>613</v>
      </c>
      <c r="C21" s="1325" t="s">
        <v>1860</v>
      </c>
      <c r="D21" s="910">
        <v>41324</v>
      </c>
      <c r="E21" s="605">
        <v>1667</v>
      </c>
      <c r="F21" s="605">
        <v>28</v>
      </c>
      <c r="G21" s="605">
        <v>1513</v>
      </c>
      <c r="H21" s="605">
        <v>15</v>
      </c>
      <c r="I21" s="992"/>
      <c r="K21" s="982"/>
      <c r="L21" s="983"/>
    </row>
    <row r="22" spans="1:12">
      <c r="A22" s="1258"/>
      <c r="B22" s="1324"/>
      <c r="C22" s="1325"/>
      <c r="D22" s="910">
        <v>41386</v>
      </c>
      <c r="E22" s="605">
        <v>1066</v>
      </c>
      <c r="F22" s="605">
        <v>14</v>
      </c>
      <c r="G22" s="605">
        <v>660</v>
      </c>
      <c r="H22" s="605">
        <v>12</v>
      </c>
      <c r="I22" s="981"/>
      <c r="K22" s="982"/>
      <c r="L22" s="983"/>
    </row>
    <row r="23" spans="1:12">
      <c r="A23" s="1258"/>
      <c r="B23" s="1324"/>
      <c r="C23" s="1325"/>
      <c r="D23" s="910">
        <v>41442</v>
      </c>
      <c r="E23" s="605">
        <v>1192</v>
      </c>
      <c r="F23" s="605">
        <v>47</v>
      </c>
      <c r="G23" s="605">
        <v>427</v>
      </c>
      <c r="H23" s="605">
        <v>123</v>
      </c>
    </row>
    <row r="24" spans="1:12">
      <c r="A24" s="1258"/>
      <c r="B24" s="1324"/>
      <c r="C24" s="1325"/>
      <c r="D24" s="910">
        <v>41512</v>
      </c>
      <c r="E24" s="605">
        <v>1023</v>
      </c>
      <c r="F24" s="605">
        <v>64</v>
      </c>
      <c r="G24" s="605">
        <v>149</v>
      </c>
      <c r="H24" s="605">
        <v>89</v>
      </c>
    </row>
    <row r="25" spans="1:12">
      <c r="A25" s="1258"/>
      <c r="B25" s="1324"/>
      <c r="C25" s="1325"/>
      <c r="D25" s="910">
        <v>41596</v>
      </c>
      <c r="E25" s="605">
        <v>1875</v>
      </c>
      <c r="F25" s="605">
        <v>55</v>
      </c>
      <c r="G25" s="605">
        <v>1421</v>
      </c>
      <c r="H25" s="605">
        <v>38</v>
      </c>
    </row>
    <row r="26" spans="1:12">
      <c r="A26" s="583"/>
      <c r="B26" s="243"/>
      <c r="C26" s="243"/>
      <c r="D26" s="589"/>
      <c r="E26" s="589"/>
      <c r="F26" s="589"/>
      <c r="G26" s="589"/>
    </row>
    <row r="27" spans="1:12">
      <c r="A27" s="583"/>
      <c r="B27" s="243"/>
      <c r="C27" s="243"/>
      <c r="D27" s="970">
        <v>60</v>
      </c>
      <c r="E27" s="839">
        <v>61</v>
      </c>
      <c r="F27" s="839">
        <v>61</v>
      </c>
      <c r="G27" s="839">
        <v>62</v>
      </c>
      <c r="H27" s="839">
        <v>61</v>
      </c>
      <c r="I27" s="839">
        <v>61</v>
      </c>
    </row>
    <row r="28" spans="1:12">
      <c r="A28" s="583"/>
      <c r="B28" s="243"/>
      <c r="C28" s="243"/>
      <c r="D28" s="595" t="s">
        <v>1866</v>
      </c>
      <c r="E28" s="595" t="s">
        <v>1861</v>
      </c>
      <c r="F28" s="611" t="s">
        <v>1862</v>
      </c>
      <c r="G28" s="595" t="s">
        <v>1863</v>
      </c>
      <c r="H28" s="595" t="s">
        <v>1864</v>
      </c>
      <c r="I28" s="595" t="s">
        <v>1865</v>
      </c>
    </row>
    <row r="29" spans="1:12">
      <c r="A29" s="583"/>
      <c r="B29" s="243"/>
      <c r="C29" s="243"/>
      <c r="D29" s="1329" t="s">
        <v>175</v>
      </c>
      <c r="E29" s="1330"/>
      <c r="F29" s="1330"/>
      <c r="G29" s="1330"/>
      <c r="H29" s="1330"/>
      <c r="I29" s="1331"/>
    </row>
    <row r="30" spans="1:12">
      <c r="A30" s="583"/>
      <c r="B30" s="243"/>
      <c r="C30" s="243" t="s">
        <v>1867</v>
      </c>
      <c r="D30" s="970">
        <v>0.16600000000000001</v>
      </c>
      <c r="E30" s="970">
        <v>0.49399999999999999</v>
      </c>
      <c r="F30" s="970">
        <v>0.38600000000000001</v>
      </c>
      <c r="G30" s="990">
        <v>0.129</v>
      </c>
      <c r="H30" s="234">
        <v>0.5</v>
      </c>
      <c r="I30" s="990">
        <v>0.20499999999999999</v>
      </c>
    </row>
    <row r="31" spans="1:12">
      <c r="A31" s="583"/>
      <c r="B31" s="243"/>
      <c r="C31" s="243" t="s">
        <v>1868</v>
      </c>
      <c r="D31" s="970">
        <v>0.21099999999999999</v>
      </c>
      <c r="E31" s="970">
        <v>0.23400000000000001</v>
      </c>
      <c r="F31" s="970">
        <v>0.27</v>
      </c>
      <c r="G31" s="990">
        <v>0.193</v>
      </c>
      <c r="H31" s="234"/>
      <c r="I31" s="990">
        <v>0.46200000000000002</v>
      </c>
    </row>
    <row r="32" spans="1:12">
      <c r="A32" s="583"/>
      <c r="B32" s="243"/>
      <c r="C32" s="243"/>
      <c r="D32" s="1332" t="s">
        <v>1869</v>
      </c>
      <c r="E32" s="1333"/>
      <c r="F32" s="1333"/>
      <c r="G32" s="1333"/>
      <c r="H32" s="1333"/>
      <c r="I32" s="1334"/>
    </row>
    <row r="33" spans="1:11">
      <c r="A33" s="583"/>
      <c r="B33" s="243"/>
      <c r="C33" s="243" t="s">
        <v>1867</v>
      </c>
      <c r="D33" s="991">
        <f>D30*1.983</f>
        <v>0.32917800000000003</v>
      </c>
      <c r="E33" s="991">
        <f t="shared" ref="E33:I33" si="2">E30*1.983</f>
        <v>0.97960200000000008</v>
      </c>
      <c r="F33" s="991">
        <f t="shared" si="2"/>
        <v>0.76543800000000006</v>
      </c>
      <c r="G33" s="991">
        <f t="shared" si="2"/>
        <v>0.25580700000000001</v>
      </c>
      <c r="H33" s="991">
        <f t="shared" si="2"/>
        <v>0.99150000000000005</v>
      </c>
      <c r="I33" s="991">
        <f t="shared" si="2"/>
        <v>0.40651500000000002</v>
      </c>
    </row>
    <row r="34" spans="1:11">
      <c r="A34" s="583"/>
      <c r="B34" s="243"/>
      <c r="C34" s="243" t="s">
        <v>1868</v>
      </c>
      <c r="D34" s="991">
        <f>D31*1.983</f>
        <v>0.41841299999999998</v>
      </c>
      <c r="E34" s="991">
        <f t="shared" ref="E34:I34" si="3">E31*1.983</f>
        <v>0.46402200000000005</v>
      </c>
      <c r="F34" s="991">
        <f t="shared" si="3"/>
        <v>0.53541000000000005</v>
      </c>
      <c r="G34" s="991">
        <f t="shared" si="3"/>
        <v>0.38271900000000003</v>
      </c>
      <c r="H34" s="991">
        <f t="shared" si="3"/>
        <v>0</v>
      </c>
      <c r="I34" s="991">
        <f t="shared" si="3"/>
        <v>0.91614600000000013</v>
      </c>
    </row>
    <row r="35" spans="1:11">
      <c r="D35" s="1335" t="s">
        <v>1870</v>
      </c>
      <c r="E35" s="1336"/>
      <c r="F35" s="1336"/>
      <c r="G35" s="1336"/>
      <c r="H35" s="1336"/>
      <c r="I35" s="1337"/>
    </row>
    <row r="36" spans="1:11">
      <c r="A36" s="583"/>
      <c r="B36" s="243"/>
      <c r="C36" s="243" t="s">
        <v>1867</v>
      </c>
      <c r="D36" s="726">
        <f>$D$27*D33</f>
        <v>19.750680000000003</v>
      </c>
      <c r="E36" s="726">
        <f t="shared" ref="E36:I36" si="4">$D$27*E33</f>
        <v>58.776120000000006</v>
      </c>
      <c r="F36" s="726">
        <f t="shared" si="4"/>
        <v>45.926280000000006</v>
      </c>
      <c r="G36" s="726">
        <f t="shared" si="4"/>
        <v>15.348420000000001</v>
      </c>
      <c r="H36" s="726">
        <f t="shared" si="4"/>
        <v>59.49</v>
      </c>
      <c r="I36" s="726">
        <f t="shared" si="4"/>
        <v>24.390900000000002</v>
      </c>
      <c r="J36" s="996">
        <f>SUM(D36:I36)</f>
        <v>223.68240000000003</v>
      </c>
    </row>
    <row r="37" spans="1:11">
      <c r="A37" s="583"/>
      <c r="B37" s="243"/>
      <c r="C37" s="243" t="s">
        <v>1868</v>
      </c>
      <c r="D37" s="726">
        <f>$D$27*D34</f>
        <v>25.104779999999998</v>
      </c>
      <c r="E37" s="726">
        <f t="shared" ref="E37:I37" si="5">$D$27*E34</f>
        <v>27.841320000000003</v>
      </c>
      <c r="F37" s="726">
        <f t="shared" si="5"/>
        <v>32.124600000000001</v>
      </c>
      <c r="G37" s="726">
        <f t="shared" si="5"/>
        <v>22.963140000000003</v>
      </c>
      <c r="H37" s="726"/>
      <c r="I37" s="726">
        <f t="shared" si="5"/>
        <v>54.96876000000001</v>
      </c>
      <c r="J37" s="996">
        <f>SUM(D37:I37)</f>
        <v>163.0026</v>
      </c>
    </row>
    <row r="38" spans="1:11">
      <c r="A38" s="583"/>
      <c r="B38" s="243"/>
      <c r="C38" s="243"/>
      <c r="D38" s="589"/>
      <c r="E38" s="589"/>
      <c r="F38" s="589"/>
      <c r="G38" s="589"/>
    </row>
    <row r="39" spans="1:11">
      <c r="A39" s="583"/>
      <c r="B39" s="243"/>
      <c r="C39" s="243"/>
      <c r="D39" s="589">
        <v>2.7230000000000002E-3</v>
      </c>
      <c r="E39" s="589"/>
      <c r="F39" s="805"/>
      <c r="G39" s="589"/>
    </row>
    <row r="40" spans="1:11">
      <c r="A40" s="583"/>
      <c r="B40" s="243"/>
      <c r="C40" s="243"/>
      <c r="D40" s="584"/>
      <c r="F40" s="993" t="s">
        <v>1873</v>
      </c>
      <c r="G40" s="993"/>
      <c r="H40" s="993"/>
      <c r="I40" s="993"/>
    </row>
    <row r="41" spans="1:11" ht="25">
      <c r="A41" s="583"/>
      <c r="B41" s="243"/>
      <c r="C41" s="987" t="s">
        <v>290</v>
      </c>
      <c r="D41" s="986" t="s">
        <v>150</v>
      </c>
      <c r="E41" s="994" t="s">
        <v>1874</v>
      </c>
      <c r="F41" s="988" t="s">
        <v>206</v>
      </c>
      <c r="G41" s="988" t="s">
        <v>245</v>
      </c>
      <c r="H41" s="988" t="s">
        <v>1872</v>
      </c>
      <c r="I41" s="988" t="s">
        <v>179</v>
      </c>
    </row>
    <row r="42" spans="1:11">
      <c r="A42" s="583"/>
      <c r="B42" s="243"/>
      <c r="C42" s="1325" t="s">
        <v>1859</v>
      </c>
      <c r="D42" s="595" t="s">
        <v>1866</v>
      </c>
      <c r="E42" s="726">
        <v>19.750680000000003</v>
      </c>
      <c r="F42" s="725">
        <f>$E42*$D$39*E16</f>
        <v>102.07653091272002</v>
      </c>
      <c r="G42" s="725">
        <f>$E42*$D$39*F16</f>
        <v>1.9361196590400003</v>
      </c>
      <c r="H42" s="725">
        <f>$E42*$D$39*G16</f>
        <v>94.439614479840017</v>
      </c>
      <c r="I42" s="725">
        <f t="shared" ref="I42" si="6">$E42*$D$39*H16</f>
        <v>1.6134330492000002</v>
      </c>
      <c r="J42" s="995"/>
      <c r="K42" s="57"/>
    </row>
    <row r="43" spans="1:11">
      <c r="A43" s="583"/>
      <c r="B43" s="243"/>
      <c r="C43" s="1325"/>
      <c r="D43" s="595" t="s">
        <v>1861</v>
      </c>
      <c r="E43" s="726">
        <v>58.776120000000006</v>
      </c>
      <c r="F43" s="725">
        <f t="shared" ref="F43:I47" si="7">$E43*$D$39*E17</f>
        <v>194.29751295864003</v>
      </c>
      <c r="G43" s="725">
        <f t="shared" si="7"/>
        <v>2.2406632466400005</v>
      </c>
      <c r="H43" s="725">
        <f t="shared" si="7"/>
        <v>128.03789980800002</v>
      </c>
      <c r="I43" s="725">
        <f t="shared" si="7"/>
        <v>5.9217528661200012</v>
      </c>
      <c r="K43" s="57"/>
    </row>
    <row r="44" spans="1:11">
      <c r="C44" s="1325"/>
      <c r="D44" s="611" t="s">
        <v>1862</v>
      </c>
      <c r="E44" s="726">
        <v>45.926280000000006</v>
      </c>
      <c r="F44" s="725">
        <f t="shared" si="7"/>
        <v>122.80622975208001</v>
      </c>
      <c r="G44" s="725">
        <f t="shared" si="7"/>
        <v>5.1273476780400005</v>
      </c>
      <c r="H44" s="725">
        <f t="shared" si="7"/>
        <v>58.151626104600005</v>
      </c>
      <c r="I44" s="725">
        <f t="shared" si="7"/>
        <v>10.87998165828</v>
      </c>
      <c r="K44" s="57"/>
    </row>
    <row r="45" spans="1:11">
      <c r="A45" s="583"/>
      <c r="B45" s="243"/>
      <c r="C45" s="1325"/>
      <c r="D45" s="595" t="s">
        <v>1863</v>
      </c>
      <c r="E45" s="726">
        <v>15.348420000000001</v>
      </c>
      <c r="F45" s="725">
        <f t="shared" si="7"/>
        <v>50.110703444340004</v>
      </c>
      <c r="G45" s="725">
        <f t="shared" si="7"/>
        <v>1.8807186447000002</v>
      </c>
      <c r="H45" s="725">
        <f t="shared" si="7"/>
        <v>12.747093036300001</v>
      </c>
      <c r="I45" s="725">
        <f t="shared" si="7"/>
        <v>4.3047560089800001</v>
      </c>
      <c r="K45" s="57"/>
    </row>
    <row r="46" spans="1:11">
      <c r="A46" s="583"/>
      <c r="B46" s="243"/>
      <c r="C46" s="1325"/>
      <c r="D46" s="595" t="s">
        <v>1864</v>
      </c>
      <c r="E46" s="726" t="s">
        <v>1875</v>
      </c>
      <c r="F46" s="725"/>
      <c r="G46" s="612"/>
      <c r="H46" s="595"/>
      <c r="I46" s="53"/>
      <c r="K46" s="57"/>
    </row>
    <row r="47" spans="1:11">
      <c r="A47" s="583"/>
      <c r="B47" s="243"/>
      <c r="C47" s="1325"/>
      <c r="D47" s="595" t="s">
        <v>1865</v>
      </c>
      <c r="E47" s="726">
        <v>24.390900000000002</v>
      </c>
      <c r="F47" s="725">
        <f t="shared" si="7"/>
        <v>110.7161733069</v>
      </c>
      <c r="G47" s="725">
        <f t="shared" si="7"/>
        <v>1.8596597796000003</v>
      </c>
      <c r="H47" s="725">
        <f t="shared" si="7"/>
        <v>100.48804451910001</v>
      </c>
      <c r="I47" s="725">
        <f t="shared" si="7"/>
        <v>0.99624631050000012</v>
      </c>
      <c r="K47" s="57"/>
    </row>
    <row r="48" spans="1:11">
      <c r="A48" s="583"/>
      <c r="B48" s="243"/>
      <c r="C48" s="1325" t="s">
        <v>1860</v>
      </c>
      <c r="D48" s="595" t="s">
        <v>1866</v>
      </c>
      <c r="E48" s="606">
        <v>25.104779999999998</v>
      </c>
      <c r="F48" s="725">
        <f>$E48*$D$39*E21</f>
        <v>113.95664667198</v>
      </c>
      <c r="G48" s="725">
        <f t="shared" ref="G48:I48" si="8">$E48*$D$39*F21</f>
        <v>1.9140888463199999</v>
      </c>
      <c r="H48" s="725">
        <f t="shared" si="8"/>
        <v>103.42915801722</v>
      </c>
      <c r="I48" s="725">
        <f t="shared" si="8"/>
        <v>1.0254047391000001</v>
      </c>
      <c r="J48" s="995"/>
      <c r="K48" s="57"/>
    </row>
    <row r="49" spans="1:17">
      <c r="A49" s="583"/>
      <c r="B49" s="243"/>
      <c r="C49" s="1325"/>
      <c r="D49" s="595" t="s">
        <v>1861</v>
      </c>
      <c r="E49" s="606">
        <v>27.841320000000003</v>
      </c>
      <c r="F49" s="725">
        <f>$E49*$D$39*E22</f>
        <v>80.815500707760009</v>
      </c>
      <c r="G49" s="725">
        <f t="shared" ref="G49:I49" si="9">$E49*$D$39*F22</f>
        <v>1.0613668010400001</v>
      </c>
      <c r="H49" s="725">
        <f t="shared" si="9"/>
        <v>50.035863477600003</v>
      </c>
      <c r="I49" s="725">
        <f t="shared" si="9"/>
        <v>0.90974297232000012</v>
      </c>
      <c r="K49" s="57"/>
    </row>
    <row r="50" spans="1:17">
      <c r="A50" s="583"/>
      <c r="B50" s="243"/>
      <c r="C50" s="1325"/>
      <c r="D50" s="611" t="s">
        <v>1862</v>
      </c>
      <c r="E50" s="606">
        <v>32.124600000000001</v>
      </c>
      <c r="F50" s="725">
        <f t="shared" ref="F50:I51" si="10">$E50*$D$39*E23</f>
        <v>104.27054067360001</v>
      </c>
      <c r="G50" s="725">
        <f t="shared" si="10"/>
        <v>4.1113384326000002</v>
      </c>
      <c r="H50" s="725">
        <f t="shared" si="10"/>
        <v>37.351947036600002</v>
      </c>
      <c r="I50" s="725">
        <f t="shared" si="10"/>
        <v>10.759460153400001</v>
      </c>
    </row>
    <row r="51" spans="1:17">
      <c r="A51" s="583"/>
      <c r="B51" s="243"/>
      <c r="C51" s="1325"/>
      <c r="D51" s="595" t="s">
        <v>1863</v>
      </c>
      <c r="E51" s="606">
        <v>22.963140000000003</v>
      </c>
      <c r="F51" s="725">
        <f t="shared" si="10"/>
        <v>63.966788715060005</v>
      </c>
      <c r="G51" s="725">
        <f t="shared" si="10"/>
        <v>4.0018323340800004</v>
      </c>
      <c r="H51" s="725">
        <f t="shared" si="10"/>
        <v>9.3167659027800003</v>
      </c>
      <c r="I51" s="725">
        <f t="shared" si="10"/>
        <v>5.5650480895800003</v>
      </c>
    </row>
    <row r="52" spans="1:17">
      <c r="A52" s="583"/>
      <c r="B52" s="243"/>
      <c r="C52" s="1325"/>
      <c r="D52" s="595" t="s">
        <v>1864</v>
      </c>
      <c r="E52" s="726" t="s">
        <v>1875</v>
      </c>
      <c r="F52" s="725"/>
      <c r="G52" s="595"/>
      <c r="H52" s="53"/>
      <c r="I52" s="53"/>
    </row>
    <row r="53" spans="1:17">
      <c r="A53" s="583"/>
      <c r="B53" s="243"/>
      <c r="C53" s="1325"/>
      <c r="D53" s="595" t="s">
        <v>1865</v>
      </c>
      <c r="E53" s="606">
        <v>54.96876000000001</v>
      </c>
      <c r="F53" s="725">
        <f>$E53*$D$39*E25</f>
        <v>280.64987527500006</v>
      </c>
      <c r="G53" s="725">
        <f t="shared" ref="G53:I53" si="11">$E53*$D$39*F25</f>
        <v>8.2323963414000012</v>
      </c>
      <c r="H53" s="725">
        <f t="shared" si="11"/>
        <v>212.69518547508005</v>
      </c>
      <c r="I53" s="725">
        <f t="shared" si="11"/>
        <v>5.6878374722400009</v>
      </c>
    </row>
    <row r="55" spans="1:17">
      <c r="A55" s="583"/>
      <c r="B55" s="243"/>
      <c r="C55" s="243"/>
      <c r="D55" s="584"/>
      <c r="E55" s="1328" t="s">
        <v>1876</v>
      </c>
      <c r="F55" s="1328"/>
      <c r="G55" s="1328"/>
      <c r="H55" s="1328"/>
      <c r="I55" s="1328"/>
      <c r="M55" t="s">
        <v>1876</v>
      </c>
    </row>
    <row r="56" spans="1:17" ht="37.5">
      <c r="A56" s="583"/>
      <c r="B56" s="243"/>
      <c r="C56" s="243"/>
      <c r="D56" s="584"/>
      <c r="E56" s="994" t="s">
        <v>1877</v>
      </c>
      <c r="F56" s="988" t="s">
        <v>206</v>
      </c>
      <c r="G56" s="988" t="s">
        <v>245</v>
      </c>
      <c r="H56" s="988" t="s">
        <v>1872</v>
      </c>
      <c r="I56" s="988" t="s">
        <v>179</v>
      </c>
      <c r="M56" t="s">
        <v>1877</v>
      </c>
      <c r="N56" t="s">
        <v>206</v>
      </c>
      <c r="O56" t="s">
        <v>245</v>
      </c>
      <c r="P56" t="s">
        <v>1872</v>
      </c>
      <c r="Q56" t="s">
        <v>179</v>
      </c>
    </row>
    <row r="57" spans="1:17">
      <c r="A57" s="583"/>
      <c r="B57" s="243"/>
      <c r="C57" s="243" t="s">
        <v>1867</v>
      </c>
      <c r="D57" s="589"/>
      <c r="E57" s="725">
        <f>SUM(E42:E47)</f>
        <v>164.19240000000002</v>
      </c>
      <c r="F57" s="725">
        <f t="shared" ref="F57:I58" si="12">SUM(F42:F47)</f>
        <v>580.00715037468012</v>
      </c>
      <c r="G57" s="725">
        <f t="shared" si="12"/>
        <v>13.04450900802</v>
      </c>
      <c r="H57" s="725">
        <f t="shared" si="12"/>
        <v>393.86427794784004</v>
      </c>
      <c r="I57" s="725">
        <f t="shared" si="12"/>
        <v>23.71616989308</v>
      </c>
      <c r="L57" t="s">
        <v>1867</v>
      </c>
      <c r="M57">
        <v>164.19240000000002</v>
      </c>
      <c r="N57">
        <v>580.00715037468012</v>
      </c>
      <c r="O57">
        <v>13.04450900802</v>
      </c>
      <c r="P57">
        <v>393.86427794784004</v>
      </c>
      <c r="Q57">
        <v>23.71616989308</v>
      </c>
    </row>
    <row r="58" spans="1:17">
      <c r="A58" s="583"/>
      <c r="B58" s="243"/>
      <c r="C58" s="243" t="s">
        <v>1868</v>
      </c>
      <c r="D58" s="589"/>
      <c r="E58" s="725">
        <f>SUM(E43:E48)</f>
        <v>169.54650000000004</v>
      </c>
      <c r="F58" s="725">
        <f t="shared" si="12"/>
        <v>591.8872661339401</v>
      </c>
      <c r="G58" s="725">
        <f t="shared" si="12"/>
        <v>13.022478195300002</v>
      </c>
      <c r="H58" s="725">
        <f t="shared" si="12"/>
        <v>402.85382148522007</v>
      </c>
      <c r="I58" s="725">
        <f t="shared" si="12"/>
        <v>23.128141582980003</v>
      </c>
      <c r="L58" t="s">
        <v>1868</v>
      </c>
      <c r="M58">
        <v>169.54650000000004</v>
      </c>
      <c r="N58">
        <v>591.8872661339401</v>
      </c>
      <c r="O58">
        <v>13.022478195300002</v>
      </c>
      <c r="P58">
        <v>402.85382148522007</v>
      </c>
      <c r="Q58">
        <v>23.128141582980003</v>
      </c>
    </row>
    <row r="59" spans="1:17">
      <c r="A59" s="583"/>
      <c r="B59" s="243"/>
      <c r="C59" s="243"/>
      <c r="D59" s="589"/>
      <c r="E59" s="589"/>
      <c r="F59" s="805"/>
      <c r="G59" s="589" t="s">
        <v>1878</v>
      </c>
      <c r="O59" t="s">
        <v>1878</v>
      </c>
    </row>
    <row r="60" spans="1:17">
      <c r="A60" s="583"/>
      <c r="B60" s="243"/>
      <c r="C60" s="243" t="s">
        <v>1867</v>
      </c>
      <c r="D60" s="584"/>
      <c r="E60" s="725">
        <f>AVERAGE(E42:E47)</f>
        <v>32.838480000000004</v>
      </c>
      <c r="F60" s="725">
        <f t="shared" ref="F60:I61" si="13">AVERAGE(F42:F47)</f>
        <v>116.00143007493602</v>
      </c>
      <c r="G60" s="725">
        <f t="shared" si="13"/>
        <v>2.608901801604</v>
      </c>
      <c r="H60" s="725">
        <f t="shared" si="13"/>
        <v>78.77285558956801</v>
      </c>
      <c r="I60" s="725">
        <f t="shared" si="13"/>
        <v>4.7432339786159998</v>
      </c>
      <c r="L60" t="s">
        <v>1867</v>
      </c>
      <c r="M60">
        <v>32.838480000000004</v>
      </c>
      <c r="N60">
        <v>116.00143007493602</v>
      </c>
      <c r="O60">
        <v>2.608901801604</v>
      </c>
      <c r="P60">
        <v>78.77285558956801</v>
      </c>
      <c r="Q60">
        <v>4.7432339786159998</v>
      </c>
    </row>
    <row r="61" spans="1:17">
      <c r="A61" s="583"/>
      <c r="B61" s="243"/>
      <c r="C61" s="243" t="s">
        <v>1868</v>
      </c>
      <c r="D61" s="589"/>
      <c r="E61" s="725">
        <f>AVERAGE(E43:E48)</f>
        <v>33.909300000000009</v>
      </c>
      <c r="F61" s="725">
        <f t="shared" si="13"/>
        <v>118.37745322678802</v>
      </c>
      <c r="G61" s="725">
        <f t="shared" si="13"/>
        <v>2.6044956390600005</v>
      </c>
      <c r="H61" s="725">
        <f t="shared" si="13"/>
        <v>80.570764297044008</v>
      </c>
      <c r="I61" s="725">
        <f t="shared" si="13"/>
        <v>4.6256283165960008</v>
      </c>
      <c r="L61" t="s">
        <v>1868</v>
      </c>
      <c r="M61">
        <v>33.909300000000009</v>
      </c>
      <c r="N61">
        <v>118.37745322678802</v>
      </c>
      <c r="O61">
        <v>2.6044956390600005</v>
      </c>
      <c r="P61">
        <v>80.570764297044008</v>
      </c>
      <c r="Q61">
        <v>4.6256283165960008</v>
      </c>
    </row>
    <row r="62" spans="1:17">
      <c r="A62" s="583"/>
      <c r="B62" s="243"/>
      <c r="C62" s="243"/>
      <c r="D62" s="589"/>
      <c r="E62" s="589"/>
      <c r="F62" s="589"/>
      <c r="G62" s="589"/>
    </row>
    <row r="63" spans="1:17">
      <c r="A63" s="583"/>
      <c r="B63" s="243"/>
      <c r="C63" s="243"/>
      <c r="D63" s="589"/>
      <c r="E63" s="589"/>
      <c r="F63" s="805"/>
      <c r="G63" s="589"/>
    </row>
    <row r="65" spans="1:7">
      <c r="A65" s="583"/>
      <c r="B65" s="243"/>
      <c r="C65" s="243"/>
      <c r="D65" s="584"/>
      <c r="E65" s="589"/>
      <c r="F65" s="805"/>
      <c r="G65" s="589"/>
    </row>
    <row r="66" spans="1:7">
      <c r="A66" s="583"/>
      <c r="B66" s="243"/>
      <c r="C66" s="243"/>
      <c r="D66" s="589"/>
      <c r="E66" s="589"/>
      <c r="F66" s="589"/>
      <c r="G66" s="589"/>
    </row>
    <row r="67" spans="1:7">
      <c r="A67" s="583"/>
      <c r="B67" s="243"/>
      <c r="C67" s="243"/>
      <c r="D67" s="589"/>
      <c r="E67" s="589"/>
      <c r="F67" s="589"/>
      <c r="G67" s="589"/>
    </row>
    <row r="68" spans="1:7">
      <c r="A68" s="583"/>
      <c r="B68" s="243"/>
      <c r="C68" s="243"/>
      <c r="D68" s="589"/>
      <c r="E68" s="589"/>
      <c r="F68" s="805"/>
      <c r="G68" s="589"/>
    </row>
    <row r="69" spans="1:7">
      <c r="A69" s="583"/>
      <c r="B69" s="243"/>
      <c r="C69" s="243"/>
      <c r="D69" s="584"/>
      <c r="E69" s="589"/>
      <c r="F69" s="805"/>
      <c r="G69" s="589"/>
    </row>
    <row r="70" spans="1:7">
      <c r="A70" s="583"/>
      <c r="B70" s="243"/>
      <c r="C70" s="243"/>
      <c r="D70" s="589"/>
      <c r="E70" s="589"/>
      <c r="F70" s="589"/>
      <c r="G70" s="589"/>
    </row>
    <row r="71" spans="1:7">
      <c r="A71" s="583"/>
      <c r="B71" s="243"/>
      <c r="C71" s="243"/>
      <c r="D71" s="589"/>
      <c r="E71" s="589"/>
      <c r="F71" s="589"/>
      <c r="G71" s="589"/>
    </row>
    <row r="72" spans="1:7">
      <c r="A72" s="583"/>
      <c r="B72" s="243"/>
      <c r="C72" s="243"/>
      <c r="D72" s="589"/>
      <c r="E72" s="589"/>
      <c r="F72" s="805"/>
      <c r="G72" s="589"/>
    </row>
  </sheetData>
  <mergeCells count="16">
    <mergeCell ref="E55:I55"/>
    <mergeCell ref="D29:I29"/>
    <mergeCell ref="D32:I32"/>
    <mergeCell ref="D35:I35"/>
    <mergeCell ref="C42:C47"/>
    <mergeCell ref="C48:C53"/>
    <mergeCell ref="B3:B7"/>
    <mergeCell ref="A3:A12"/>
    <mergeCell ref="A16:A25"/>
    <mergeCell ref="B16:B20"/>
    <mergeCell ref="C16:C20"/>
    <mergeCell ref="B21:B25"/>
    <mergeCell ref="C21:C25"/>
    <mergeCell ref="C3:C7"/>
    <mergeCell ref="C8:C12"/>
    <mergeCell ref="B8:B12"/>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92D050"/>
  </sheetPr>
  <dimension ref="B1:J20"/>
  <sheetViews>
    <sheetView workbookViewId="0">
      <selection activeCell="C24" sqref="C24"/>
    </sheetView>
  </sheetViews>
  <sheetFormatPr defaultColWidth="12.54296875" defaultRowHeight="12.5"/>
  <cols>
    <col min="1" max="1" width="1.36328125" customWidth="1"/>
    <col min="2" max="2" width="8.453125" bestFit="1" customWidth="1"/>
    <col min="3" max="3" width="53.6328125" customWidth="1"/>
    <col min="4" max="4" width="21.54296875" style="28" customWidth="1"/>
    <col min="5" max="5" width="9.6328125" bestFit="1" customWidth="1"/>
    <col min="6" max="6" width="7.54296875" customWidth="1"/>
    <col min="7" max="7" width="5.90625" customWidth="1"/>
    <col min="8" max="8" width="9.6328125" bestFit="1" customWidth="1"/>
    <col min="9" max="9" width="7.6328125" customWidth="1"/>
    <col min="10" max="10" width="6" customWidth="1"/>
  </cols>
  <sheetData>
    <row r="1" spans="2:10">
      <c r="F1" s="1338" t="s">
        <v>329</v>
      </c>
      <c r="G1" s="1339"/>
      <c r="I1" s="1338" t="s">
        <v>329</v>
      </c>
      <c r="J1" s="1339"/>
    </row>
    <row r="2" spans="2:10">
      <c r="B2" s="1341" t="s">
        <v>291</v>
      </c>
      <c r="C2" s="1341" t="s">
        <v>291</v>
      </c>
      <c r="D2" s="1343" t="s">
        <v>233</v>
      </c>
      <c r="E2" s="1341" t="s">
        <v>327</v>
      </c>
      <c r="F2" s="1340" t="s">
        <v>330</v>
      </c>
      <c r="G2" s="1340"/>
      <c r="H2" s="1341" t="s">
        <v>327</v>
      </c>
      <c r="I2" s="1340" t="s">
        <v>330</v>
      </c>
      <c r="J2" s="1340"/>
    </row>
    <row r="3" spans="2:10">
      <c r="B3" s="1342"/>
      <c r="C3" s="1342"/>
      <c r="D3" s="1344"/>
      <c r="E3" s="1342"/>
      <c r="F3" s="185" t="s">
        <v>331</v>
      </c>
      <c r="G3" s="185" t="s">
        <v>332</v>
      </c>
      <c r="H3" s="1342"/>
      <c r="I3" s="185" t="s">
        <v>331</v>
      </c>
      <c r="J3" s="185" t="s">
        <v>332</v>
      </c>
    </row>
    <row r="4" spans="2:10" ht="23">
      <c r="B4" s="176" t="s">
        <v>292</v>
      </c>
      <c r="C4" s="174" t="s">
        <v>316</v>
      </c>
      <c r="D4" s="177" t="s">
        <v>318</v>
      </c>
      <c r="E4" s="176" t="s">
        <v>328</v>
      </c>
      <c r="F4" s="178">
        <v>17</v>
      </c>
      <c r="G4" s="178">
        <v>21.2</v>
      </c>
      <c r="H4" s="176" t="s">
        <v>333</v>
      </c>
      <c r="I4" s="178">
        <v>9</v>
      </c>
      <c r="J4" s="178">
        <v>13</v>
      </c>
    </row>
    <row r="5" spans="2:10" ht="25">
      <c r="B5" s="176" t="s">
        <v>293</v>
      </c>
      <c r="C5" s="174" t="s">
        <v>315</v>
      </c>
      <c r="D5" s="175" t="s">
        <v>319</v>
      </c>
      <c r="E5" s="176" t="s">
        <v>317</v>
      </c>
      <c r="F5" s="178">
        <v>19.3</v>
      </c>
      <c r="G5" s="178">
        <v>23.8</v>
      </c>
      <c r="H5" s="176" t="s">
        <v>334</v>
      </c>
      <c r="I5" s="178">
        <v>9</v>
      </c>
      <c r="J5" s="178">
        <v>13</v>
      </c>
    </row>
    <row r="6" spans="2:10" ht="25">
      <c r="B6" s="176" t="s">
        <v>294</v>
      </c>
      <c r="C6" s="174" t="s">
        <v>314</v>
      </c>
      <c r="D6" s="175" t="s">
        <v>320</v>
      </c>
      <c r="E6" s="180" t="s">
        <v>335</v>
      </c>
      <c r="F6" s="178">
        <v>23.3</v>
      </c>
      <c r="G6" s="178">
        <v>23.8</v>
      </c>
      <c r="H6" s="180" t="s">
        <v>336</v>
      </c>
      <c r="I6" s="178">
        <v>9</v>
      </c>
      <c r="J6" s="178">
        <v>13</v>
      </c>
    </row>
    <row r="7" spans="2:10" ht="13.5">
      <c r="B7" s="176" t="s">
        <v>295</v>
      </c>
      <c r="C7" s="174" t="s">
        <v>313</v>
      </c>
      <c r="D7" s="175" t="s">
        <v>321</v>
      </c>
      <c r="E7" s="180" t="s">
        <v>335</v>
      </c>
      <c r="F7" s="178">
        <v>18.2</v>
      </c>
      <c r="G7" s="178">
        <v>23.8</v>
      </c>
      <c r="H7" s="180" t="s">
        <v>336</v>
      </c>
      <c r="I7" s="178">
        <v>9</v>
      </c>
      <c r="J7" s="178">
        <v>13</v>
      </c>
    </row>
    <row r="8" spans="2:10" ht="25">
      <c r="B8" s="176" t="s">
        <v>296</v>
      </c>
      <c r="C8" s="174" t="s">
        <v>312</v>
      </c>
      <c r="D8" s="175" t="s">
        <v>322</v>
      </c>
      <c r="E8" s="176" t="s">
        <v>317</v>
      </c>
      <c r="F8" s="178">
        <v>19.3</v>
      </c>
      <c r="G8" s="178">
        <v>23.8</v>
      </c>
      <c r="H8" s="176" t="s">
        <v>334</v>
      </c>
      <c r="I8" s="178">
        <v>9</v>
      </c>
      <c r="J8" s="178">
        <v>13</v>
      </c>
    </row>
    <row r="9" spans="2:10" ht="23">
      <c r="B9" s="179">
        <v>2</v>
      </c>
      <c r="C9" s="174" t="s">
        <v>311</v>
      </c>
      <c r="D9" s="177" t="s">
        <v>326</v>
      </c>
      <c r="E9" s="176" t="s">
        <v>337</v>
      </c>
      <c r="F9" s="178">
        <v>27.5</v>
      </c>
      <c r="G9" s="178">
        <v>28.6</v>
      </c>
      <c r="H9" s="176" t="s">
        <v>334</v>
      </c>
      <c r="I9" s="178">
        <v>13.7</v>
      </c>
      <c r="J9" s="178">
        <v>14.3</v>
      </c>
    </row>
    <row r="10" spans="2:10" ht="23">
      <c r="B10" s="179">
        <v>3</v>
      </c>
      <c r="C10" s="174" t="s">
        <v>310</v>
      </c>
      <c r="D10" s="177" t="s">
        <v>318</v>
      </c>
      <c r="E10" s="176" t="s">
        <v>328</v>
      </c>
      <c r="F10" s="178">
        <v>17</v>
      </c>
      <c r="G10" s="178">
        <v>21.2</v>
      </c>
      <c r="H10" s="176" t="s">
        <v>333</v>
      </c>
      <c r="I10" s="178">
        <v>9</v>
      </c>
      <c r="J10" s="178">
        <v>13</v>
      </c>
    </row>
    <row r="11" spans="2:10" ht="34.5">
      <c r="B11" s="176" t="s">
        <v>297</v>
      </c>
      <c r="C11" s="174" t="s">
        <v>309</v>
      </c>
      <c r="D11" s="177" t="s">
        <v>323</v>
      </c>
      <c r="E11" s="176" t="s">
        <v>337</v>
      </c>
      <c r="F11" s="178">
        <v>24.2</v>
      </c>
      <c r="G11" s="178">
        <v>29</v>
      </c>
      <c r="H11" s="176" t="s">
        <v>338</v>
      </c>
      <c r="I11" s="178">
        <v>12.1</v>
      </c>
      <c r="J11" s="178">
        <v>14.5</v>
      </c>
    </row>
    <row r="12" spans="2:10" ht="34.5">
      <c r="B12" s="179">
        <v>5</v>
      </c>
      <c r="C12" s="174" t="s">
        <v>308</v>
      </c>
      <c r="D12" s="177" t="s">
        <v>324</v>
      </c>
      <c r="E12" s="176" t="s">
        <v>317</v>
      </c>
      <c r="F12" s="178">
        <v>18.2</v>
      </c>
      <c r="G12" s="178">
        <v>23.8</v>
      </c>
      <c r="H12" s="176" t="s">
        <v>334</v>
      </c>
      <c r="I12" s="178">
        <v>9</v>
      </c>
      <c r="J12" s="178">
        <v>13</v>
      </c>
    </row>
    <row r="13" spans="2:10" ht="34.5">
      <c r="B13" s="176" t="s">
        <v>298</v>
      </c>
      <c r="C13" s="174" t="s">
        <v>307</v>
      </c>
      <c r="D13" s="177" t="s">
        <v>324</v>
      </c>
      <c r="E13" s="176" t="s">
        <v>317</v>
      </c>
      <c r="F13" s="178">
        <v>18.2</v>
      </c>
      <c r="G13" s="178">
        <v>23.8</v>
      </c>
      <c r="H13" s="176" t="s">
        <v>334</v>
      </c>
      <c r="I13" s="178">
        <v>9</v>
      </c>
      <c r="J13" s="178">
        <v>13</v>
      </c>
    </row>
    <row r="14" spans="2:10" ht="23">
      <c r="B14" s="176" t="s">
        <v>299</v>
      </c>
      <c r="C14" s="174" t="s">
        <v>306</v>
      </c>
      <c r="D14" s="177" t="s">
        <v>318</v>
      </c>
      <c r="E14" s="176" t="s">
        <v>328</v>
      </c>
      <c r="F14" s="178">
        <v>17</v>
      </c>
      <c r="G14" s="178">
        <v>21.2</v>
      </c>
      <c r="H14" s="176" t="s">
        <v>333</v>
      </c>
      <c r="I14" s="178">
        <v>9</v>
      </c>
      <c r="J14" s="178">
        <v>13</v>
      </c>
    </row>
    <row r="15" spans="2:10" ht="23">
      <c r="B15" s="179">
        <v>7</v>
      </c>
      <c r="C15" s="174" t="s">
        <v>305</v>
      </c>
      <c r="D15" s="177" t="s">
        <v>318</v>
      </c>
      <c r="E15" s="176" t="s">
        <v>328</v>
      </c>
      <c r="F15" s="178">
        <v>17</v>
      </c>
      <c r="G15" s="178">
        <v>21.2</v>
      </c>
      <c r="H15" s="176" t="s">
        <v>333</v>
      </c>
      <c r="I15" s="178">
        <v>9</v>
      </c>
      <c r="J15" s="178">
        <v>13</v>
      </c>
    </row>
    <row r="16" spans="2:10" ht="23">
      <c r="B16" s="179">
        <v>8</v>
      </c>
      <c r="C16" s="174" t="s">
        <v>304</v>
      </c>
      <c r="D16" s="177" t="s">
        <v>325</v>
      </c>
      <c r="E16" s="176" t="s">
        <v>335</v>
      </c>
      <c r="F16" s="178">
        <v>17</v>
      </c>
      <c r="G16" s="178">
        <v>21.2</v>
      </c>
      <c r="H16" s="176" t="s">
        <v>336</v>
      </c>
      <c r="I16" s="178">
        <v>9</v>
      </c>
      <c r="J16" s="178">
        <v>13</v>
      </c>
    </row>
    <row r="17" spans="2:10" ht="23">
      <c r="B17" s="179">
        <v>9</v>
      </c>
      <c r="C17" s="174" t="s">
        <v>303</v>
      </c>
      <c r="D17" s="177" t="s">
        <v>325</v>
      </c>
      <c r="E17" s="176" t="s">
        <v>335</v>
      </c>
      <c r="F17" s="178">
        <v>17</v>
      </c>
      <c r="G17" s="178">
        <v>21.2</v>
      </c>
      <c r="H17" s="176" t="s">
        <v>336</v>
      </c>
      <c r="I17" s="178">
        <v>9</v>
      </c>
      <c r="J17" s="178">
        <v>13</v>
      </c>
    </row>
    <row r="18" spans="2:10" ht="34.5">
      <c r="B18" s="179">
        <v>10</v>
      </c>
      <c r="C18" s="174" t="s">
        <v>302</v>
      </c>
      <c r="D18" s="177" t="s">
        <v>325</v>
      </c>
      <c r="E18" s="176" t="s">
        <v>335</v>
      </c>
      <c r="F18" s="178">
        <v>17</v>
      </c>
      <c r="G18" s="178">
        <v>21.2</v>
      </c>
      <c r="H18" s="176" t="s">
        <v>336</v>
      </c>
      <c r="I18" s="178">
        <v>9</v>
      </c>
      <c r="J18" s="178">
        <v>13</v>
      </c>
    </row>
    <row r="19" spans="2:10" ht="39.75" customHeight="1">
      <c r="B19" s="179">
        <v>11</v>
      </c>
      <c r="C19" s="174" t="s">
        <v>301</v>
      </c>
      <c r="D19" s="177" t="s">
        <v>325</v>
      </c>
      <c r="E19" s="176" t="s">
        <v>335</v>
      </c>
      <c r="F19" s="178">
        <v>17</v>
      </c>
      <c r="G19" s="178">
        <v>21.2</v>
      </c>
      <c r="H19" s="176" t="s">
        <v>336</v>
      </c>
      <c r="I19" s="178">
        <v>9</v>
      </c>
      <c r="J19" s="178">
        <v>13</v>
      </c>
    </row>
    <row r="20" spans="2:10" ht="23">
      <c r="B20" s="179">
        <v>12</v>
      </c>
      <c r="C20" s="174" t="s">
        <v>300</v>
      </c>
      <c r="D20" s="177" t="s">
        <v>325</v>
      </c>
      <c r="E20" s="176" t="s">
        <v>335</v>
      </c>
      <c r="F20" s="178">
        <v>17</v>
      </c>
      <c r="G20" s="178">
        <v>21.2</v>
      </c>
      <c r="H20" s="176" t="s">
        <v>336</v>
      </c>
      <c r="I20" s="178">
        <v>9</v>
      </c>
      <c r="J20" s="178">
        <v>13</v>
      </c>
    </row>
  </sheetData>
  <mergeCells count="9">
    <mergeCell ref="I1:J1"/>
    <mergeCell ref="I2:J2"/>
    <mergeCell ref="E2:E3"/>
    <mergeCell ref="H2:H3"/>
    <mergeCell ref="B2:B3"/>
    <mergeCell ref="C2:C3"/>
    <mergeCell ref="D2:D3"/>
    <mergeCell ref="F1:G1"/>
    <mergeCell ref="F2:G2"/>
  </mergeCells>
  <pageMargins left="0.55000000000000004" right="0.47" top="0.4" bottom="0.45" header="0.3" footer="0.3"/>
  <pageSetup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92D050"/>
  </sheetPr>
  <dimension ref="A1:AE18"/>
  <sheetViews>
    <sheetView topLeftCell="J4" workbookViewId="0">
      <selection activeCell="X9" sqref="X9"/>
    </sheetView>
  </sheetViews>
  <sheetFormatPr defaultRowHeight="12.5"/>
  <cols>
    <col min="1" max="1" width="23.08984375" bestFit="1" customWidth="1"/>
    <col min="2" max="2" width="3.90625" bestFit="1" customWidth="1"/>
    <col min="3" max="4" width="4.08984375" bestFit="1" customWidth="1"/>
    <col min="5" max="5" width="4" bestFit="1" customWidth="1"/>
    <col min="6" max="6" width="4.54296875" bestFit="1" customWidth="1"/>
    <col min="7" max="9" width="4" bestFit="1" customWidth="1"/>
    <col min="10" max="12" width="4.36328125" bestFit="1" customWidth="1"/>
    <col min="13" max="14" width="4" bestFit="1" customWidth="1"/>
    <col min="15" max="15" width="4.36328125" bestFit="1" customWidth="1"/>
    <col min="16" max="16" width="7.54296875" bestFit="1" customWidth="1"/>
    <col min="17" max="17" width="4.36328125" customWidth="1"/>
    <col min="18" max="18" width="23.08984375" bestFit="1" customWidth="1"/>
    <col min="19" max="20" width="4.54296875" bestFit="1" customWidth="1"/>
    <col min="21" max="21" width="4.6328125" bestFit="1" customWidth="1"/>
    <col min="22" max="22" width="4.90625" bestFit="1" customWidth="1"/>
    <col min="23" max="24" width="6" bestFit="1" customWidth="1"/>
    <col min="25" max="27" width="6.90625" bestFit="1" customWidth="1"/>
    <col min="28" max="28" width="5.6328125" bestFit="1" customWidth="1"/>
    <col min="29" max="29" width="4.54296875" bestFit="1" customWidth="1"/>
    <col min="30" max="30" width="4.453125" bestFit="1" customWidth="1"/>
    <col min="31" max="31" width="7.54296875" bestFit="1" customWidth="1"/>
  </cols>
  <sheetData>
    <row r="1" spans="1:31">
      <c r="A1" s="1345" t="s">
        <v>283</v>
      </c>
      <c r="B1" s="1203" t="s">
        <v>344</v>
      </c>
      <c r="C1" s="1203"/>
      <c r="D1" s="1203"/>
      <c r="E1" s="1203"/>
      <c r="F1" s="1203"/>
      <c r="G1" s="1203"/>
      <c r="H1" s="1203"/>
      <c r="I1" s="1203"/>
      <c r="J1" s="1203"/>
      <c r="K1" s="1203"/>
      <c r="L1" s="1203"/>
      <c r="M1" s="1203"/>
      <c r="N1" s="1203"/>
      <c r="O1" s="1203"/>
      <c r="R1" s="1345" t="s">
        <v>283</v>
      </c>
      <c r="S1" s="1203" t="s">
        <v>345</v>
      </c>
      <c r="T1" s="1203"/>
      <c r="U1" s="1203"/>
      <c r="V1" s="1203"/>
      <c r="W1" s="1203"/>
      <c r="X1" s="1203"/>
      <c r="Y1" s="1203"/>
      <c r="Z1" s="1203"/>
      <c r="AA1" s="1203"/>
      <c r="AB1" s="1203"/>
      <c r="AC1" s="1203"/>
      <c r="AD1" s="1203"/>
    </row>
    <row r="2" spans="1:31">
      <c r="A2" s="1346"/>
      <c r="B2" s="139" t="s">
        <v>69</v>
      </c>
      <c r="C2" s="139" t="s">
        <v>70</v>
      </c>
      <c r="D2" s="139" t="s">
        <v>71</v>
      </c>
      <c r="E2" s="139" t="s">
        <v>72</v>
      </c>
      <c r="F2" s="139" t="s">
        <v>73</v>
      </c>
      <c r="G2" s="139" t="s">
        <v>74</v>
      </c>
      <c r="H2" s="139" t="s">
        <v>75</v>
      </c>
      <c r="I2" s="139" t="s">
        <v>75</v>
      </c>
      <c r="J2" s="139" t="s">
        <v>76</v>
      </c>
      <c r="K2" s="139" t="s">
        <v>76</v>
      </c>
      <c r="L2" s="139" t="s">
        <v>77</v>
      </c>
      <c r="M2" s="139" t="s">
        <v>78</v>
      </c>
      <c r="N2" s="139" t="s">
        <v>79</v>
      </c>
      <c r="O2" s="139" t="s">
        <v>80</v>
      </c>
      <c r="P2" s="138" t="s">
        <v>343</v>
      </c>
      <c r="R2" s="1346"/>
      <c r="S2" s="139" t="s">
        <v>69</v>
      </c>
      <c r="T2" s="139" t="s">
        <v>70</v>
      </c>
      <c r="U2" s="139" t="s">
        <v>71</v>
      </c>
      <c r="V2" s="139" t="s">
        <v>72</v>
      </c>
      <c r="W2" s="139" t="s">
        <v>73</v>
      </c>
      <c r="X2" s="139" t="s">
        <v>74</v>
      </c>
      <c r="Y2" s="139" t="s">
        <v>75</v>
      </c>
      <c r="Z2" s="139" t="s">
        <v>76</v>
      </c>
      <c r="AA2" s="139" t="s">
        <v>77</v>
      </c>
      <c r="AB2" s="139" t="s">
        <v>78</v>
      </c>
      <c r="AC2" s="139" t="s">
        <v>79</v>
      </c>
      <c r="AD2" s="139" t="s">
        <v>80</v>
      </c>
      <c r="AE2" s="139" t="s">
        <v>343</v>
      </c>
    </row>
    <row r="3" spans="1:31" ht="13">
      <c r="A3" s="95" t="s">
        <v>229</v>
      </c>
      <c r="B3" s="184">
        <v>2</v>
      </c>
      <c r="C3" s="184">
        <v>5</v>
      </c>
      <c r="D3" s="184">
        <v>0</v>
      </c>
      <c r="E3" s="184">
        <v>2</v>
      </c>
      <c r="F3" s="184">
        <v>2</v>
      </c>
      <c r="G3" s="184">
        <v>7</v>
      </c>
      <c r="H3" s="184">
        <v>4</v>
      </c>
      <c r="I3" s="184">
        <v>6</v>
      </c>
      <c r="J3" s="184">
        <v>5</v>
      </c>
      <c r="K3" s="184">
        <v>7</v>
      </c>
      <c r="L3" s="184">
        <v>5</v>
      </c>
      <c r="M3" s="184">
        <v>7</v>
      </c>
      <c r="N3" s="184">
        <v>1</v>
      </c>
      <c r="O3" s="184">
        <v>2</v>
      </c>
      <c r="P3" s="183">
        <f>MEDIAN(B3:O3)</f>
        <v>4.5</v>
      </c>
      <c r="R3" s="95" t="s">
        <v>229</v>
      </c>
      <c r="S3" s="184">
        <f t="shared" ref="S3:X3" si="0">B3*1.5</f>
        <v>3</v>
      </c>
      <c r="T3" s="184">
        <f t="shared" si="0"/>
        <v>7.5</v>
      </c>
      <c r="U3" s="184">
        <f t="shared" si="0"/>
        <v>0</v>
      </c>
      <c r="V3" s="459">
        <f t="shared" si="0"/>
        <v>3</v>
      </c>
      <c r="W3" s="459">
        <f t="shared" si="0"/>
        <v>3</v>
      </c>
      <c r="X3" s="184">
        <f t="shared" si="0"/>
        <v>10.5</v>
      </c>
      <c r="Y3" s="184">
        <f>((H3+I3)/2)*1.5</f>
        <v>7.5</v>
      </c>
      <c r="Z3" s="184">
        <f>((J3+K3)/2)*1.5</f>
        <v>9</v>
      </c>
      <c r="AA3" s="184">
        <f>L3*1.5</f>
        <v>7.5</v>
      </c>
      <c r="AB3" s="184">
        <f>M3*1.5</f>
        <v>10.5</v>
      </c>
      <c r="AC3" s="184">
        <f>N3*1.5</f>
        <v>1.5</v>
      </c>
      <c r="AD3" s="184">
        <f>O3*1.5</f>
        <v>3</v>
      </c>
      <c r="AE3" s="183">
        <f>MEDIAN(S3:AD3)</f>
        <v>5.25</v>
      </c>
    </row>
    <row r="4" spans="1:31" ht="13">
      <c r="A4" s="95" t="s">
        <v>220</v>
      </c>
      <c r="B4" s="184">
        <v>23</v>
      </c>
      <c r="C4" s="184">
        <v>22</v>
      </c>
      <c r="D4" s="184">
        <v>13</v>
      </c>
      <c r="E4" s="184">
        <v>26</v>
      </c>
      <c r="F4" s="184">
        <v>33</v>
      </c>
      <c r="G4" s="184">
        <v>48</v>
      </c>
      <c r="H4" s="184">
        <v>18</v>
      </c>
      <c r="I4" s="184">
        <v>66</v>
      </c>
      <c r="J4" s="184">
        <v>39</v>
      </c>
      <c r="K4" s="184">
        <v>21</v>
      </c>
      <c r="L4" s="184">
        <v>23</v>
      </c>
      <c r="M4" s="184">
        <v>27</v>
      </c>
      <c r="N4" s="184">
        <v>39</v>
      </c>
      <c r="O4" s="184">
        <v>19</v>
      </c>
      <c r="P4" s="183">
        <f t="shared" ref="P4:P10" si="1">MEDIAN(B4:O4)</f>
        <v>24.5</v>
      </c>
      <c r="R4" s="95" t="s">
        <v>220</v>
      </c>
      <c r="S4" s="184">
        <f t="shared" ref="S4:S16" si="2">B4*1.5</f>
        <v>34.5</v>
      </c>
      <c r="T4" s="184">
        <f t="shared" ref="T4:T16" si="3">C4*1.5</f>
        <v>33</v>
      </c>
      <c r="U4" s="184">
        <f t="shared" ref="U4:U16" si="4">D4*1.5</f>
        <v>19.5</v>
      </c>
      <c r="V4" s="459">
        <f t="shared" ref="V4:V16" si="5">E4*1.5</f>
        <v>39</v>
      </c>
      <c r="W4" s="459">
        <f t="shared" ref="W4:W16" si="6">F4*1.5</f>
        <v>49.5</v>
      </c>
      <c r="X4" s="184">
        <f t="shared" ref="X4:X16" si="7">G4*1.5</f>
        <v>72</v>
      </c>
      <c r="Y4" s="184">
        <f t="shared" ref="Y4:Y16" si="8">((H4+I4)/2)*1.5</f>
        <v>63</v>
      </c>
      <c r="Z4" s="184">
        <f t="shared" ref="Z4:Z16" si="9">((J4+K4)/2)*1.5</f>
        <v>45</v>
      </c>
      <c r="AA4" s="184">
        <f t="shared" ref="AA4:AA16" si="10">L4*1.5</f>
        <v>34.5</v>
      </c>
      <c r="AB4" s="184">
        <f t="shared" ref="AB4:AB16" si="11">M4*1.5</f>
        <v>40.5</v>
      </c>
      <c r="AC4" s="184">
        <f t="shared" ref="AC4:AC16" si="12">N4*1.5</f>
        <v>58.5</v>
      </c>
      <c r="AD4" s="184">
        <f t="shared" ref="AD4:AD16" si="13">O4*1.5</f>
        <v>28.5</v>
      </c>
      <c r="AE4" s="183">
        <f t="shared" ref="AE4:AE10" si="14">MEDIAN(S4:AD4)</f>
        <v>39.75</v>
      </c>
    </row>
    <row r="5" spans="1:31" ht="13">
      <c r="A5" s="227" t="s">
        <v>362</v>
      </c>
      <c r="B5" s="184">
        <v>12</v>
      </c>
      <c r="C5" s="184">
        <v>4</v>
      </c>
      <c r="D5" s="184">
        <v>3</v>
      </c>
      <c r="E5" s="184">
        <v>5</v>
      </c>
      <c r="F5" s="184">
        <v>2</v>
      </c>
      <c r="G5" s="184">
        <v>6</v>
      </c>
      <c r="H5" s="184">
        <v>4</v>
      </c>
      <c r="I5" s="184">
        <v>7</v>
      </c>
      <c r="J5" s="184">
        <v>12</v>
      </c>
      <c r="K5" s="184">
        <v>3</v>
      </c>
      <c r="L5" s="184">
        <v>2</v>
      </c>
      <c r="M5" s="184">
        <v>11</v>
      </c>
      <c r="N5" s="184">
        <v>5</v>
      </c>
      <c r="O5" s="184">
        <v>0</v>
      </c>
      <c r="P5" s="183">
        <f t="shared" si="1"/>
        <v>4.5</v>
      </c>
      <c r="R5" s="227" t="s">
        <v>362</v>
      </c>
      <c r="S5" s="184">
        <f t="shared" si="2"/>
        <v>18</v>
      </c>
      <c r="T5" s="184">
        <f t="shared" si="3"/>
        <v>6</v>
      </c>
      <c r="U5" s="184">
        <f t="shared" si="4"/>
        <v>4.5</v>
      </c>
      <c r="V5" s="459">
        <f t="shared" si="5"/>
        <v>7.5</v>
      </c>
      <c r="W5" s="459">
        <f t="shared" si="6"/>
        <v>3</v>
      </c>
      <c r="X5" s="184">
        <f t="shared" si="7"/>
        <v>9</v>
      </c>
      <c r="Y5" s="184">
        <f t="shared" si="8"/>
        <v>8.25</v>
      </c>
      <c r="Z5" s="184">
        <f t="shared" si="9"/>
        <v>11.25</v>
      </c>
      <c r="AA5" s="184">
        <f t="shared" si="10"/>
        <v>3</v>
      </c>
      <c r="AB5" s="184">
        <f t="shared" si="11"/>
        <v>16.5</v>
      </c>
      <c r="AC5" s="184">
        <f t="shared" si="12"/>
        <v>7.5</v>
      </c>
      <c r="AD5" s="184">
        <f t="shared" si="13"/>
        <v>0</v>
      </c>
      <c r="AE5" s="183">
        <f t="shared" si="14"/>
        <v>7.5</v>
      </c>
    </row>
    <row r="6" spans="1:31" ht="13">
      <c r="A6" s="227" t="s">
        <v>363</v>
      </c>
      <c r="B6" s="184">
        <v>2</v>
      </c>
      <c r="C6" s="184">
        <v>1</v>
      </c>
      <c r="D6" s="184">
        <v>0</v>
      </c>
      <c r="E6" s="184">
        <v>2</v>
      </c>
      <c r="F6" s="184">
        <v>0</v>
      </c>
      <c r="G6" s="184">
        <v>1</v>
      </c>
      <c r="H6" s="184">
        <v>1</v>
      </c>
      <c r="I6" s="184">
        <v>1</v>
      </c>
      <c r="J6" s="184">
        <v>1</v>
      </c>
      <c r="K6" s="184">
        <v>0</v>
      </c>
      <c r="L6" s="184">
        <v>7</v>
      </c>
      <c r="M6" s="184">
        <v>1</v>
      </c>
      <c r="N6" s="184">
        <v>0</v>
      </c>
      <c r="O6" s="184">
        <v>0</v>
      </c>
      <c r="P6" s="183">
        <f t="shared" si="1"/>
        <v>1</v>
      </c>
      <c r="R6" s="227" t="s">
        <v>363</v>
      </c>
      <c r="S6" s="184">
        <f t="shared" si="2"/>
        <v>3</v>
      </c>
      <c r="T6" s="184">
        <f t="shared" si="3"/>
        <v>1.5</v>
      </c>
      <c r="U6" s="184">
        <f t="shared" si="4"/>
        <v>0</v>
      </c>
      <c r="V6" s="459">
        <f t="shared" si="5"/>
        <v>3</v>
      </c>
      <c r="W6" s="459">
        <f t="shared" si="6"/>
        <v>0</v>
      </c>
      <c r="X6" s="184">
        <f t="shared" si="7"/>
        <v>1.5</v>
      </c>
      <c r="Y6" s="184">
        <f t="shared" si="8"/>
        <v>1.5</v>
      </c>
      <c r="Z6" s="184">
        <f t="shared" si="9"/>
        <v>0.75</v>
      </c>
      <c r="AA6" s="184">
        <f t="shared" si="10"/>
        <v>10.5</v>
      </c>
      <c r="AB6" s="184">
        <f t="shared" si="11"/>
        <v>1.5</v>
      </c>
      <c r="AC6" s="184">
        <f t="shared" si="12"/>
        <v>0</v>
      </c>
      <c r="AD6" s="184">
        <f t="shared" si="13"/>
        <v>0</v>
      </c>
      <c r="AE6" s="183">
        <f t="shared" si="14"/>
        <v>1.5</v>
      </c>
    </row>
    <row r="7" spans="1:31" ht="13">
      <c r="A7" s="95" t="s">
        <v>222</v>
      </c>
      <c r="B7" s="184">
        <v>28</v>
      </c>
      <c r="C7" s="184">
        <v>7</v>
      </c>
      <c r="D7" s="184">
        <v>8</v>
      </c>
      <c r="E7" s="184">
        <v>9</v>
      </c>
      <c r="F7" s="184">
        <v>31</v>
      </c>
      <c r="G7" s="184">
        <v>43</v>
      </c>
      <c r="H7" s="184">
        <v>44</v>
      </c>
      <c r="I7" s="184">
        <v>54</v>
      </c>
      <c r="J7" s="184">
        <v>49</v>
      </c>
      <c r="K7" s="184">
        <v>37</v>
      </c>
      <c r="L7" s="184">
        <v>44</v>
      </c>
      <c r="M7" s="184">
        <v>26</v>
      </c>
      <c r="N7" s="184">
        <v>36</v>
      </c>
      <c r="O7" s="184">
        <v>16</v>
      </c>
      <c r="P7" s="183">
        <f t="shared" si="1"/>
        <v>33.5</v>
      </c>
      <c r="R7" s="95" t="s">
        <v>222</v>
      </c>
      <c r="S7" s="184">
        <f t="shared" si="2"/>
        <v>42</v>
      </c>
      <c r="T7" s="184">
        <f t="shared" si="3"/>
        <v>10.5</v>
      </c>
      <c r="U7" s="184">
        <f t="shared" si="4"/>
        <v>12</v>
      </c>
      <c r="V7" s="459">
        <f t="shared" si="5"/>
        <v>13.5</v>
      </c>
      <c r="W7" s="459">
        <f t="shared" si="6"/>
        <v>46.5</v>
      </c>
      <c r="X7" s="184">
        <f t="shared" si="7"/>
        <v>64.5</v>
      </c>
      <c r="Y7" s="184">
        <f t="shared" si="8"/>
        <v>73.5</v>
      </c>
      <c r="Z7" s="184">
        <f t="shared" si="9"/>
        <v>64.5</v>
      </c>
      <c r="AA7" s="184">
        <f t="shared" si="10"/>
        <v>66</v>
      </c>
      <c r="AB7" s="184">
        <f t="shared" si="11"/>
        <v>39</v>
      </c>
      <c r="AC7" s="184">
        <f t="shared" si="12"/>
        <v>54</v>
      </c>
      <c r="AD7" s="184">
        <f t="shared" si="13"/>
        <v>24</v>
      </c>
      <c r="AE7" s="183">
        <f t="shared" si="14"/>
        <v>44.25</v>
      </c>
    </row>
    <row r="8" spans="1:31" ht="13">
      <c r="A8" s="95" t="s">
        <v>223</v>
      </c>
      <c r="B8" s="184">
        <v>0</v>
      </c>
      <c r="C8" s="184">
        <v>1</v>
      </c>
      <c r="D8" s="184">
        <v>0</v>
      </c>
      <c r="E8" s="184">
        <v>1</v>
      </c>
      <c r="F8" s="184">
        <v>9</v>
      </c>
      <c r="G8" s="184">
        <v>21</v>
      </c>
      <c r="H8" s="184">
        <v>15</v>
      </c>
      <c r="I8" s="184">
        <v>16</v>
      </c>
      <c r="J8" s="184">
        <v>9</v>
      </c>
      <c r="K8" s="184">
        <v>11</v>
      </c>
      <c r="L8" s="184">
        <v>7</v>
      </c>
      <c r="M8" s="184">
        <v>1</v>
      </c>
      <c r="N8" s="184">
        <v>6</v>
      </c>
      <c r="O8" s="184">
        <v>0</v>
      </c>
      <c r="P8" s="183">
        <f t="shared" si="1"/>
        <v>6.5</v>
      </c>
      <c r="R8" s="95" t="s">
        <v>223</v>
      </c>
      <c r="S8" s="184">
        <f>B8*1.25</f>
        <v>0</v>
      </c>
      <c r="T8" s="184">
        <f t="shared" ref="T8:AD8" si="15">C8*1.25</f>
        <v>1.25</v>
      </c>
      <c r="U8" s="184">
        <f t="shared" si="15"/>
        <v>0</v>
      </c>
      <c r="V8" s="184">
        <f t="shared" si="15"/>
        <v>1.25</v>
      </c>
      <c r="W8" s="184">
        <f t="shared" si="15"/>
        <v>11.25</v>
      </c>
      <c r="X8" s="184">
        <f t="shared" si="15"/>
        <v>26.25</v>
      </c>
      <c r="Y8" s="184">
        <f t="shared" si="15"/>
        <v>18.75</v>
      </c>
      <c r="Z8" s="184">
        <f t="shared" si="15"/>
        <v>20</v>
      </c>
      <c r="AA8" s="184">
        <f t="shared" si="15"/>
        <v>11.25</v>
      </c>
      <c r="AB8" s="184">
        <f t="shared" si="15"/>
        <v>13.75</v>
      </c>
      <c r="AC8" s="184">
        <f t="shared" si="15"/>
        <v>8.75</v>
      </c>
      <c r="AD8" s="184">
        <f t="shared" si="15"/>
        <v>1.25</v>
      </c>
      <c r="AE8" s="183">
        <f t="shared" si="14"/>
        <v>10</v>
      </c>
    </row>
    <row r="9" spans="1:31" ht="13">
      <c r="A9" s="227" t="s">
        <v>341</v>
      </c>
      <c r="B9" s="184">
        <v>0</v>
      </c>
      <c r="C9" s="184">
        <v>0</v>
      </c>
      <c r="D9" s="184">
        <v>0</v>
      </c>
      <c r="E9" s="184">
        <v>15</v>
      </c>
      <c r="F9" s="184">
        <v>18</v>
      </c>
      <c r="G9" s="184">
        <v>26</v>
      </c>
      <c r="H9" s="184">
        <v>22</v>
      </c>
      <c r="I9" s="184">
        <v>14</v>
      </c>
      <c r="J9" s="184">
        <v>18</v>
      </c>
      <c r="K9" s="184">
        <v>27</v>
      </c>
      <c r="L9" s="184">
        <v>28</v>
      </c>
      <c r="M9" s="184">
        <v>0</v>
      </c>
      <c r="N9" s="184">
        <v>0</v>
      </c>
      <c r="O9" s="184">
        <v>0</v>
      </c>
      <c r="P9" s="183">
        <f t="shared" si="1"/>
        <v>14.5</v>
      </c>
      <c r="R9" s="95" t="s">
        <v>341</v>
      </c>
      <c r="S9" s="184">
        <f t="shared" ref="S9:X9" si="16">B9</f>
        <v>0</v>
      </c>
      <c r="T9" s="184">
        <f t="shared" si="16"/>
        <v>0</v>
      </c>
      <c r="U9" s="184">
        <f t="shared" si="16"/>
        <v>0</v>
      </c>
      <c r="V9" s="459">
        <f t="shared" si="16"/>
        <v>15</v>
      </c>
      <c r="W9" s="459">
        <f t="shared" si="16"/>
        <v>18</v>
      </c>
      <c r="X9" s="184">
        <f t="shared" si="16"/>
        <v>26</v>
      </c>
      <c r="Y9" s="184">
        <f>((H9+I9)/2)</f>
        <v>18</v>
      </c>
      <c r="Z9" s="184">
        <f>((J9+K9)/2)</f>
        <v>22.5</v>
      </c>
      <c r="AA9" s="184">
        <f t="shared" si="10"/>
        <v>42</v>
      </c>
      <c r="AB9" s="184">
        <f>M9</f>
        <v>0</v>
      </c>
      <c r="AC9" s="184">
        <f>N9</f>
        <v>0</v>
      </c>
      <c r="AD9" s="184">
        <f>O9</f>
        <v>0</v>
      </c>
      <c r="AE9" s="183">
        <f t="shared" si="14"/>
        <v>7.5</v>
      </c>
    </row>
    <row r="10" spans="1:31" ht="13">
      <c r="A10" s="307" t="s">
        <v>449</v>
      </c>
      <c r="B10" s="619">
        <f>SUM(B8:B9)</f>
        <v>0</v>
      </c>
      <c r="C10" s="619">
        <f t="shared" ref="C10:O10" si="17">SUM(C8:C9)</f>
        <v>1</v>
      </c>
      <c r="D10" s="619">
        <f t="shared" si="17"/>
        <v>0</v>
      </c>
      <c r="E10" s="619">
        <f t="shared" si="17"/>
        <v>16</v>
      </c>
      <c r="F10" s="619">
        <f t="shared" si="17"/>
        <v>27</v>
      </c>
      <c r="G10" s="619">
        <f t="shared" si="17"/>
        <v>47</v>
      </c>
      <c r="H10" s="619">
        <f t="shared" si="17"/>
        <v>37</v>
      </c>
      <c r="I10" s="619">
        <f t="shared" si="17"/>
        <v>30</v>
      </c>
      <c r="J10" s="619">
        <f t="shared" si="17"/>
        <v>27</v>
      </c>
      <c r="K10" s="619">
        <f t="shared" si="17"/>
        <v>38</v>
      </c>
      <c r="L10" s="619">
        <f t="shared" si="17"/>
        <v>35</v>
      </c>
      <c r="M10" s="619">
        <f t="shared" si="17"/>
        <v>1</v>
      </c>
      <c r="N10" s="619">
        <f t="shared" si="17"/>
        <v>6</v>
      </c>
      <c r="O10" s="619">
        <f t="shared" si="17"/>
        <v>0</v>
      </c>
      <c r="P10" s="183">
        <f t="shared" si="1"/>
        <v>21.5</v>
      </c>
      <c r="R10" s="307" t="s">
        <v>449</v>
      </c>
      <c r="S10" s="184">
        <f t="shared" si="2"/>
        <v>0</v>
      </c>
      <c r="T10" s="184">
        <f t="shared" si="3"/>
        <v>1.5</v>
      </c>
      <c r="U10" s="184">
        <f t="shared" si="4"/>
        <v>0</v>
      </c>
      <c r="V10" s="459">
        <f t="shared" si="5"/>
        <v>24</v>
      </c>
      <c r="W10" s="459">
        <f t="shared" si="6"/>
        <v>40.5</v>
      </c>
      <c r="X10" s="184">
        <f t="shared" si="7"/>
        <v>70.5</v>
      </c>
      <c r="Y10" s="184">
        <f t="shared" si="8"/>
        <v>50.25</v>
      </c>
      <c r="Z10" s="184">
        <f t="shared" si="9"/>
        <v>48.75</v>
      </c>
      <c r="AA10" s="184">
        <f t="shared" si="10"/>
        <v>52.5</v>
      </c>
      <c r="AB10" s="184">
        <f t="shared" si="11"/>
        <v>1.5</v>
      </c>
      <c r="AC10" s="184">
        <f t="shared" si="12"/>
        <v>9</v>
      </c>
      <c r="AD10" s="184">
        <f t="shared" si="13"/>
        <v>0</v>
      </c>
      <c r="AE10" s="183">
        <f t="shared" si="14"/>
        <v>16.5</v>
      </c>
    </row>
    <row r="11" spans="1:31" ht="13">
      <c r="A11" s="95" t="s">
        <v>224</v>
      </c>
      <c r="B11" s="184">
        <v>11</v>
      </c>
      <c r="C11" s="184">
        <v>15</v>
      </c>
      <c r="D11" s="184">
        <v>5</v>
      </c>
      <c r="E11" s="184">
        <v>12</v>
      </c>
      <c r="F11" s="184">
        <v>38</v>
      </c>
      <c r="G11" s="184">
        <v>41</v>
      </c>
      <c r="H11" s="184">
        <v>39</v>
      </c>
      <c r="I11" s="184">
        <v>27</v>
      </c>
      <c r="J11" s="184">
        <v>46</v>
      </c>
      <c r="K11" s="184">
        <v>18</v>
      </c>
      <c r="L11" s="184">
        <v>26</v>
      </c>
      <c r="M11" s="184">
        <v>13</v>
      </c>
      <c r="N11" s="184">
        <v>13</v>
      </c>
      <c r="O11" s="184">
        <v>6</v>
      </c>
      <c r="P11" s="183">
        <f t="shared" ref="P11:P16" si="18">MEDIAN(B11:O11)</f>
        <v>16.5</v>
      </c>
      <c r="R11" s="95" t="s">
        <v>224</v>
      </c>
      <c r="S11" s="184">
        <f t="shared" si="2"/>
        <v>16.5</v>
      </c>
      <c r="T11" s="184">
        <f t="shared" si="3"/>
        <v>22.5</v>
      </c>
      <c r="U11" s="184">
        <f t="shared" si="4"/>
        <v>7.5</v>
      </c>
      <c r="V11" s="459">
        <f t="shared" si="5"/>
        <v>18</v>
      </c>
      <c r="W11" s="459">
        <f t="shared" si="6"/>
        <v>57</v>
      </c>
      <c r="X11" s="184">
        <f t="shared" si="7"/>
        <v>61.5</v>
      </c>
      <c r="Y11" s="184">
        <f t="shared" si="8"/>
        <v>49.5</v>
      </c>
      <c r="Z11" s="184">
        <f t="shared" si="9"/>
        <v>48</v>
      </c>
      <c r="AA11" s="184">
        <f t="shared" si="10"/>
        <v>39</v>
      </c>
      <c r="AB11" s="184">
        <f t="shared" si="11"/>
        <v>19.5</v>
      </c>
      <c r="AC11" s="184">
        <f t="shared" si="12"/>
        <v>19.5</v>
      </c>
      <c r="AD11" s="184">
        <f t="shared" si="13"/>
        <v>9</v>
      </c>
      <c r="AE11" s="183">
        <f t="shared" ref="AE11:AE16" si="19">MEDIAN(S11:AD11)</f>
        <v>21</v>
      </c>
    </row>
    <row r="12" spans="1:31" ht="13">
      <c r="A12" s="95" t="s">
        <v>340</v>
      </c>
      <c r="B12" s="184">
        <v>0</v>
      </c>
      <c r="C12" s="184">
        <v>0</v>
      </c>
      <c r="D12" s="184">
        <v>1</v>
      </c>
      <c r="E12" s="184">
        <v>0</v>
      </c>
      <c r="F12" s="184">
        <v>1</v>
      </c>
      <c r="G12" s="184">
        <v>4</v>
      </c>
      <c r="H12" s="184">
        <v>5</v>
      </c>
      <c r="I12" s="184">
        <v>5</v>
      </c>
      <c r="J12" s="184">
        <v>17</v>
      </c>
      <c r="K12" s="184">
        <v>3</v>
      </c>
      <c r="L12" s="184">
        <v>9</v>
      </c>
      <c r="M12" s="184">
        <v>0</v>
      </c>
      <c r="N12" s="184">
        <v>0</v>
      </c>
      <c r="O12" s="184">
        <v>0</v>
      </c>
      <c r="P12" s="183">
        <f t="shared" si="18"/>
        <v>1</v>
      </c>
      <c r="R12" s="95" t="s">
        <v>340</v>
      </c>
      <c r="S12" s="184">
        <f t="shared" si="2"/>
        <v>0</v>
      </c>
      <c r="T12" s="184">
        <f t="shared" si="3"/>
        <v>0</v>
      </c>
      <c r="U12" s="184">
        <f t="shared" si="4"/>
        <v>1.5</v>
      </c>
      <c r="V12" s="459">
        <f t="shared" si="5"/>
        <v>0</v>
      </c>
      <c r="W12" s="459">
        <f t="shared" si="6"/>
        <v>1.5</v>
      </c>
      <c r="X12" s="184">
        <f t="shared" si="7"/>
        <v>6</v>
      </c>
      <c r="Y12" s="184">
        <f t="shared" si="8"/>
        <v>7.5</v>
      </c>
      <c r="Z12" s="184">
        <f t="shared" si="9"/>
        <v>15</v>
      </c>
      <c r="AA12" s="184">
        <f t="shared" si="10"/>
        <v>13.5</v>
      </c>
      <c r="AB12" s="184">
        <f t="shared" si="11"/>
        <v>0</v>
      </c>
      <c r="AC12" s="184">
        <f t="shared" si="12"/>
        <v>0</v>
      </c>
      <c r="AD12" s="184">
        <f t="shared" si="13"/>
        <v>0</v>
      </c>
      <c r="AE12" s="183">
        <f t="shared" si="19"/>
        <v>0.75</v>
      </c>
    </row>
    <row r="13" spans="1:31" ht="13">
      <c r="A13" s="95" t="s">
        <v>226</v>
      </c>
      <c r="B13" s="184">
        <v>0</v>
      </c>
      <c r="C13" s="184">
        <v>0</v>
      </c>
      <c r="D13" s="184">
        <v>0</v>
      </c>
      <c r="E13" s="184">
        <v>13</v>
      </c>
      <c r="F13" s="184">
        <v>17</v>
      </c>
      <c r="G13" s="184">
        <v>28</v>
      </c>
      <c r="H13" s="184">
        <v>23</v>
      </c>
      <c r="I13" s="184">
        <v>21</v>
      </c>
      <c r="J13" s="184">
        <v>27</v>
      </c>
      <c r="K13" s="184">
        <v>14</v>
      </c>
      <c r="L13" s="184">
        <v>13</v>
      </c>
      <c r="M13" s="184">
        <v>8</v>
      </c>
      <c r="N13" s="184">
        <v>0</v>
      </c>
      <c r="O13" s="184">
        <v>0</v>
      </c>
      <c r="P13" s="183">
        <f t="shared" si="18"/>
        <v>13</v>
      </c>
      <c r="R13" s="95" t="s">
        <v>226</v>
      </c>
      <c r="S13" s="184">
        <f t="shared" si="2"/>
        <v>0</v>
      </c>
      <c r="T13" s="184">
        <f t="shared" si="3"/>
        <v>0</v>
      </c>
      <c r="U13" s="184">
        <f t="shared" si="4"/>
        <v>0</v>
      </c>
      <c r="V13" s="459">
        <f t="shared" si="5"/>
        <v>19.5</v>
      </c>
      <c r="W13" s="459">
        <f t="shared" si="6"/>
        <v>25.5</v>
      </c>
      <c r="X13" s="184">
        <f t="shared" si="7"/>
        <v>42</v>
      </c>
      <c r="Y13" s="184">
        <f t="shared" si="8"/>
        <v>33</v>
      </c>
      <c r="Z13" s="184">
        <f t="shared" si="9"/>
        <v>30.75</v>
      </c>
      <c r="AA13" s="184">
        <f t="shared" si="10"/>
        <v>19.5</v>
      </c>
      <c r="AB13" s="184">
        <f t="shared" si="11"/>
        <v>12</v>
      </c>
      <c r="AC13" s="184">
        <f t="shared" si="12"/>
        <v>0</v>
      </c>
      <c r="AD13" s="184">
        <f t="shared" si="13"/>
        <v>0</v>
      </c>
      <c r="AE13" s="183">
        <f t="shared" si="19"/>
        <v>15.75</v>
      </c>
    </row>
    <row r="14" spans="1:31" ht="13">
      <c r="A14" s="95" t="s">
        <v>230</v>
      </c>
      <c r="B14" s="184">
        <v>0</v>
      </c>
      <c r="C14" s="184">
        <v>0</v>
      </c>
      <c r="D14" s="184">
        <v>0</v>
      </c>
      <c r="E14" s="184">
        <v>8</v>
      </c>
      <c r="F14" s="184">
        <v>11</v>
      </c>
      <c r="G14" s="184">
        <v>85</v>
      </c>
      <c r="H14" s="184">
        <v>100</v>
      </c>
      <c r="I14" s="184">
        <v>125</v>
      </c>
      <c r="J14" s="184">
        <v>20</v>
      </c>
      <c r="K14" s="184">
        <v>26</v>
      </c>
      <c r="L14" s="184">
        <v>12</v>
      </c>
      <c r="M14" s="184">
        <v>0</v>
      </c>
      <c r="N14" s="184">
        <v>0</v>
      </c>
      <c r="O14" s="184">
        <v>0</v>
      </c>
      <c r="P14" s="183">
        <f t="shared" si="18"/>
        <v>9.5</v>
      </c>
      <c r="R14" s="95" t="s">
        <v>230</v>
      </c>
      <c r="S14" s="184">
        <f t="shared" si="2"/>
        <v>0</v>
      </c>
      <c r="T14" s="184">
        <f t="shared" si="3"/>
        <v>0</v>
      </c>
      <c r="U14" s="184">
        <f t="shared" si="4"/>
        <v>0</v>
      </c>
      <c r="V14" s="459">
        <f t="shared" si="5"/>
        <v>12</v>
      </c>
      <c r="W14" s="459">
        <f t="shared" si="6"/>
        <v>16.5</v>
      </c>
      <c r="X14" s="184">
        <f t="shared" si="7"/>
        <v>127.5</v>
      </c>
      <c r="Y14" s="184">
        <f t="shared" si="8"/>
        <v>168.75</v>
      </c>
      <c r="Z14" s="184">
        <f t="shared" si="9"/>
        <v>34.5</v>
      </c>
      <c r="AA14" s="184">
        <f t="shared" si="10"/>
        <v>18</v>
      </c>
      <c r="AB14" s="184">
        <f t="shared" si="11"/>
        <v>0</v>
      </c>
      <c r="AC14" s="184">
        <f t="shared" si="12"/>
        <v>0</v>
      </c>
      <c r="AD14" s="184">
        <f t="shared" si="13"/>
        <v>0</v>
      </c>
      <c r="AE14" s="183">
        <f t="shared" si="19"/>
        <v>6</v>
      </c>
    </row>
    <row r="15" spans="1:31" ht="13">
      <c r="A15" s="95" t="s">
        <v>342</v>
      </c>
      <c r="B15" s="184">
        <v>0</v>
      </c>
      <c r="C15" s="184">
        <v>0</v>
      </c>
      <c r="D15" s="184">
        <v>0</v>
      </c>
      <c r="E15" s="184">
        <v>0</v>
      </c>
      <c r="F15" s="184">
        <v>0</v>
      </c>
      <c r="G15" s="184">
        <v>4</v>
      </c>
      <c r="H15" s="184">
        <v>5</v>
      </c>
      <c r="I15" s="184">
        <v>6</v>
      </c>
      <c r="J15" s="184">
        <v>0</v>
      </c>
      <c r="K15" s="184">
        <v>1</v>
      </c>
      <c r="L15" s="184">
        <v>0</v>
      </c>
      <c r="M15" s="184">
        <v>0</v>
      </c>
      <c r="N15" s="184">
        <v>0</v>
      </c>
      <c r="O15" s="184">
        <v>0</v>
      </c>
      <c r="P15" s="183">
        <f t="shared" si="18"/>
        <v>0</v>
      </c>
      <c r="R15" s="95" t="s">
        <v>342</v>
      </c>
      <c r="S15" s="184">
        <f t="shared" si="2"/>
        <v>0</v>
      </c>
      <c r="T15" s="184">
        <f t="shared" si="3"/>
        <v>0</v>
      </c>
      <c r="U15" s="184">
        <f t="shared" si="4"/>
        <v>0</v>
      </c>
      <c r="V15" s="459">
        <f t="shared" si="5"/>
        <v>0</v>
      </c>
      <c r="W15" s="459">
        <f t="shared" si="6"/>
        <v>0</v>
      </c>
      <c r="X15" s="184">
        <f t="shared" si="7"/>
        <v>6</v>
      </c>
      <c r="Y15" s="184">
        <f t="shared" si="8"/>
        <v>8.25</v>
      </c>
      <c r="Z15" s="184">
        <f t="shared" si="9"/>
        <v>0.75</v>
      </c>
      <c r="AA15" s="184">
        <f t="shared" si="10"/>
        <v>0</v>
      </c>
      <c r="AB15" s="184">
        <f t="shared" si="11"/>
        <v>0</v>
      </c>
      <c r="AC15" s="184">
        <f t="shared" si="12"/>
        <v>0</v>
      </c>
      <c r="AD15" s="184">
        <f t="shared" si="13"/>
        <v>0</v>
      </c>
      <c r="AE15" s="183">
        <f t="shared" si="19"/>
        <v>0</v>
      </c>
    </row>
    <row r="16" spans="1:31" ht="13">
      <c r="A16" s="95" t="s">
        <v>234</v>
      </c>
      <c r="B16" s="184">
        <v>0</v>
      </c>
      <c r="C16" s="184">
        <v>0</v>
      </c>
      <c r="D16" s="184">
        <v>0</v>
      </c>
      <c r="E16" s="184">
        <v>0</v>
      </c>
      <c r="F16" s="184">
        <v>0</v>
      </c>
      <c r="G16" s="184">
        <v>2</v>
      </c>
      <c r="H16" s="184">
        <v>4</v>
      </c>
      <c r="I16" s="184">
        <v>3</v>
      </c>
      <c r="J16" s="184">
        <v>5</v>
      </c>
      <c r="K16" s="184">
        <v>3</v>
      </c>
      <c r="L16" s="184">
        <v>2</v>
      </c>
      <c r="M16" s="184">
        <v>0</v>
      </c>
      <c r="N16" s="184">
        <v>0</v>
      </c>
      <c r="O16" s="184">
        <v>0</v>
      </c>
      <c r="P16" s="183">
        <f t="shared" si="18"/>
        <v>0</v>
      </c>
      <c r="R16" s="95" t="s">
        <v>234</v>
      </c>
      <c r="S16" s="184">
        <f t="shared" si="2"/>
        <v>0</v>
      </c>
      <c r="T16" s="184">
        <f t="shared" si="3"/>
        <v>0</v>
      </c>
      <c r="U16" s="184">
        <f t="shared" si="4"/>
        <v>0</v>
      </c>
      <c r="V16" s="459">
        <f t="shared" si="5"/>
        <v>0</v>
      </c>
      <c r="W16" s="459">
        <f t="shared" si="6"/>
        <v>0</v>
      </c>
      <c r="X16" s="184">
        <f t="shared" si="7"/>
        <v>3</v>
      </c>
      <c r="Y16" s="184">
        <f t="shared" si="8"/>
        <v>5.25</v>
      </c>
      <c r="Z16" s="184">
        <f t="shared" si="9"/>
        <v>6</v>
      </c>
      <c r="AA16" s="184">
        <f t="shared" si="10"/>
        <v>3</v>
      </c>
      <c r="AB16" s="184">
        <f t="shared" si="11"/>
        <v>0</v>
      </c>
      <c r="AC16" s="184">
        <f t="shared" si="12"/>
        <v>0</v>
      </c>
      <c r="AD16" s="184">
        <f t="shared" si="13"/>
        <v>0</v>
      </c>
      <c r="AE16" s="183">
        <f t="shared" si="19"/>
        <v>0</v>
      </c>
    </row>
    <row r="17" spans="1:31" ht="13">
      <c r="A17" s="95" t="s">
        <v>566</v>
      </c>
      <c r="B17" s="53"/>
      <c r="C17" s="53"/>
      <c r="D17" s="184"/>
      <c r="E17" s="837"/>
      <c r="F17" s="837"/>
      <c r="G17" s="837"/>
      <c r="H17" s="184"/>
      <c r="I17" s="837"/>
      <c r="J17" s="184"/>
      <c r="K17" s="837"/>
      <c r="L17" s="184"/>
      <c r="P17" s="183"/>
      <c r="R17" s="95" t="s">
        <v>808</v>
      </c>
      <c r="S17" s="53"/>
      <c r="T17" s="53"/>
      <c r="U17" s="53"/>
      <c r="V17" s="53"/>
      <c r="W17" s="53"/>
      <c r="X17" s="53"/>
      <c r="Y17" s="53"/>
      <c r="Z17" s="53"/>
      <c r="AA17" s="53"/>
      <c r="AB17" s="53"/>
      <c r="AC17" s="53"/>
      <c r="AD17" s="53"/>
      <c r="AE17" s="183"/>
    </row>
    <row r="18" spans="1:31" ht="13">
      <c r="A18" s="95"/>
      <c r="P18" s="460"/>
      <c r="R18" s="95"/>
      <c r="AE18" s="460"/>
    </row>
  </sheetData>
  <mergeCells count="4">
    <mergeCell ref="B1:O1"/>
    <mergeCell ref="A1:A2"/>
    <mergeCell ref="R1:R2"/>
    <mergeCell ref="S1:AD1"/>
  </mergeCells>
  <pageMargins left="0.48" right="0.44"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AL90"/>
  <sheetViews>
    <sheetView topLeftCell="A56" workbookViewId="0">
      <selection activeCell="A75" sqref="A75:E89"/>
    </sheetView>
  </sheetViews>
  <sheetFormatPr defaultRowHeight="12.5"/>
  <cols>
    <col min="1" max="1" width="25.54296875" bestFit="1" customWidth="1"/>
    <col min="2" max="2" width="11.36328125" bestFit="1" customWidth="1"/>
    <col min="3" max="3" width="5.54296875" bestFit="1" customWidth="1"/>
    <col min="4" max="4" width="5.6328125" bestFit="1" customWidth="1"/>
    <col min="5" max="5" width="7.08984375" bestFit="1" customWidth="1"/>
    <col min="6" max="11" width="4.54296875" bestFit="1" customWidth="1"/>
    <col min="12" max="13" width="5.54296875" bestFit="1" customWidth="1"/>
    <col min="14" max="23" width="4.54296875" bestFit="1" customWidth="1"/>
    <col min="24" max="25" width="5.54296875" bestFit="1" customWidth="1"/>
    <col min="26" max="26" width="5.6328125" bestFit="1" customWidth="1"/>
    <col min="27" max="27" width="7.08984375" bestFit="1" customWidth="1"/>
    <col min="29" max="29" width="15.6328125" customWidth="1"/>
    <col min="30" max="30" width="12.6328125" customWidth="1"/>
    <col min="35" max="35" width="25.54296875" bestFit="1" customWidth="1"/>
    <col min="36" max="37" width="6.54296875" bestFit="1" customWidth="1"/>
    <col min="38" max="38" width="5.6328125" bestFit="1" customWidth="1"/>
  </cols>
  <sheetData>
    <row r="1" spans="1:28" ht="15.5">
      <c r="A1" s="1171" t="s">
        <v>1807</v>
      </c>
      <c r="B1" s="1172"/>
      <c r="C1" s="1172"/>
      <c r="D1" s="1172"/>
      <c r="E1" s="1172"/>
      <c r="F1" s="1172"/>
      <c r="G1" s="1172"/>
      <c r="H1" s="1172"/>
      <c r="I1" s="1172"/>
      <c r="J1" s="1172"/>
      <c r="K1" s="1172"/>
      <c r="L1" s="1172"/>
      <c r="M1" s="1172"/>
      <c r="N1" s="1172"/>
      <c r="O1" s="1172"/>
      <c r="P1" s="1172"/>
      <c r="Q1" s="1172"/>
      <c r="R1" s="1172"/>
      <c r="S1" s="1172"/>
      <c r="T1" s="1172"/>
      <c r="U1" s="1172"/>
      <c r="V1" s="1172"/>
      <c r="W1" s="1172"/>
      <c r="X1" s="1172"/>
      <c r="Y1" s="1172"/>
      <c r="Z1" s="1172"/>
    </row>
    <row r="2" spans="1:28" ht="13">
      <c r="A2" s="1169" t="s">
        <v>10</v>
      </c>
      <c r="B2" s="1173" t="s">
        <v>11</v>
      </c>
      <c r="C2" s="1175" t="s">
        <v>105</v>
      </c>
      <c r="D2" s="1175"/>
      <c r="E2" s="1175"/>
      <c r="F2" s="1175"/>
      <c r="G2" s="1175"/>
      <c r="H2" s="1175"/>
      <c r="I2" s="1175"/>
      <c r="J2" s="1175"/>
      <c r="K2" s="1175"/>
      <c r="L2" s="1175"/>
      <c r="M2" s="1175"/>
      <c r="N2" s="1175"/>
      <c r="O2" s="1175"/>
      <c r="P2" s="1175"/>
      <c r="Q2" s="1175"/>
      <c r="R2" s="1175"/>
      <c r="S2" s="1175"/>
      <c r="T2" s="1175"/>
      <c r="U2" s="1175"/>
      <c r="V2" s="1175"/>
      <c r="W2" s="1175"/>
      <c r="X2" s="1175"/>
      <c r="Y2" s="1175"/>
      <c r="Z2" s="1175"/>
    </row>
    <row r="3" spans="1:28" ht="26">
      <c r="A3" s="1170"/>
      <c r="B3" s="1174"/>
      <c r="C3" s="1063">
        <v>1991</v>
      </c>
      <c r="D3" s="1063">
        <v>1992</v>
      </c>
      <c r="E3" s="1063">
        <v>1993</v>
      </c>
      <c r="F3" s="1063">
        <v>1994</v>
      </c>
      <c r="G3" s="1063">
        <v>1995</v>
      </c>
      <c r="H3" s="1063">
        <v>1996</v>
      </c>
      <c r="I3" s="1063">
        <v>1997</v>
      </c>
      <c r="J3" s="1063">
        <v>1998</v>
      </c>
      <c r="K3" s="1063">
        <v>1999</v>
      </c>
      <c r="L3" s="1063">
        <v>2000</v>
      </c>
      <c r="M3" s="1063">
        <v>2001</v>
      </c>
      <c r="N3" s="1063">
        <v>2002</v>
      </c>
      <c r="O3" s="1063">
        <v>2003</v>
      </c>
      <c r="P3" s="1063">
        <v>2004</v>
      </c>
      <c r="Q3" s="1063">
        <v>2005</v>
      </c>
      <c r="R3" s="1063">
        <v>2006</v>
      </c>
      <c r="S3" s="1063">
        <v>2007</v>
      </c>
      <c r="T3" s="1063">
        <v>2008</v>
      </c>
      <c r="U3" s="1063">
        <v>2009</v>
      </c>
      <c r="V3" s="1063">
        <v>2010</v>
      </c>
      <c r="W3" s="1063">
        <v>2011</v>
      </c>
      <c r="X3" s="1063">
        <v>2012</v>
      </c>
      <c r="Y3" s="1063">
        <v>2013</v>
      </c>
      <c r="Z3" s="12" t="s">
        <v>1808</v>
      </c>
      <c r="AA3" s="329" t="s">
        <v>1809</v>
      </c>
      <c r="AB3" s="310"/>
    </row>
    <row r="4" spans="1:28">
      <c r="A4" s="1160" t="s">
        <v>12</v>
      </c>
      <c r="B4" s="191" t="s">
        <v>107</v>
      </c>
      <c r="C4" s="108">
        <v>17.670000000000002</v>
      </c>
      <c r="D4" s="108">
        <v>26.03</v>
      </c>
      <c r="E4" s="108">
        <v>13.73</v>
      </c>
      <c r="F4" s="108">
        <v>29.68</v>
      </c>
      <c r="G4" s="108">
        <v>9.4</v>
      </c>
      <c r="H4" s="108">
        <v>17.100000000000001</v>
      </c>
      <c r="I4" s="108">
        <v>8.23</v>
      </c>
      <c r="J4" s="108">
        <v>4.9000000000000004</v>
      </c>
      <c r="K4" s="108">
        <v>6.2</v>
      </c>
      <c r="L4" s="190">
        <v>23.9</v>
      </c>
      <c r="M4" s="190">
        <v>24.6</v>
      </c>
      <c r="N4" s="190">
        <v>15.4</v>
      </c>
      <c r="O4" s="190">
        <v>14.8</v>
      </c>
      <c r="P4" s="190">
        <v>6.6</v>
      </c>
      <c r="Q4" s="190">
        <v>15.4</v>
      </c>
      <c r="R4" s="190">
        <v>9.1</v>
      </c>
      <c r="S4" s="190">
        <v>9.3000000000000007</v>
      </c>
      <c r="T4" s="190">
        <v>17.3</v>
      </c>
      <c r="U4" s="190">
        <v>12.5</v>
      </c>
      <c r="V4" s="190">
        <v>10.6</v>
      </c>
      <c r="W4" s="233">
        <v>10.8</v>
      </c>
      <c r="X4" s="233">
        <v>14.9</v>
      </c>
      <c r="Y4" s="233">
        <v>14.6</v>
      </c>
      <c r="Z4" s="13">
        <f>AVERAGE(C4:Y4)</f>
        <v>14.466956521739133</v>
      </c>
      <c r="AA4" s="311">
        <f>MEDIAN(C4:Y4)</f>
        <v>14.6</v>
      </c>
    </row>
    <row r="5" spans="1:28" hidden="1">
      <c r="A5" s="1161"/>
      <c r="B5" s="191" t="s">
        <v>108</v>
      </c>
      <c r="C5" s="108">
        <v>19.82</v>
      </c>
      <c r="D5" s="108">
        <v>15.51</v>
      </c>
      <c r="E5" s="108">
        <v>5.85</v>
      </c>
      <c r="F5" s="108">
        <v>17.02</v>
      </c>
      <c r="G5" s="108">
        <v>6.2</v>
      </c>
      <c r="H5" s="108">
        <v>10.3</v>
      </c>
      <c r="I5" s="108">
        <v>2.4300000000000002</v>
      </c>
      <c r="J5" s="108">
        <v>5.4</v>
      </c>
      <c r="K5" s="108">
        <v>5.5</v>
      </c>
      <c r="L5" s="190">
        <v>8.9</v>
      </c>
      <c r="M5" s="190">
        <v>6.3</v>
      </c>
      <c r="N5" s="190"/>
      <c r="O5" s="190"/>
      <c r="P5" s="190"/>
      <c r="Q5" s="190"/>
      <c r="R5" s="190"/>
      <c r="S5" s="190"/>
      <c r="T5" s="190"/>
      <c r="U5" s="190"/>
      <c r="V5" s="190"/>
      <c r="W5" s="233"/>
      <c r="X5" s="233"/>
      <c r="Y5" s="233"/>
      <c r="Z5" s="13">
        <f t="shared" ref="Z5:Z22" si="0">AVERAGE(C5:Y5)</f>
        <v>9.3845454545454565</v>
      </c>
      <c r="AA5" s="311">
        <f t="shared" ref="AA5:AA22" si="1">MEDIAN(C5:Y5)</f>
        <v>6.3</v>
      </c>
    </row>
    <row r="6" spans="1:28" ht="14.25" customHeight="1">
      <c r="A6" s="1162"/>
      <c r="B6" s="50" t="s">
        <v>106</v>
      </c>
      <c r="C6" s="192">
        <f t="shared" ref="C6:J6" si="2">AVERAGE(C4:C5)</f>
        <v>18.745000000000001</v>
      </c>
      <c r="D6" s="192">
        <f t="shared" si="2"/>
        <v>20.77</v>
      </c>
      <c r="E6" s="192">
        <f t="shared" si="2"/>
        <v>9.7899999999999991</v>
      </c>
      <c r="F6" s="192">
        <f t="shared" si="2"/>
        <v>23.35</v>
      </c>
      <c r="G6" s="192">
        <f t="shared" si="2"/>
        <v>7.8000000000000007</v>
      </c>
      <c r="H6" s="192">
        <f t="shared" si="2"/>
        <v>13.700000000000001</v>
      </c>
      <c r="I6" s="192">
        <f t="shared" si="2"/>
        <v>5.33</v>
      </c>
      <c r="J6" s="192">
        <f t="shared" si="2"/>
        <v>5.15</v>
      </c>
      <c r="K6" s="192">
        <f>AVERAGE(K4:K5)</f>
        <v>5.85</v>
      </c>
      <c r="L6" s="192">
        <f>AVERAGE(L4:L5)</f>
        <v>16.399999999999999</v>
      </c>
      <c r="M6" s="192">
        <f>AVERAGE(M4:M5)</f>
        <v>15.450000000000001</v>
      </c>
      <c r="N6" s="192">
        <f>AVERAGE(N4:N5)</f>
        <v>15.4</v>
      </c>
      <c r="O6" s="192">
        <f t="shared" ref="O6:T6" si="3">AVERAGE(O4:O5)</f>
        <v>14.8</v>
      </c>
      <c r="P6" s="192">
        <f t="shared" si="3"/>
        <v>6.6</v>
      </c>
      <c r="Q6" s="192">
        <f t="shared" si="3"/>
        <v>15.4</v>
      </c>
      <c r="R6" s="192">
        <f t="shared" si="3"/>
        <v>9.1</v>
      </c>
      <c r="S6" s="192">
        <f t="shared" si="3"/>
        <v>9.3000000000000007</v>
      </c>
      <c r="T6" s="192">
        <f t="shared" si="3"/>
        <v>17.3</v>
      </c>
      <c r="U6" s="192">
        <f>AVERAGE(U4:U5)</f>
        <v>12.5</v>
      </c>
      <c r="V6" s="192">
        <f>AVERAGE(V4:V5)</f>
        <v>10.6</v>
      </c>
      <c r="W6" s="192">
        <f>AVERAGE(W4:W5)</f>
        <v>10.8</v>
      </c>
      <c r="X6" s="192">
        <f>AVERAGE(X4:X5)</f>
        <v>14.9</v>
      </c>
      <c r="Y6" s="192">
        <f>AVERAGE(Y4:Y5)</f>
        <v>14.6</v>
      </c>
      <c r="Z6" s="13">
        <f t="shared" si="0"/>
        <v>12.766739130434782</v>
      </c>
      <c r="AA6" s="311">
        <f t="shared" si="1"/>
        <v>13.700000000000001</v>
      </c>
    </row>
    <row r="7" spans="1:28" ht="14.25" customHeight="1">
      <c r="A7" s="1163" t="s">
        <v>792</v>
      </c>
      <c r="B7" s="427" t="s">
        <v>107</v>
      </c>
      <c r="C7" s="182"/>
      <c r="D7" s="182"/>
      <c r="E7" s="182"/>
      <c r="F7" s="182"/>
      <c r="G7" s="182"/>
      <c r="H7" s="182"/>
      <c r="I7" s="182"/>
      <c r="J7" s="182"/>
      <c r="K7" s="182"/>
      <c r="L7" s="182"/>
      <c r="M7" s="182"/>
      <c r="N7" s="182"/>
      <c r="O7" s="182"/>
      <c r="P7" s="182"/>
      <c r="Q7" s="182"/>
      <c r="R7" s="182"/>
      <c r="S7" s="182"/>
      <c r="T7" s="182"/>
      <c r="U7" s="182"/>
      <c r="V7" s="182"/>
      <c r="W7" s="182"/>
      <c r="X7" s="182">
        <v>491</v>
      </c>
      <c r="Y7" s="182">
        <v>782</v>
      </c>
      <c r="Z7" s="13">
        <f t="shared" si="0"/>
        <v>636.5</v>
      </c>
      <c r="AA7" s="311">
        <f t="shared" si="1"/>
        <v>636.5</v>
      </c>
    </row>
    <row r="8" spans="1:28" ht="14.25" customHeight="1">
      <c r="A8" s="1164"/>
      <c r="B8" s="427" t="s">
        <v>348</v>
      </c>
      <c r="C8" s="182"/>
      <c r="D8" s="182"/>
      <c r="E8" s="182"/>
      <c r="F8" s="182"/>
      <c r="G8" s="182"/>
      <c r="H8" s="182"/>
      <c r="I8" s="182"/>
      <c r="J8" s="182"/>
      <c r="K8" s="182"/>
      <c r="L8" s="182"/>
      <c r="M8" s="182"/>
      <c r="N8" s="182"/>
      <c r="O8" s="182"/>
      <c r="P8" s="182"/>
      <c r="Q8" s="182"/>
      <c r="R8" s="182"/>
      <c r="S8" s="182"/>
      <c r="T8" s="182"/>
      <c r="U8" s="182"/>
      <c r="V8" s="182"/>
      <c r="W8" s="182"/>
      <c r="X8" s="182">
        <v>516</v>
      </c>
      <c r="Y8" s="182">
        <v>721</v>
      </c>
      <c r="Z8" s="13">
        <f t="shared" si="0"/>
        <v>618.5</v>
      </c>
      <c r="AA8" s="311">
        <f t="shared" si="1"/>
        <v>618.5</v>
      </c>
    </row>
    <row r="9" spans="1:28" ht="14.25" customHeight="1">
      <c r="A9" s="1165"/>
      <c r="B9" s="427" t="s">
        <v>106</v>
      </c>
      <c r="C9" s="182"/>
      <c r="D9" s="182"/>
      <c r="E9" s="182"/>
      <c r="F9" s="182"/>
      <c r="G9" s="182"/>
      <c r="H9" s="182"/>
      <c r="I9" s="182"/>
      <c r="J9" s="182"/>
      <c r="K9" s="182"/>
      <c r="L9" s="182"/>
      <c r="M9" s="182"/>
      <c r="N9" s="182"/>
      <c r="O9" s="182"/>
      <c r="P9" s="182"/>
      <c r="Q9" s="182"/>
      <c r="R9" s="182"/>
      <c r="S9" s="182"/>
      <c r="T9" s="182"/>
      <c r="U9" s="182"/>
      <c r="V9" s="182"/>
      <c r="W9" s="182"/>
      <c r="X9" s="182">
        <f>AVERAGE(X7:X8)</f>
        <v>503.5</v>
      </c>
      <c r="Y9" s="182">
        <f>AVERAGE(Y7:Y8)</f>
        <v>751.5</v>
      </c>
      <c r="Z9" s="13">
        <f t="shared" si="0"/>
        <v>627.5</v>
      </c>
      <c r="AA9" s="311">
        <f t="shared" si="1"/>
        <v>627.5</v>
      </c>
    </row>
    <row r="10" spans="1:28" ht="13">
      <c r="A10" s="1166" t="s">
        <v>13</v>
      </c>
      <c r="B10" s="191" t="s">
        <v>107</v>
      </c>
      <c r="C10" s="184">
        <v>442</v>
      </c>
      <c r="D10" s="184">
        <v>289</v>
      </c>
      <c r="E10" s="184">
        <v>504</v>
      </c>
      <c r="F10" s="184">
        <v>382</v>
      </c>
      <c r="G10" s="184">
        <v>474</v>
      </c>
      <c r="H10" s="184">
        <v>578</v>
      </c>
      <c r="I10" s="184">
        <v>393</v>
      </c>
      <c r="J10" s="184">
        <v>388</v>
      </c>
      <c r="K10" s="184">
        <v>224</v>
      </c>
      <c r="L10" s="184">
        <v>431</v>
      </c>
      <c r="M10" s="184">
        <v>401</v>
      </c>
      <c r="N10" s="184">
        <v>289</v>
      </c>
      <c r="O10" s="184">
        <v>268</v>
      </c>
      <c r="P10" s="184">
        <v>268</v>
      </c>
      <c r="Q10" s="107">
        <v>193.23769230769227</v>
      </c>
      <c r="R10" s="107">
        <v>158.27857142857144</v>
      </c>
      <c r="S10" s="70">
        <v>221.96199999999999</v>
      </c>
      <c r="T10" s="70">
        <v>233</v>
      </c>
      <c r="U10" s="70">
        <v>291</v>
      </c>
      <c r="V10" s="70">
        <v>287</v>
      </c>
      <c r="W10" s="70">
        <v>158</v>
      </c>
      <c r="X10" s="70">
        <v>165</v>
      </c>
      <c r="Y10" s="70">
        <v>161</v>
      </c>
      <c r="Z10" s="13">
        <f t="shared" si="0"/>
        <v>313.02079407548973</v>
      </c>
      <c r="AA10" s="311">
        <f t="shared" si="1"/>
        <v>289</v>
      </c>
    </row>
    <row r="11" spans="1:28" ht="13" hidden="1">
      <c r="A11" s="1167"/>
      <c r="B11" s="191" t="s">
        <v>108</v>
      </c>
      <c r="C11" s="184">
        <v>381</v>
      </c>
      <c r="D11" s="184">
        <v>282</v>
      </c>
      <c r="E11" s="184">
        <v>451</v>
      </c>
      <c r="F11" s="184">
        <v>356</v>
      </c>
      <c r="G11" s="184">
        <v>502</v>
      </c>
      <c r="H11" s="184">
        <v>589</v>
      </c>
      <c r="I11" s="184">
        <v>365</v>
      </c>
      <c r="J11" s="184">
        <v>372</v>
      </c>
      <c r="K11" s="184">
        <v>220</v>
      </c>
      <c r="L11" s="184">
        <v>443</v>
      </c>
      <c r="M11" s="184">
        <v>395</v>
      </c>
      <c r="N11" s="184">
        <v>288</v>
      </c>
      <c r="O11" s="184">
        <v>271</v>
      </c>
      <c r="P11" s="184">
        <v>249</v>
      </c>
      <c r="Q11" s="107">
        <v>206.98615384615383</v>
      </c>
      <c r="R11" s="107">
        <v>149.7446153846154</v>
      </c>
      <c r="S11" s="70">
        <v>233.56642857142859</v>
      </c>
      <c r="T11" s="70"/>
      <c r="U11" s="70"/>
      <c r="V11" s="70"/>
      <c r="W11" s="70"/>
      <c r="X11" s="70"/>
      <c r="Y11" s="70"/>
      <c r="Z11" s="13">
        <f t="shared" si="0"/>
        <v>338.48807045895279</v>
      </c>
      <c r="AA11" s="311">
        <f t="shared" si="1"/>
        <v>356</v>
      </c>
    </row>
    <row r="12" spans="1:28" ht="13">
      <c r="A12" s="1167"/>
      <c r="B12" s="191" t="s">
        <v>348</v>
      </c>
      <c r="C12" s="184">
        <v>341</v>
      </c>
      <c r="D12" s="184">
        <v>228</v>
      </c>
      <c r="E12" s="184">
        <v>333</v>
      </c>
      <c r="F12" s="184">
        <v>308</v>
      </c>
      <c r="G12" s="184">
        <v>503</v>
      </c>
      <c r="H12" s="184">
        <v>561</v>
      </c>
      <c r="I12" s="184">
        <v>341</v>
      </c>
      <c r="J12" s="184">
        <v>342</v>
      </c>
      <c r="K12" s="184">
        <v>231</v>
      </c>
      <c r="L12" s="184">
        <v>483</v>
      </c>
      <c r="M12" s="184">
        <v>390</v>
      </c>
      <c r="N12" s="184">
        <v>268</v>
      </c>
      <c r="O12" s="184">
        <v>259</v>
      </c>
      <c r="P12" s="184">
        <v>224</v>
      </c>
      <c r="Q12" s="107">
        <v>220.75615384615381</v>
      </c>
      <c r="R12" s="107">
        <v>151.27000000000001</v>
      </c>
      <c r="S12" s="70">
        <v>232.79071428571427</v>
      </c>
      <c r="T12" s="70">
        <v>230</v>
      </c>
      <c r="U12" s="70">
        <v>244</v>
      </c>
      <c r="V12" s="70">
        <v>222</v>
      </c>
      <c r="W12" s="70">
        <v>186</v>
      </c>
      <c r="X12" s="70">
        <v>102</v>
      </c>
      <c r="Y12" s="70">
        <v>144</v>
      </c>
      <c r="Z12" s="13">
        <f t="shared" si="0"/>
        <v>284.55725513616818</v>
      </c>
      <c r="AA12" s="311">
        <f t="shared" si="1"/>
        <v>244</v>
      </c>
    </row>
    <row r="13" spans="1:28">
      <c r="A13" s="1168"/>
      <c r="B13" s="50" t="s">
        <v>106</v>
      </c>
      <c r="C13" s="193">
        <f t="shared" ref="C13:J13" si="4">AVERAGE(C10:C12)</f>
        <v>388</v>
      </c>
      <c r="D13" s="193">
        <f t="shared" si="4"/>
        <v>266.33333333333331</v>
      </c>
      <c r="E13" s="193">
        <f t="shared" si="4"/>
        <v>429.33333333333331</v>
      </c>
      <c r="F13" s="193">
        <f t="shared" si="4"/>
        <v>348.66666666666669</v>
      </c>
      <c r="G13" s="193">
        <f t="shared" si="4"/>
        <v>493</v>
      </c>
      <c r="H13" s="193">
        <f t="shared" si="4"/>
        <v>576</v>
      </c>
      <c r="I13" s="193">
        <f t="shared" si="4"/>
        <v>366.33333333333331</v>
      </c>
      <c r="J13" s="193">
        <f t="shared" si="4"/>
        <v>367.33333333333331</v>
      </c>
      <c r="K13" s="193">
        <f>AVERAGE(K10:K12)</f>
        <v>225</v>
      </c>
      <c r="L13" s="194">
        <v>441</v>
      </c>
      <c r="M13" s="194">
        <v>387</v>
      </c>
      <c r="N13" s="193">
        <f t="shared" ref="N13:Y13" si="5">AVERAGE(N10:N12)</f>
        <v>281.66666666666669</v>
      </c>
      <c r="O13" s="193">
        <f t="shared" si="5"/>
        <v>266</v>
      </c>
      <c r="P13" s="193">
        <f t="shared" si="5"/>
        <v>247</v>
      </c>
      <c r="Q13" s="193">
        <f t="shared" si="5"/>
        <v>206.99333333333331</v>
      </c>
      <c r="R13" s="193">
        <f t="shared" si="5"/>
        <v>153.09772893772893</v>
      </c>
      <c r="S13" s="193">
        <f t="shared" si="5"/>
        <v>229.4397142857143</v>
      </c>
      <c r="T13" s="193">
        <f t="shared" si="5"/>
        <v>231.5</v>
      </c>
      <c r="U13" s="193">
        <f t="shared" si="5"/>
        <v>267.5</v>
      </c>
      <c r="V13" s="193">
        <f t="shared" si="5"/>
        <v>254.5</v>
      </c>
      <c r="W13" s="193">
        <f t="shared" si="5"/>
        <v>172</v>
      </c>
      <c r="X13" s="193">
        <f t="shared" si="5"/>
        <v>133.5</v>
      </c>
      <c r="Y13" s="193">
        <f t="shared" si="5"/>
        <v>152.5</v>
      </c>
      <c r="Z13" s="13">
        <f t="shared" si="0"/>
        <v>299.29119318362797</v>
      </c>
      <c r="AA13" s="311">
        <f t="shared" si="1"/>
        <v>266.33333333333331</v>
      </c>
    </row>
    <row r="14" spans="1:28" ht="13">
      <c r="A14" s="1160" t="s">
        <v>14</v>
      </c>
      <c r="B14" s="191" t="s">
        <v>107</v>
      </c>
      <c r="C14" s="190">
        <v>144</v>
      </c>
      <c r="D14" s="190">
        <v>146</v>
      </c>
      <c r="E14" s="190">
        <v>175</v>
      </c>
      <c r="F14" s="190">
        <v>83</v>
      </c>
      <c r="G14" s="190">
        <v>34</v>
      </c>
      <c r="H14" s="190">
        <v>29</v>
      </c>
      <c r="I14" s="190">
        <v>38</v>
      </c>
      <c r="J14" s="190">
        <v>33</v>
      </c>
      <c r="K14" s="190">
        <v>34</v>
      </c>
      <c r="L14" s="190">
        <v>59</v>
      </c>
      <c r="M14" s="190">
        <v>42</v>
      </c>
      <c r="N14" s="190">
        <v>46</v>
      </c>
      <c r="O14" s="190">
        <v>79</v>
      </c>
      <c r="P14" s="190">
        <v>24</v>
      </c>
      <c r="Q14" s="107">
        <v>33.021419788316948</v>
      </c>
      <c r="R14" s="195">
        <f>AVERAGE(A14:Q14)</f>
        <v>66.601427985887796</v>
      </c>
      <c r="S14" s="68">
        <v>29.742840573556929</v>
      </c>
      <c r="T14" s="68">
        <v>39.799999999999997</v>
      </c>
      <c r="U14" s="68">
        <v>34.200000000000003</v>
      </c>
      <c r="V14" s="68">
        <v>28.3</v>
      </c>
      <c r="W14" s="68">
        <v>33.700000000000003</v>
      </c>
      <c r="X14" s="68">
        <v>53.4</v>
      </c>
      <c r="Y14" s="68">
        <v>71.400000000000006</v>
      </c>
      <c r="Z14" s="13">
        <f t="shared" si="0"/>
        <v>58.963725580337474</v>
      </c>
      <c r="AA14" s="311">
        <f t="shared" si="1"/>
        <v>39.799999999999997</v>
      </c>
    </row>
    <row r="15" spans="1:28" ht="13" hidden="1">
      <c r="A15" s="1161"/>
      <c r="B15" s="191" t="s">
        <v>108</v>
      </c>
      <c r="C15" s="190">
        <v>138</v>
      </c>
      <c r="D15" s="190">
        <v>140</v>
      </c>
      <c r="E15" s="190">
        <v>164</v>
      </c>
      <c r="F15" s="190">
        <v>79</v>
      </c>
      <c r="G15" s="190">
        <v>37</v>
      </c>
      <c r="H15" s="190">
        <v>33</v>
      </c>
      <c r="I15" s="190">
        <v>45</v>
      </c>
      <c r="J15" s="190">
        <v>40</v>
      </c>
      <c r="K15" s="190">
        <v>37</v>
      </c>
      <c r="L15" s="190">
        <v>57</v>
      </c>
      <c r="M15" s="190">
        <v>42</v>
      </c>
      <c r="N15" s="190">
        <v>49</v>
      </c>
      <c r="O15" s="190">
        <v>63</v>
      </c>
      <c r="P15" s="190">
        <v>27</v>
      </c>
      <c r="Q15" s="107">
        <v>34.148239344480501</v>
      </c>
      <c r="R15" s="195">
        <f>AVERAGE(A15:Q15)</f>
        <v>65.676549289632035</v>
      </c>
      <c r="S15" s="68">
        <v>31.47923603241675</v>
      </c>
      <c r="T15" s="68"/>
      <c r="U15" s="68"/>
      <c r="V15" s="68"/>
      <c r="W15" s="68"/>
      <c r="X15" s="68"/>
      <c r="Y15" s="68"/>
      <c r="Z15" s="13">
        <f t="shared" si="0"/>
        <v>63.664942627442905</v>
      </c>
      <c r="AA15" s="311">
        <f t="shared" si="1"/>
        <v>45</v>
      </c>
    </row>
    <row r="16" spans="1:28" ht="13">
      <c r="A16" s="1161"/>
      <c r="B16" s="191" t="s">
        <v>348</v>
      </c>
      <c r="C16" s="190">
        <v>270</v>
      </c>
      <c r="D16" s="190">
        <v>201</v>
      </c>
      <c r="E16" s="190">
        <v>240</v>
      </c>
      <c r="F16" s="190">
        <v>99</v>
      </c>
      <c r="G16" s="190">
        <v>52</v>
      </c>
      <c r="H16" s="190">
        <v>66</v>
      </c>
      <c r="I16" s="190">
        <v>86</v>
      </c>
      <c r="J16" s="190">
        <v>69</v>
      </c>
      <c r="K16" s="190">
        <v>54</v>
      </c>
      <c r="L16" s="190">
        <v>56</v>
      </c>
      <c r="M16" s="190">
        <v>64</v>
      </c>
      <c r="N16" s="190">
        <v>56</v>
      </c>
      <c r="O16" s="190">
        <v>56</v>
      </c>
      <c r="P16" s="190">
        <v>44</v>
      </c>
      <c r="Q16" s="107">
        <v>47.091899981300472</v>
      </c>
      <c r="R16" s="195">
        <f>AVERAGE(A16:Q16)</f>
        <v>97.33945999875337</v>
      </c>
      <c r="S16" s="68">
        <v>30.821478699787626</v>
      </c>
      <c r="T16" s="68">
        <v>62.2</v>
      </c>
      <c r="U16" s="68">
        <v>35.299999999999997</v>
      </c>
      <c r="V16" s="68">
        <v>38.9</v>
      </c>
      <c r="W16" s="68">
        <v>47.9</v>
      </c>
      <c r="X16" s="68">
        <v>69.8</v>
      </c>
      <c r="Y16" s="68">
        <v>59.8</v>
      </c>
      <c r="Z16" s="13">
        <f t="shared" si="0"/>
        <v>82.702297333906159</v>
      </c>
      <c r="AA16" s="311">
        <f t="shared" si="1"/>
        <v>59.8</v>
      </c>
    </row>
    <row r="17" spans="1:38">
      <c r="A17" s="1162"/>
      <c r="B17" s="50" t="s">
        <v>106</v>
      </c>
      <c r="C17" s="193">
        <f t="shared" ref="C17:J17" si="6">AVERAGE(C14:C16)</f>
        <v>184</v>
      </c>
      <c r="D17" s="193">
        <f t="shared" si="6"/>
        <v>162.33333333333334</v>
      </c>
      <c r="E17" s="193">
        <f t="shared" si="6"/>
        <v>193</v>
      </c>
      <c r="F17" s="193">
        <f t="shared" si="6"/>
        <v>87</v>
      </c>
      <c r="G17" s="193">
        <f t="shared" si="6"/>
        <v>41</v>
      </c>
      <c r="H17" s="193">
        <f t="shared" si="6"/>
        <v>42.666666666666664</v>
      </c>
      <c r="I17" s="193">
        <f t="shared" si="6"/>
        <v>56.333333333333336</v>
      </c>
      <c r="J17" s="193">
        <f t="shared" si="6"/>
        <v>47.333333333333336</v>
      </c>
      <c r="K17" s="193">
        <f>AVERAGE(K14:K16)</f>
        <v>41.666666666666664</v>
      </c>
      <c r="L17" s="194">
        <v>60</v>
      </c>
      <c r="M17" s="194">
        <v>50</v>
      </c>
      <c r="N17" s="193">
        <f t="shared" ref="N17:Y17" si="7">AVERAGE(N14:N16)</f>
        <v>50.333333333333336</v>
      </c>
      <c r="O17" s="193">
        <f t="shared" si="7"/>
        <v>66</v>
      </c>
      <c r="P17" s="193">
        <f t="shared" si="7"/>
        <v>31.666666666666668</v>
      </c>
      <c r="Q17" s="193">
        <f t="shared" si="7"/>
        <v>38.087186371365974</v>
      </c>
      <c r="R17" s="193">
        <f t="shared" si="7"/>
        <v>76.539145758091067</v>
      </c>
      <c r="S17" s="193">
        <f t="shared" si="7"/>
        <v>30.681185101920438</v>
      </c>
      <c r="T17" s="193">
        <f t="shared" si="7"/>
        <v>51</v>
      </c>
      <c r="U17" s="193">
        <f t="shared" si="7"/>
        <v>34.75</v>
      </c>
      <c r="V17" s="193">
        <f t="shared" si="7"/>
        <v>33.6</v>
      </c>
      <c r="W17" s="193">
        <f t="shared" si="7"/>
        <v>40.799999999999997</v>
      </c>
      <c r="X17" s="193">
        <f t="shared" si="7"/>
        <v>61.599999999999994</v>
      </c>
      <c r="Y17" s="193">
        <f t="shared" si="7"/>
        <v>65.599999999999994</v>
      </c>
      <c r="Z17" s="13">
        <f t="shared" si="0"/>
        <v>67.216993502813509</v>
      </c>
      <c r="AA17" s="311">
        <f t="shared" si="1"/>
        <v>50.333333333333336</v>
      </c>
    </row>
    <row r="18" spans="1:38" ht="13">
      <c r="A18" s="1160" t="s">
        <v>15</v>
      </c>
      <c r="B18" s="191" t="s">
        <v>107</v>
      </c>
      <c r="C18" s="190">
        <v>6</v>
      </c>
      <c r="D18" s="190">
        <v>7</v>
      </c>
      <c r="E18" s="190">
        <v>4</v>
      </c>
      <c r="F18" s="190">
        <v>9</v>
      </c>
      <c r="G18" s="190">
        <v>6</v>
      </c>
      <c r="H18" s="190">
        <v>4</v>
      </c>
      <c r="I18" s="190">
        <v>12</v>
      </c>
      <c r="J18" s="190">
        <v>6</v>
      </c>
      <c r="K18" s="190">
        <v>7</v>
      </c>
      <c r="L18" s="190">
        <v>6</v>
      </c>
      <c r="M18" s="190">
        <v>7</v>
      </c>
      <c r="N18" s="190">
        <v>5</v>
      </c>
      <c r="O18" s="190">
        <v>7</v>
      </c>
      <c r="P18" s="190">
        <v>3</v>
      </c>
      <c r="Q18" s="51">
        <v>5.4026666666666667</v>
      </c>
      <c r="R18" s="196">
        <f>AVERAGE(A18:Q18)</f>
        <v>6.2935111111111111</v>
      </c>
      <c r="S18" s="68">
        <v>5.7373968253968224</v>
      </c>
      <c r="T18" s="68">
        <v>11.2</v>
      </c>
      <c r="U18" s="68">
        <v>6.9</v>
      </c>
      <c r="V18" s="68">
        <v>7.3</v>
      </c>
      <c r="W18" s="68">
        <v>6.2</v>
      </c>
      <c r="X18" s="68">
        <v>6.4</v>
      </c>
      <c r="Y18" s="68">
        <v>7.1</v>
      </c>
      <c r="Z18" s="13">
        <f t="shared" si="0"/>
        <v>6.5884162870945477</v>
      </c>
      <c r="AA18" s="311">
        <f t="shared" si="1"/>
        <v>6.2935111111111111</v>
      </c>
    </row>
    <row r="19" spans="1:38" ht="13" hidden="1">
      <c r="A19" s="1161"/>
      <c r="B19" s="191" t="s">
        <v>108</v>
      </c>
      <c r="C19" s="190">
        <v>8</v>
      </c>
      <c r="D19" s="190">
        <v>6</v>
      </c>
      <c r="E19" s="190">
        <v>6</v>
      </c>
      <c r="F19" s="190">
        <v>8</v>
      </c>
      <c r="G19" s="190">
        <v>7</v>
      </c>
      <c r="H19" s="190">
        <v>4</v>
      </c>
      <c r="I19" s="190">
        <v>15</v>
      </c>
      <c r="J19" s="190">
        <v>8</v>
      </c>
      <c r="K19" s="190">
        <v>9</v>
      </c>
      <c r="L19" s="190">
        <v>5</v>
      </c>
      <c r="M19" s="190">
        <v>7</v>
      </c>
      <c r="N19" s="190">
        <v>5</v>
      </c>
      <c r="O19" s="190">
        <v>6</v>
      </c>
      <c r="P19" s="190">
        <v>5</v>
      </c>
      <c r="Q19" s="51">
        <v>6.2253333333333343</v>
      </c>
      <c r="R19" s="196">
        <f>AVERAGE(A19:Q19)</f>
        <v>7.0150222222222229</v>
      </c>
      <c r="S19" s="68">
        <v>5.7020506912442395</v>
      </c>
      <c r="T19" s="68"/>
      <c r="U19" s="68"/>
      <c r="V19" s="68"/>
      <c r="W19" s="68"/>
      <c r="X19" s="68"/>
      <c r="Y19" s="68"/>
      <c r="Z19" s="13">
        <f t="shared" si="0"/>
        <v>6.9377886027529296</v>
      </c>
      <c r="AA19" s="311">
        <f t="shared" si="1"/>
        <v>6.2253333333333343</v>
      </c>
    </row>
    <row r="20" spans="1:38" ht="13">
      <c r="A20" s="1161"/>
      <c r="B20" s="191" t="s">
        <v>348</v>
      </c>
      <c r="C20" s="190">
        <v>19</v>
      </c>
      <c r="D20" s="190">
        <v>8</v>
      </c>
      <c r="E20" s="190">
        <v>5</v>
      </c>
      <c r="F20" s="190">
        <v>9</v>
      </c>
      <c r="G20" s="190">
        <v>13</v>
      </c>
      <c r="H20" s="190">
        <v>7</v>
      </c>
      <c r="I20" s="190">
        <v>22</v>
      </c>
      <c r="J20" s="190">
        <v>12</v>
      </c>
      <c r="K20" s="190">
        <v>12</v>
      </c>
      <c r="L20" s="190">
        <v>8</v>
      </c>
      <c r="M20" s="190">
        <v>10</v>
      </c>
      <c r="N20" s="190">
        <v>5</v>
      </c>
      <c r="O20" s="190">
        <v>8</v>
      </c>
      <c r="P20" s="190">
        <v>9</v>
      </c>
      <c r="Q20" s="51">
        <v>7.4459215686274529</v>
      </c>
      <c r="R20" s="196">
        <f>AVERAGE(A20:Q20)</f>
        <v>10.296394771241831</v>
      </c>
      <c r="S20" s="68">
        <v>6.033309794757165</v>
      </c>
      <c r="T20" s="68">
        <v>20.9</v>
      </c>
      <c r="U20" s="68">
        <v>10</v>
      </c>
      <c r="V20" s="68">
        <v>8.9</v>
      </c>
      <c r="W20" s="68">
        <v>10.5</v>
      </c>
      <c r="X20" s="68">
        <v>13.4</v>
      </c>
      <c r="Y20" s="68">
        <v>10.7</v>
      </c>
      <c r="Z20" s="13">
        <f t="shared" si="0"/>
        <v>10.659809831940281</v>
      </c>
      <c r="AA20" s="311">
        <f t="shared" si="1"/>
        <v>10</v>
      </c>
    </row>
    <row r="21" spans="1:38">
      <c r="A21" s="1162"/>
      <c r="B21" s="50" t="s">
        <v>106</v>
      </c>
      <c r="C21" s="193">
        <f t="shared" ref="C21:J21" si="8">AVERAGE(C18:C20)</f>
        <v>11</v>
      </c>
      <c r="D21" s="193">
        <f t="shared" si="8"/>
        <v>7</v>
      </c>
      <c r="E21" s="193">
        <f t="shared" si="8"/>
        <v>5</v>
      </c>
      <c r="F21" s="193">
        <f t="shared" si="8"/>
        <v>8.6666666666666661</v>
      </c>
      <c r="G21" s="193">
        <f t="shared" si="8"/>
        <v>8.6666666666666661</v>
      </c>
      <c r="H21" s="193">
        <f t="shared" si="8"/>
        <v>5</v>
      </c>
      <c r="I21" s="193">
        <f t="shared" si="8"/>
        <v>16.333333333333332</v>
      </c>
      <c r="J21" s="193">
        <f t="shared" si="8"/>
        <v>8.6666666666666661</v>
      </c>
      <c r="K21" s="193">
        <f>AVERAGE(K18:K20)</f>
        <v>9.3333333333333339</v>
      </c>
      <c r="L21" s="194">
        <v>6.4</v>
      </c>
      <c r="M21" s="194">
        <v>8</v>
      </c>
      <c r="N21" s="194">
        <f t="shared" ref="N21:Y21" si="9">AVERAGE(N18:N20)</f>
        <v>5</v>
      </c>
      <c r="O21" s="194">
        <f t="shared" si="9"/>
        <v>7</v>
      </c>
      <c r="P21" s="193">
        <f t="shared" si="9"/>
        <v>5.666666666666667</v>
      </c>
      <c r="Q21" s="193">
        <f t="shared" si="9"/>
        <v>6.3579738562091519</v>
      </c>
      <c r="R21" s="193">
        <f t="shared" si="9"/>
        <v>7.8683093681917216</v>
      </c>
      <c r="S21" s="193">
        <f t="shared" si="9"/>
        <v>5.824252437132742</v>
      </c>
      <c r="T21" s="193">
        <f t="shared" si="9"/>
        <v>16.049999999999997</v>
      </c>
      <c r="U21" s="193">
        <f t="shared" si="9"/>
        <v>8.4499999999999993</v>
      </c>
      <c r="V21" s="193">
        <f t="shared" si="9"/>
        <v>8.1</v>
      </c>
      <c r="W21" s="193">
        <f t="shared" si="9"/>
        <v>8.35</v>
      </c>
      <c r="X21" s="193">
        <f t="shared" si="9"/>
        <v>9.9</v>
      </c>
      <c r="Y21" s="193">
        <f t="shared" si="9"/>
        <v>8.8999999999999986</v>
      </c>
      <c r="Z21" s="13">
        <f t="shared" si="0"/>
        <v>8.3275595215159548</v>
      </c>
      <c r="AA21" s="311">
        <f t="shared" si="1"/>
        <v>8.1</v>
      </c>
    </row>
    <row r="22" spans="1:38" ht="14">
      <c r="A22" s="14" t="s">
        <v>16</v>
      </c>
      <c r="B22" s="191" t="s">
        <v>107</v>
      </c>
      <c r="C22" s="190">
        <v>2.17</v>
      </c>
      <c r="D22" s="190">
        <v>2.1</v>
      </c>
      <c r="E22" s="190">
        <v>2.84</v>
      </c>
      <c r="F22" s="190">
        <v>1.79</v>
      </c>
      <c r="G22" s="190">
        <v>2.14</v>
      </c>
      <c r="H22" s="190">
        <v>2.5099999999999998</v>
      </c>
      <c r="I22" s="190">
        <v>1.7</v>
      </c>
      <c r="J22" s="190">
        <v>1.8</v>
      </c>
      <c r="K22" s="190">
        <v>1.8</v>
      </c>
      <c r="L22" s="190">
        <v>2.4</v>
      </c>
      <c r="M22" s="190">
        <v>2.2999999999999998</v>
      </c>
      <c r="N22" s="190">
        <v>3</v>
      </c>
      <c r="O22" s="190">
        <v>1.7</v>
      </c>
      <c r="P22" s="190">
        <v>2.6</v>
      </c>
      <c r="Q22" s="108">
        <v>2.0656249999999998</v>
      </c>
      <c r="R22" s="108">
        <v>2.4</v>
      </c>
      <c r="S22" s="108">
        <v>1.7</v>
      </c>
      <c r="T22" s="108">
        <v>2.4</v>
      </c>
      <c r="U22" s="108">
        <v>2.7</v>
      </c>
      <c r="V22" s="108">
        <v>1.7</v>
      </c>
      <c r="W22" s="108">
        <v>2.2000000000000002</v>
      </c>
      <c r="X22" s="108">
        <v>2.1800000000000002</v>
      </c>
      <c r="Y22" s="108">
        <v>1.86</v>
      </c>
      <c r="Z22" s="13">
        <f t="shared" si="0"/>
        <v>2.1763315217391308</v>
      </c>
      <c r="AA22" s="311">
        <f t="shared" si="1"/>
        <v>2.17</v>
      </c>
    </row>
    <row r="24" spans="1:38" ht="13">
      <c r="AI24" s="1169" t="s">
        <v>10</v>
      </c>
      <c r="AJ24" s="1173" t="s">
        <v>11</v>
      </c>
      <c r="AK24" s="1175" t="s">
        <v>500</v>
      </c>
      <c r="AL24" s="1175"/>
    </row>
    <row r="25" spans="1:38" ht="26">
      <c r="AI25" s="1170"/>
      <c r="AJ25" s="1174"/>
      <c r="AK25" s="49">
        <v>2012</v>
      </c>
      <c r="AL25" s="12" t="s">
        <v>499</v>
      </c>
    </row>
    <row r="26" spans="1:38">
      <c r="AI26" s="1160" t="s">
        <v>12</v>
      </c>
      <c r="AJ26" s="191" t="s">
        <v>107</v>
      </c>
      <c r="AK26" s="190">
        <v>14.9</v>
      </c>
      <c r="AL26" s="13">
        <f>Z4</f>
        <v>14.466956521739133</v>
      </c>
    </row>
    <row r="27" spans="1:38" ht="23">
      <c r="AI27" s="1162"/>
      <c r="AJ27" s="50" t="s">
        <v>106</v>
      </c>
      <c r="AK27" s="108"/>
      <c r="AL27" s="13">
        <f>Z6</f>
        <v>12.766739130434782</v>
      </c>
    </row>
    <row r="28" spans="1:38">
      <c r="AI28" s="1166" t="s">
        <v>13</v>
      </c>
      <c r="AJ28" s="191" t="s">
        <v>107</v>
      </c>
      <c r="AK28" s="107">
        <v>165</v>
      </c>
      <c r="AL28" s="13">
        <f>Z10</f>
        <v>313.02079407548973</v>
      </c>
    </row>
    <row r="29" spans="1:38">
      <c r="AI29" s="1167"/>
      <c r="AJ29" s="191" t="s">
        <v>348</v>
      </c>
      <c r="AK29" s="107">
        <v>102</v>
      </c>
      <c r="AL29" s="13">
        <f>Z12</f>
        <v>284.55725513616818</v>
      </c>
    </row>
    <row r="30" spans="1:38" ht="23">
      <c r="AI30" s="1168"/>
      <c r="AJ30" s="50" t="s">
        <v>106</v>
      </c>
      <c r="AK30" s="107">
        <f>X13</f>
        <v>133.5</v>
      </c>
      <c r="AL30" s="13">
        <f>Z13</f>
        <v>299.29119318362797</v>
      </c>
    </row>
    <row r="31" spans="1:38">
      <c r="AI31" s="1160" t="s">
        <v>14</v>
      </c>
      <c r="AJ31" s="191" t="s">
        <v>107</v>
      </c>
      <c r="AK31" s="208">
        <v>53.4</v>
      </c>
      <c r="AL31" s="13">
        <f>Z14</f>
        <v>58.963725580337474</v>
      </c>
    </row>
    <row r="32" spans="1:38">
      <c r="AI32" s="1161"/>
      <c r="AJ32" s="191" t="s">
        <v>348</v>
      </c>
      <c r="AK32" s="108">
        <v>69.8</v>
      </c>
      <c r="AL32" s="13">
        <f>Z16</f>
        <v>82.702297333906159</v>
      </c>
    </row>
    <row r="33" spans="35:38" ht="23">
      <c r="AI33" s="1162"/>
      <c r="AJ33" s="50" t="s">
        <v>106</v>
      </c>
      <c r="AK33" s="107">
        <f>X17</f>
        <v>61.599999999999994</v>
      </c>
      <c r="AL33" s="13">
        <f>Z17</f>
        <v>67.216993502813509</v>
      </c>
    </row>
    <row r="34" spans="35:38">
      <c r="AI34" s="1160" t="s">
        <v>15</v>
      </c>
      <c r="AJ34" s="191" t="s">
        <v>107</v>
      </c>
      <c r="AK34" s="108">
        <v>6.4</v>
      </c>
      <c r="AL34" s="13">
        <f>Z18</f>
        <v>6.5884162870945477</v>
      </c>
    </row>
    <row r="35" spans="35:38">
      <c r="AI35" s="1161"/>
      <c r="AJ35" s="191" t="s">
        <v>348</v>
      </c>
      <c r="AK35" s="108">
        <v>13.4</v>
      </c>
      <c r="AL35" s="13">
        <f>Z20</f>
        <v>10.659809831940281</v>
      </c>
    </row>
    <row r="36" spans="35:38" ht="23">
      <c r="AI36" s="1162"/>
      <c r="AJ36" s="50" t="s">
        <v>106</v>
      </c>
      <c r="AK36" s="107">
        <f>X21</f>
        <v>9.9</v>
      </c>
      <c r="AL36" s="13">
        <f>Z21</f>
        <v>8.3275595215159548</v>
      </c>
    </row>
    <row r="37" spans="35:38" ht="14">
      <c r="AI37" s="14" t="s">
        <v>16</v>
      </c>
      <c r="AJ37" s="191" t="s">
        <v>107</v>
      </c>
      <c r="AK37" s="108">
        <v>2.1800000000000002</v>
      </c>
      <c r="AL37" s="13">
        <f>Z22</f>
        <v>2.1763315217391308</v>
      </c>
    </row>
    <row r="75" spans="1:5" ht="26">
      <c r="A75" s="541" t="s">
        <v>10</v>
      </c>
      <c r="B75" s="539"/>
      <c r="C75" s="838">
        <v>2013</v>
      </c>
      <c r="D75" s="12" t="s">
        <v>1808</v>
      </c>
      <c r="E75" s="329" t="s">
        <v>1809</v>
      </c>
    </row>
    <row r="76" spans="1:5" ht="13">
      <c r="A76" s="538" t="s">
        <v>12</v>
      </c>
      <c r="B76" s="861" t="s">
        <v>107</v>
      </c>
      <c r="C76" s="314">
        <v>14.6</v>
      </c>
      <c r="D76" s="865">
        <v>14.466956521739133</v>
      </c>
      <c r="E76" s="314">
        <v>14.6</v>
      </c>
    </row>
    <row r="77" spans="1:5">
      <c r="A77" s="1163" t="s">
        <v>792</v>
      </c>
      <c r="B77" s="427" t="s">
        <v>107</v>
      </c>
      <c r="C77" s="314">
        <v>782</v>
      </c>
      <c r="D77" s="865">
        <v>636.5</v>
      </c>
      <c r="E77" s="314">
        <v>636.5</v>
      </c>
    </row>
    <row r="78" spans="1:5">
      <c r="A78" s="1164"/>
      <c r="B78" s="427" t="s">
        <v>348</v>
      </c>
      <c r="C78" s="314">
        <v>721</v>
      </c>
      <c r="D78" s="865">
        <v>618.5</v>
      </c>
      <c r="E78" s="314">
        <v>618.5</v>
      </c>
    </row>
    <row r="79" spans="1:5">
      <c r="A79" s="1165"/>
      <c r="B79" s="427" t="s">
        <v>106</v>
      </c>
      <c r="C79" s="314">
        <v>751.5</v>
      </c>
      <c r="D79" s="865">
        <v>627.5</v>
      </c>
      <c r="E79" s="314">
        <v>627.5</v>
      </c>
    </row>
    <row r="80" spans="1:5">
      <c r="A80" s="1166" t="s">
        <v>13</v>
      </c>
      <c r="B80" s="861" t="s">
        <v>107</v>
      </c>
      <c r="C80" s="195">
        <v>161</v>
      </c>
      <c r="D80" s="865">
        <v>313.02079407548973</v>
      </c>
      <c r="E80" s="314">
        <v>289</v>
      </c>
    </row>
    <row r="81" spans="1:5">
      <c r="A81" s="1167"/>
      <c r="B81" s="861" t="s">
        <v>348</v>
      </c>
      <c r="C81" s="195">
        <v>144</v>
      </c>
      <c r="D81" s="865">
        <v>284.55725513616818</v>
      </c>
      <c r="E81" s="314">
        <v>244</v>
      </c>
    </row>
    <row r="82" spans="1:5">
      <c r="A82" s="1168"/>
      <c r="B82" s="427" t="s">
        <v>106</v>
      </c>
      <c r="C82" s="314">
        <v>152.5</v>
      </c>
      <c r="D82" s="865">
        <v>299.29119318362797</v>
      </c>
      <c r="E82" s="314">
        <v>266.33333333333331</v>
      </c>
    </row>
    <row r="83" spans="1:5">
      <c r="A83" s="1160" t="s">
        <v>14</v>
      </c>
      <c r="B83" s="861" t="s">
        <v>107</v>
      </c>
      <c r="C83" s="195">
        <v>71.400000000000006</v>
      </c>
      <c r="D83" s="865">
        <v>58.963725580337474</v>
      </c>
      <c r="E83" s="314">
        <v>39.799999999999997</v>
      </c>
    </row>
    <row r="84" spans="1:5">
      <c r="A84" s="1161"/>
      <c r="B84" s="861" t="s">
        <v>348</v>
      </c>
      <c r="C84" s="195">
        <v>59.8</v>
      </c>
      <c r="D84" s="865">
        <v>82.702297333906159</v>
      </c>
      <c r="E84" s="314">
        <v>59.8</v>
      </c>
    </row>
    <row r="85" spans="1:5">
      <c r="A85" s="1162"/>
      <c r="B85" s="427" t="s">
        <v>106</v>
      </c>
      <c r="C85" s="314">
        <v>65.599999999999994</v>
      </c>
      <c r="D85" s="865">
        <v>67.216993502813509</v>
      </c>
      <c r="E85" s="314">
        <v>50.333333333333336</v>
      </c>
    </row>
    <row r="86" spans="1:5">
      <c r="A86" s="1160" t="s">
        <v>15</v>
      </c>
      <c r="B86" s="861" t="s">
        <v>107</v>
      </c>
      <c r="C86" s="195">
        <v>7.1</v>
      </c>
      <c r="D86" s="865">
        <v>6.5884162870945477</v>
      </c>
      <c r="E86" s="314">
        <v>6.2935111111111111</v>
      </c>
    </row>
    <row r="87" spans="1:5">
      <c r="A87" s="1161"/>
      <c r="B87" s="861" t="s">
        <v>348</v>
      </c>
      <c r="C87" s="195">
        <v>10.7</v>
      </c>
      <c r="D87" s="865">
        <v>10.659809831940281</v>
      </c>
      <c r="E87" s="314">
        <v>10</v>
      </c>
    </row>
    <row r="88" spans="1:5">
      <c r="A88" s="1162"/>
      <c r="B88" s="427" t="s">
        <v>106</v>
      </c>
      <c r="C88" s="314">
        <v>8.8999999999999986</v>
      </c>
      <c r="D88" s="865">
        <v>8.3275595215159548</v>
      </c>
      <c r="E88" s="314">
        <v>8.1</v>
      </c>
    </row>
    <row r="89" spans="1:5" ht="14">
      <c r="A89" s="14" t="s">
        <v>16</v>
      </c>
      <c r="B89" s="861" t="s">
        <v>107</v>
      </c>
      <c r="C89" s="314">
        <v>1.86</v>
      </c>
      <c r="D89" s="865">
        <v>2.1763315217391308</v>
      </c>
      <c r="E89" s="314">
        <v>2.17</v>
      </c>
    </row>
    <row r="90" spans="1:5">
      <c r="B90" s="10"/>
      <c r="C90" s="862"/>
      <c r="D90" s="863"/>
      <c r="E90" s="864"/>
    </row>
  </sheetData>
  <mergeCells count="20">
    <mergeCell ref="AJ24:AJ25"/>
    <mergeCell ref="AK24:AL24"/>
    <mergeCell ref="AI26:AI27"/>
    <mergeCell ref="AI28:AI30"/>
    <mergeCell ref="A10:A13"/>
    <mergeCell ref="A7:A9"/>
    <mergeCell ref="AI31:AI33"/>
    <mergeCell ref="AI34:AI36"/>
    <mergeCell ref="AI24:AI25"/>
    <mergeCell ref="A1:Z1"/>
    <mergeCell ref="A2:A3"/>
    <mergeCell ref="B2:B3"/>
    <mergeCell ref="C2:Z2"/>
    <mergeCell ref="A4:A6"/>
    <mergeCell ref="A83:A85"/>
    <mergeCell ref="A86:A88"/>
    <mergeCell ref="A77:A79"/>
    <mergeCell ref="A80:A82"/>
    <mergeCell ref="A14:A17"/>
    <mergeCell ref="A18:A21"/>
  </mergeCells>
  <phoneticPr fontId="7" type="noConversion"/>
  <pageMargins left="0.75" right="0.75" top="1" bottom="1" header="0.5" footer="0.5"/>
  <pageSetup orientation="landscape" horizontalDpi="4294967293"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92D050"/>
  </sheetPr>
  <dimension ref="A1:F22"/>
  <sheetViews>
    <sheetView topLeftCell="A7" workbookViewId="0">
      <selection activeCell="D12" sqref="D12:F12"/>
    </sheetView>
  </sheetViews>
  <sheetFormatPr defaultColWidth="8.90625" defaultRowHeight="13"/>
  <cols>
    <col min="1" max="1" width="11.54296875" style="235" bestFit="1" customWidth="1"/>
    <col min="2" max="2" width="26.6328125" style="235" customWidth="1"/>
    <col min="3" max="3" width="16.36328125" style="235" customWidth="1"/>
    <col min="4" max="4" width="12.6328125" style="235" customWidth="1"/>
    <col min="5" max="5" width="15.54296875" style="235" customWidth="1"/>
    <col min="6" max="16384" width="8.90625" style="235"/>
  </cols>
  <sheetData>
    <row r="1" spans="1:6" ht="52">
      <c r="A1" s="240" t="s">
        <v>378</v>
      </c>
      <c r="B1" s="240" t="s">
        <v>379</v>
      </c>
      <c r="C1" s="240" t="s">
        <v>380</v>
      </c>
      <c r="D1" s="240" t="s">
        <v>381</v>
      </c>
      <c r="E1" s="240" t="s">
        <v>382</v>
      </c>
      <c r="F1" s="240" t="s">
        <v>383</v>
      </c>
    </row>
    <row r="2" spans="1:6" ht="52">
      <c r="A2" s="238" t="s">
        <v>376</v>
      </c>
      <c r="B2" s="237" t="s">
        <v>377</v>
      </c>
      <c r="C2" s="239" t="s">
        <v>387</v>
      </c>
      <c r="D2" s="237"/>
      <c r="E2" s="237" t="s">
        <v>384</v>
      </c>
      <c r="F2" s="239" t="s">
        <v>388</v>
      </c>
    </row>
    <row r="3" spans="1:6">
      <c r="A3" s="238" t="s">
        <v>385</v>
      </c>
      <c r="B3" s="237" t="s">
        <v>386</v>
      </c>
      <c r="C3" s="237" t="s">
        <v>387</v>
      </c>
      <c r="D3" s="241" t="s">
        <v>389</v>
      </c>
      <c r="E3" s="237" t="s">
        <v>390</v>
      </c>
      <c r="F3" s="237" t="s">
        <v>391</v>
      </c>
    </row>
    <row r="4" spans="1:6" ht="39">
      <c r="A4" s="238" t="s">
        <v>392</v>
      </c>
      <c r="B4" s="237" t="s">
        <v>312</v>
      </c>
      <c r="C4" s="239" t="s">
        <v>387</v>
      </c>
      <c r="D4" s="237"/>
      <c r="E4" s="237" t="s">
        <v>393</v>
      </c>
      <c r="F4" s="239" t="s">
        <v>391</v>
      </c>
    </row>
    <row r="5" spans="1:6" ht="39">
      <c r="A5" s="238" t="s">
        <v>394</v>
      </c>
      <c r="B5" s="237" t="s">
        <v>395</v>
      </c>
      <c r="C5" s="237" t="s">
        <v>396</v>
      </c>
      <c r="D5" s="237"/>
      <c r="E5" s="237" t="s">
        <v>397</v>
      </c>
      <c r="F5" s="237" t="s">
        <v>391</v>
      </c>
    </row>
    <row r="6" spans="1:6" ht="40.25" customHeight="1">
      <c r="A6" s="238" t="s">
        <v>398</v>
      </c>
      <c r="B6" s="237" t="s">
        <v>399</v>
      </c>
      <c r="C6" s="237" t="s">
        <v>400</v>
      </c>
      <c r="D6" s="237"/>
      <c r="E6" s="237" t="s">
        <v>401</v>
      </c>
      <c r="F6" s="237" t="s">
        <v>388</v>
      </c>
    </row>
    <row r="7" spans="1:6">
      <c r="B7" s="236"/>
    </row>
    <row r="8" spans="1:6">
      <c r="B8" s="236"/>
    </row>
    <row r="9" spans="1:6">
      <c r="A9" s="240" t="s">
        <v>378</v>
      </c>
      <c r="B9" s="240" t="s">
        <v>379</v>
      </c>
      <c r="C9" s="240" t="s">
        <v>380</v>
      </c>
      <c r="D9" s="1351" t="s">
        <v>433</v>
      </c>
      <c r="E9" s="1351"/>
      <c r="F9" s="1351"/>
    </row>
    <row r="10" spans="1:6" ht="124.25" customHeight="1">
      <c r="A10" s="238" t="s">
        <v>376</v>
      </c>
      <c r="B10" s="237" t="s">
        <v>377</v>
      </c>
      <c r="C10" s="239" t="s">
        <v>387</v>
      </c>
      <c r="D10" s="1352" t="s">
        <v>434</v>
      </c>
      <c r="E10" s="1353"/>
      <c r="F10" s="1354"/>
    </row>
    <row r="11" spans="1:6" ht="59.4" customHeight="1">
      <c r="A11" s="238" t="s">
        <v>385</v>
      </c>
      <c r="B11" s="237" t="s">
        <v>386</v>
      </c>
      <c r="C11" s="237" t="s">
        <v>387</v>
      </c>
      <c r="D11" s="1347" t="s">
        <v>435</v>
      </c>
      <c r="E11" s="1348"/>
      <c r="F11" s="1349"/>
    </row>
    <row r="12" spans="1:6" ht="159" customHeight="1">
      <c r="A12" s="238" t="s">
        <v>392</v>
      </c>
      <c r="B12" s="237" t="s">
        <v>312</v>
      </c>
      <c r="C12" s="239" t="s">
        <v>387</v>
      </c>
      <c r="D12" s="1350" t="s">
        <v>436</v>
      </c>
      <c r="E12" s="1350"/>
      <c r="F12" s="1350"/>
    </row>
    <row r="13" spans="1:6" ht="26">
      <c r="A13" s="238" t="s">
        <v>394</v>
      </c>
      <c r="B13" s="237" t="s">
        <v>395</v>
      </c>
      <c r="C13" s="237" t="s">
        <v>396</v>
      </c>
      <c r="D13" s="1347" t="s">
        <v>437</v>
      </c>
      <c r="E13" s="1348"/>
      <c r="F13" s="1349"/>
    </row>
    <row r="14" spans="1:6" ht="39">
      <c r="A14" s="238" t="s">
        <v>398</v>
      </c>
      <c r="B14" s="237" t="s">
        <v>399</v>
      </c>
      <c r="C14" s="237" t="s">
        <v>400</v>
      </c>
      <c r="D14" s="1347" t="s">
        <v>438</v>
      </c>
      <c r="E14" s="1348"/>
      <c r="F14" s="1349"/>
    </row>
    <row r="16" spans="1:6" ht="52">
      <c r="A16" s="240" t="s">
        <v>378</v>
      </c>
      <c r="B16" s="240" t="s">
        <v>379</v>
      </c>
      <c r="C16" s="240" t="s">
        <v>380</v>
      </c>
      <c r="D16" s="240" t="s">
        <v>381</v>
      </c>
      <c r="E16" s="240" t="s">
        <v>382</v>
      </c>
      <c r="F16" s="240" t="s">
        <v>383</v>
      </c>
    </row>
    <row r="17" spans="1:6" ht="52">
      <c r="A17" s="238" t="s">
        <v>376</v>
      </c>
      <c r="B17" s="237" t="s">
        <v>377</v>
      </c>
      <c r="C17" s="419" t="s">
        <v>769</v>
      </c>
      <c r="D17" s="237"/>
      <c r="E17" s="419" t="s">
        <v>770</v>
      </c>
      <c r="F17" s="419" t="s">
        <v>391</v>
      </c>
    </row>
    <row r="18" spans="1:6">
      <c r="A18" s="238" t="s">
        <v>385</v>
      </c>
      <c r="B18" s="237" t="s">
        <v>386</v>
      </c>
      <c r="C18" s="237" t="s">
        <v>387</v>
      </c>
      <c r="D18" s="241"/>
      <c r="E18" s="237" t="s">
        <v>390</v>
      </c>
      <c r="F18" s="237" t="s">
        <v>391</v>
      </c>
    </row>
    <row r="19" spans="1:6" ht="39">
      <c r="A19" s="238" t="s">
        <v>392</v>
      </c>
      <c r="B19" s="237" t="s">
        <v>312</v>
      </c>
      <c r="C19" s="419" t="s">
        <v>387</v>
      </c>
      <c r="D19" s="419" t="s">
        <v>771</v>
      </c>
      <c r="E19" s="237"/>
      <c r="F19" s="239"/>
    </row>
    <row r="20" spans="1:6" ht="39">
      <c r="A20" s="238" t="s">
        <v>392</v>
      </c>
      <c r="B20" s="419" t="s">
        <v>312</v>
      </c>
      <c r="C20" s="419" t="s">
        <v>772</v>
      </c>
      <c r="D20" s="419"/>
      <c r="E20" s="419" t="s">
        <v>447</v>
      </c>
      <c r="F20" s="239" t="s">
        <v>391</v>
      </c>
    </row>
    <row r="21" spans="1:6" ht="26">
      <c r="A21" s="238" t="s">
        <v>394</v>
      </c>
      <c r="B21" s="237" t="s">
        <v>395</v>
      </c>
      <c r="C21" s="237" t="s">
        <v>396</v>
      </c>
      <c r="D21" s="419" t="s">
        <v>771</v>
      </c>
      <c r="E21" s="419" t="s">
        <v>773</v>
      </c>
      <c r="F21" s="237" t="s">
        <v>391</v>
      </c>
    </row>
    <row r="22" spans="1:6" ht="39">
      <c r="A22" s="238" t="s">
        <v>398</v>
      </c>
      <c r="B22" s="237" t="s">
        <v>399</v>
      </c>
      <c r="C22" s="237" t="s">
        <v>400</v>
      </c>
      <c r="D22" s="237"/>
      <c r="E22" s="237" t="s">
        <v>401</v>
      </c>
      <c r="F22" s="237" t="s">
        <v>388</v>
      </c>
    </row>
  </sheetData>
  <mergeCells count="6">
    <mergeCell ref="D14:F14"/>
    <mergeCell ref="D12:F12"/>
    <mergeCell ref="D9:F9"/>
    <mergeCell ref="D10:F10"/>
    <mergeCell ref="D11:F11"/>
    <mergeCell ref="D13:F13"/>
  </mergeCell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92D050"/>
    <pageSetUpPr fitToPage="1"/>
  </sheetPr>
  <dimension ref="A1:AL164"/>
  <sheetViews>
    <sheetView topLeftCell="J47" zoomScaleNormal="100" workbookViewId="0">
      <selection activeCell="L62" sqref="L62:Q92"/>
    </sheetView>
  </sheetViews>
  <sheetFormatPr defaultColWidth="9.08984375" defaultRowHeight="14.25" customHeight="1"/>
  <cols>
    <col min="1" max="1" width="17.90625" style="17" customWidth="1"/>
    <col min="2" max="2" width="10.08984375" style="17" bestFit="1" customWidth="1"/>
    <col min="3" max="3" width="7.08984375" style="17" customWidth="1"/>
    <col min="4" max="4" width="10.453125" style="17" customWidth="1"/>
    <col min="5" max="5" width="7" style="17" customWidth="1"/>
    <col min="6" max="6" width="7.6328125" style="17" customWidth="1"/>
    <col min="7" max="7" width="10.453125" style="17" customWidth="1"/>
    <col min="8" max="8" width="10.90625" style="17" customWidth="1"/>
    <col min="9" max="9" width="18.453125" style="17" customWidth="1"/>
    <col min="10" max="12" width="9.08984375" style="17"/>
    <col min="13" max="13" width="22" style="17" customWidth="1"/>
    <col min="14" max="14" width="9.08984375" style="17"/>
    <col min="15" max="15" width="9.6328125" style="17" bestFit="1" customWidth="1"/>
    <col min="16" max="16" width="11.54296875" style="17" bestFit="1" customWidth="1"/>
    <col min="17" max="18" width="9.08984375" style="17"/>
    <col min="19" max="19" width="11" style="17" bestFit="1" customWidth="1"/>
    <col min="20" max="23" width="9.08984375" style="17"/>
    <col min="24" max="24" width="8.08984375" style="17" bestFit="1" customWidth="1"/>
    <col min="25" max="25" width="8.36328125" style="17" bestFit="1" customWidth="1"/>
    <col min="26" max="26" width="9" style="17" customWidth="1"/>
    <col min="27" max="27" width="11" style="17" bestFit="1" customWidth="1"/>
    <col min="28" max="34" width="9.08984375" style="17"/>
    <col min="35" max="35" width="53.90625" style="17" bestFit="1" customWidth="1"/>
    <col min="36" max="16384" width="9.08984375" style="17"/>
  </cols>
  <sheetData>
    <row r="1" spans="1:38" ht="14.25" customHeight="1">
      <c r="A1" s="1182" t="s">
        <v>839</v>
      </c>
      <c r="B1" s="1182"/>
      <c r="C1" s="1182"/>
      <c r="D1" s="1182"/>
      <c r="E1" s="1182"/>
      <c r="F1" s="1182"/>
      <c r="L1" s="235" t="s">
        <v>417</v>
      </c>
      <c r="M1" s="235" t="s">
        <v>418</v>
      </c>
      <c r="N1" s="235"/>
      <c r="O1" s="235"/>
      <c r="P1" s="235"/>
      <c r="Q1" s="235"/>
      <c r="R1" s="235"/>
      <c r="S1" s="235"/>
      <c r="T1" s="235"/>
      <c r="U1" s="235"/>
      <c r="Y1" s="235" t="s">
        <v>417</v>
      </c>
      <c r="Z1" s="235" t="s">
        <v>418</v>
      </c>
      <c r="AA1" s="235"/>
      <c r="AB1" s="235"/>
      <c r="AC1" s="235"/>
      <c r="AD1" s="235"/>
      <c r="AE1" s="235"/>
      <c r="AF1" s="235"/>
      <c r="AG1" s="235"/>
      <c r="AH1" s="91"/>
      <c r="AI1" s="91"/>
      <c r="AJ1" s="91" t="s">
        <v>30</v>
      </c>
      <c r="AK1" s="91" t="s">
        <v>541</v>
      </c>
      <c r="AL1" s="91" t="s">
        <v>542</v>
      </c>
    </row>
    <row r="2" spans="1:38" ht="14.25" customHeight="1">
      <c r="A2" s="1" t="s">
        <v>150</v>
      </c>
      <c r="B2" s="385">
        <v>41645</v>
      </c>
      <c r="L2" s="235" t="s">
        <v>419</v>
      </c>
      <c r="M2" s="235" t="s">
        <v>420</v>
      </c>
      <c r="N2" s="235"/>
      <c r="O2" s="235"/>
      <c r="P2" s="235"/>
      <c r="Q2" s="235"/>
      <c r="R2" s="235"/>
      <c r="S2" s="235"/>
      <c r="T2" s="235"/>
      <c r="U2" s="235"/>
      <c r="Y2" s="235" t="s">
        <v>419</v>
      </c>
      <c r="Z2" s="235" t="s">
        <v>420</v>
      </c>
      <c r="AA2" s="235"/>
      <c r="AB2" s="235"/>
      <c r="AC2" s="235"/>
      <c r="AD2" s="235"/>
      <c r="AE2" s="235"/>
      <c r="AF2" s="235"/>
      <c r="AG2" s="235"/>
      <c r="AH2" s="152" t="s">
        <v>244</v>
      </c>
      <c r="AI2" s="152" t="s">
        <v>368</v>
      </c>
      <c r="AJ2" s="278" t="s">
        <v>443</v>
      </c>
      <c r="AK2" s="278" t="s">
        <v>443</v>
      </c>
      <c r="AL2" s="278"/>
    </row>
    <row r="3" spans="1:38" ht="14.25" customHeight="1">
      <c r="A3" s="95" t="s">
        <v>11</v>
      </c>
      <c r="B3" s="95" t="s">
        <v>152</v>
      </c>
      <c r="C3" s="95" t="s">
        <v>153</v>
      </c>
      <c r="D3" s="95" t="s">
        <v>154</v>
      </c>
      <c r="E3" s="95" t="s">
        <v>155</v>
      </c>
      <c r="F3" s="95" t="s">
        <v>156</v>
      </c>
      <c r="G3" s="95" t="s">
        <v>1335</v>
      </c>
      <c r="H3" s="95">
        <v>1932</v>
      </c>
      <c r="L3" s="235" t="s">
        <v>6</v>
      </c>
      <c r="M3" s="235" t="s">
        <v>420</v>
      </c>
      <c r="N3" s="235"/>
      <c r="O3" s="235"/>
      <c r="P3" s="235"/>
      <c r="Q3" s="235"/>
      <c r="R3" s="235"/>
      <c r="S3" s="235"/>
      <c r="T3" s="235"/>
      <c r="U3" s="235"/>
      <c r="Y3" s="235" t="s">
        <v>6</v>
      </c>
      <c r="Z3" s="235" t="s">
        <v>420</v>
      </c>
      <c r="AA3" s="235"/>
      <c r="AB3" s="235"/>
      <c r="AC3" s="235"/>
      <c r="AD3" s="235"/>
      <c r="AE3" s="235"/>
      <c r="AF3" s="235"/>
      <c r="AG3" s="235"/>
      <c r="AH3" s="152" t="s">
        <v>246</v>
      </c>
      <c r="AI3" s="152" t="s">
        <v>533</v>
      </c>
      <c r="AJ3" s="278"/>
      <c r="AK3" s="278" t="s">
        <v>443</v>
      </c>
      <c r="AL3" s="278"/>
    </row>
    <row r="4" spans="1:38" ht="14.25" customHeight="1">
      <c r="A4" s="59" t="s">
        <v>192</v>
      </c>
      <c r="B4" s="105"/>
      <c r="C4" s="283"/>
      <c r="D4" s="283"/>
      <c r="E4" s="283"/>
      <c r="F4" s="283"/>
      <c r="G4" s="171"/>
      <c r="L4" s="235" t="s">
        <v>150</v>
      </c>
      <c r="M4" s="268">
        <v>41158</v>
      </c>
      <c r="N4" s="235"/>
      <c r="O4" s="235"/>
      <c r="P4" s="235"/>
      <c r="Q4" s="235"/>
      <c r="R4" s="235"/>
      <c r="S4" s="235"/>
      <c r="T4" s="235"/>
      <c r="U4" s="235"/>
      <c r="Y4" s="235" t="s">
        <v>150</v>
      </c>
      <c r="Z4" s="268">
        <v>41158</v>
      </c>
      <c r="AA4" s="235"/>
      <c r="AB4" s="235"/>
      <c r="AC4" s="235"/>
      <c r="AD4" s="235"/>
      <c r="AE4" s="235"/>
      <c r="AF4" s="235"/>
      <c r="AG4" s="235"/>
      <c r="AH4" s="152" t="s">
        <v>538</v>
      </c>
      <c r="AI4" s="152" t="s">
        <v>534</v>
      </c>
      <c r="AJ4" s="278" t="s">
        <v>443</v>
      </c>
      <c r="AK4" s="278" t="s">
        <v>443</v>
      </c>
      <c r="AL4" s="278"/>
    </row>
    <row r="5" spans="1:38" ht="14.25" customHeight="1">
      <c r="A5" s="59" t="s">
        <v>193</v>
      </c>
      <c r="B5" s="105"/>
      <c r="C5" s="283"/>
      <c r="D5" s="283"/>
      <c r="E5" s="283"/>
      <c r="F5" s="283"/>
      <c r="G5" s="171"/>
      <c r="L5" s="286" t="s">
        <v>408</v>
      </c>
      <c r="M5" s="286" t="s">
        <v>409</v>
      </c>
      <c r="N5" s="286"/>
      <c r="O5" s="1355" t="s">
        <v>425</v>
      </c>
      <c r="P5" s="1356"/>
      <c r="Q5" s="1357"/>
      <c r="R5" s="1360" t="s">
        <v>428</v>
      </c>
      <c r="S5" s="1360"/>
      <c r="T5" s="1360"/>
      <c r="U5" s="1355" t="s">
        <v>423</v>
      </c>
      <c r="V5" s="1356"/>
      <c r="W5" s="1357"/>
      <c r="Y5" s="1360" t="s">
        <v>430</v>
      </c>
      <c r="Z5" s="1360"/>
      <c r="AA5" s="1360"/>
      <c r="AB5" s="1355" t="s">
        <v>421</v>
      </c>
      <c r="AC5" s="1356"/>
      <c r="AD5" s="1357"/>
      <c r="AE5" s="1360" t="s">
        <v>424</v>
      </c>
      <c r="AF5" s="1360"/>
      <c r="AG5" s="1360"/>
      <c r="AH5" s="152" t="s">
        <v>256</v>
      </c>
      <c r="AI5" s="152" t="s">
        <v>522</v>
      </c>
      <c r="AJ5" s="278"/>
      <c r="AK5" s="278" t="s">
        <v>443</v>
      </c>
      <c r="AL5" s="278"/>
    </row>
    <row r="6" spans="1:38" ht="14.25" customHeight="1">
      <c r="A6" s="59" t="s">
        <v>194</v>
      </c>
      <c r="B6" s="105"/>
      <c r="C6" s="283"/>
      <c r="D6" s="283"/>
      <c r="E6" s="283"/>
      <c r="F6" s="283"/>
      <c r="G6" s="171"/>
      <c r="L6" s="256" t="s">
        <v>152</v>
      </c>
      <c r="M6" s="256"/>
      <c r="N6" s="256"/>
      <c r="O6" s="256" t="s">
        <v>152</v>
      </c>
      <c r="P6" s="256"/>
      <c r="Q6" s="256"/>
      <c r="R6" s="256" t="s">
        <v>152</v>
      </c>
      <c r="S6" s="256"/>
      <c r="T6" s="256"/>
      <c r="U6" s="256" t="s">
        <v>152</v>
      </c>
      <c r="V6" s="256"/>
      <c r="W6" s="287"/>
      <c r="Y6" s="256" t="s">
        <v>152</v>
      </c>
      <c r="Z6" s="256"/>
      <c r="AA6" s="256"/>
      <c r="AB6" s="256" t="s">
        <v>152</v>
      </c>
      <c r="AC6" s="256"/>
      <c r="AD6" s="256"/>
      <c r="AE6" s="256" t="s">
        <v>152</v>
      </c>
      <c r="AF6" s="256"/>
      <c r="AG6" s="256"/>
      <c r="AH6" s="152" t="s">
        <v>520</v>
      </c>
      <c r="AI6" s="152" t="s">
        <v>521</v>
      </c>
      <c r="AJ6" s="278" t="s">
        <v>443</v>
      </c>
      <c r="AK6" s="278" t="s">
        <v>443</v>
      </c>
      <c r="AL6" s="278"/>
    </row>
    <row r="7" spans="1:38" ht="14.25" customHeight="1">
      <c r="A7" s="59" t="s">
        <v>189</v>
      </c>
      <c r="B7" s="112" t="s">
        <v>195</v>
      </c>
      <c r="C7" s="165"/>
      <c r="D7" s="165"/>
      <c r="E7" s="165"/>
      <c r="F7" s="165"/>
      <c r="G7" s="95" t="s">
        <v>166</v>
      </c>
      <c r="H7" s="95" t="s">
        <v>176</v>
      </c>
      <c r="L7" s="256"/>
      <c r="M7" s="289" t="s">
        <v>170</v>
      </c>
      <c r="N7" s="290" t="s">
        <v>411</v>
      </c>
      <c r="O7" s="256" t="s">
        <v>415</v>
      </c>
      <c r="P7" s="256"/>
      <c r="Q7" s="256"/>
      <c r="R7" s="256" t="s">
        <v>415</v>
      </c>
      <c r="S7" s="256"/>
      <c r="T7" s="256"/>
      <c r="U7" s="256" t="s">
        <v>415</v>
      </c>
      <c r="V7" s="256"/>
      <c r="W7" s="256"/>
      <c r="Y7" s="256" t="s">
        <v>415</v>
      </c>
      <c r="Z7" s="256"/>
      <c r="AA7" s="256"/>
      <c r="AB7" s="256" t="s">
        <v>415</v>
      </c>
      <c r="AC7" s="256"/>
      <c r="AD7" s="256"/>
      <c r="AE7" s="256" t="s">
        <v>415</v>
      </c>
      <c r="AF7" s="256"/>
      <c r="AG7" s="256"/>
      <c r="AH7" s="152" t="s">
        <v>262</v>
      </c>
      <c r="AI7" s="152" t="s">
        <v>523</v>
      </c>
      <c r="AJ7" s="278" t="s">
        <v>443</v>
      </c>
      <c r="AK7" s="278" t="s">
        <v>443</v>
      </c>
      <c r="AL7" s="278"/>
    </row>
    <row r="8" spans="1:38" ht="14.25" customHeight="1">
      <c r="A8" s="283" t="s">
        <v>350</v>
      </c>
      <c r="B8" s="91"/>
      <c r="C8" s="283"/>
      <c r="D8" s="283"/>
      <c r="E8" s="283"/>
      <c r="F8" s="283"/>
      <c r="G8" s="288"/>
      <c r="H8" s="231"/>
      <c r="L8" s="256" t="s">
        <v>412</v>
      </c>
      <c r="M8" s="256"/>
      <c r="N8" s="256"/>
      <c r="O8" s="256"/>
      <c r="P8" s="289" t="s">
        <v>170</v>
      </c>
      <c r="Q8" s="290" t="s">
        <v>411</v>
      </c>
      <c r="R8" s="256"/>
      <c r="S8" s="289" t="s">
        <v>170</v>
      </c>
      <c r="T8" s="290" t="s">
        <v>411</v>
      </c>
      <c r="U8" s="255" t="s">
        <v>422</v>
      </c>
      <c r="V8" s="256"/>
      <c r="W8" s="256"/>
      <c r="Y8" s="256" t="s">
        <v>410</v>
      </c>
      <c r="Z8" s="256"/>
      <c r="AA8" s="256"/>
      <c r="AB8" s="256" t="s">
        <v>410</v>
      </c>
      <c r="AC8" s="344"/>
      <c r="AD8" s="345"/>
      <c r="AE8" s="256" t="s">
        <v>410</v>
      </c>
      <c r="AF8" s="1358"/>
      <c r="AG8" s="1359"/>
      <c r="AH8" s="91" t="s">
        <v>540</v>
      </c>
      <c r="AI8" s="338" t="s">
        <v>524</v>
      </c>
      <c r="AJ8" s="278" t="s">
        <v>443</v>
      </c>
      <c r="AK8" s="339" t="s">
        <v>443</v>
      </c>
      <c r="AL8" s="339" t="s">
        <v>443</v>
      </c>
    </row>
    <row r="9" spans="1:38" ht="14.25" customHeight="1">
      <c r="A9" s="283" t="s">
        <v>157</v>
      </c>
      <c r="B9" s="91"/>
      <c r="C9" s="283"/>
      <c r="D9" s="283"/>
      <c r="E9" s="283"/>
      <c r="F9" s="283"/>
      <c r="G9" s="171"/>
      <c r="L9" s="256" t="s">
        <v>413</v>
      </c>
      <c r="M9" s="256"/>
      <c r="N9" s="256"/>
      <c r="O9" s="559">
        <v>2</v>
      </c>
      <c r="P9" s="256"/>
      <c r="Q9" s="256"/>
      <c r="R9" s="559">
        <v>2</v>
      </c>
      <c r="S9" s="256"/>
      <c r="T9" s="256"/>
      <c r="U9" s="256"/>
      <c r="V9" s="289" t="s">
        <v>170</v>
      </c>
      <c r="W9" s="290" t="s">
        <v>411</v>
      </c>
      <c r="Y9" s="291" t="s">
        <v>156</v>
      </c>
      <c r="Z9" s="291"/>
      <c r="AA9" s="256"/>
      <c r="AB9" s="291" t="s">
        <v>156</v>
      </c>
      <c r="AC9" s="291"/>
      <c r="AD9" s="256"/>
      <c r="AE9" s="291" t="s">
        <v>156</v>
      </c>
      <c r="AF9" s="291"/>
      <c r="AG9" s="256"/>
      <c r="AH9" s="152" t="s">
        <v>186</v>
      </c>
      <c r="AI9" s="152" t="s">
        <v>525</v>
      </c>
      <c r="AJ9" s="278"/>
      <c r="AK9" s="339" t="s">
        <v>443</v>
      </c>
      <c r="AL9" s="278"/>
    </row>
    <row r="10" spans="1:38" ht="14.25" customHeight="1">
      <c r="A10" s="283" t="s">
        <v>351</v>
      </c>
      <c r="B10" s="91"/>
      <c r="C10" s="283"/>
      <c r="D10" s="283"/>
      <c r="E10" s="283"/>
      <c r="F10" s="283"/>
      <c r="G10" s="171"/>
      <c r="L10" s="1355" t="s">
        <v>414</v>
      </c>
      <c r="M10" s="1356"/>
      <c r="N10" s="1357"/>
      <c r="O10" s="559">
        <v>4</v>
      </c>
      <c r="P10" s="256"/>
      <c r="Q10" s="256"/>
      <c r="R10" s="559">
        <v>4</v>
      </c>
      <c r="S10" s="256"/>
      <c r="T10" s="256"/>
      <c r="U10" s="559">
        <v>2</v>
      </c>
      <c r="V10" s="559"/>
      <c r="W10" s="559"/>
      <c r="Y10" s="291" t="s">
        <v>155</v>
      </c>
      <c r="Z10" s="291"/>
      <c r="AA10" s="256"/>
      <c r="AB10" s="291" t="s">
        <v>155</v>
      </c>
      <c r="AC10" s="291"/>
      <c r="AD10" s="256"/>
      <c r="AE10" s="291" t="s">
        <v>155</v>
      </c>
      <c r="AF10" s="291"/>
      <c r="AG10" s="256"/>
      <c r="AH10" s="152" t="s">
        <v>249</v>
      </c>
      <c r="AI10" s="152" t="s">
        <v>526</v>
      </c>
      <c r="AJ10" s="278"/>
      <c r="AK10" s="339" t="s">
        <v>443</v>
      </c>
      <c r="AL10" s="278"/>
    </row>
    <row r="11" spans="1:38" ht="14.25" customHeight="1">
      <c r="A11" s="283" t="s">
        <v>158</v>
      </c>
      <c r="B11" s="91"/>
      <c r="C11" s="283"/>
      <c r="D11" s="283"/>
      <c r="E11" s="283"/>
      <c r="F11" s="283"/>
      <c r="G11" s="171"/>
      <c r="L11" s="256" t="s">
        <v>152</v>
      </c>
      <c r="M11" s="256"/>
      <c r="N11" s="287"/>
      <c r="O11" s="559">
        <v>6</v>
      </c>
      <c r="P11" s="256"/>
      <c r="Q11" s="256"/>
      <c r="R11" s="559">
        <v>6</v>
      </c>
      <c r="S11" s="256"/>
      <c r="T11" s="256"/>
      <c r="U11" s="559">
        <v>4</v>
      </c>
      <c r="V11" s="559"/>
      <c r="W11" s="559"/>
      <c r="Y11" s="291" t="s">
        <v>154</v>
      </c>
      <c r="Z11" s="291"/>
      <c r="AA11" s="256"/>
      <c r="AB11" s="291" t="s">
        <v>154</v>
      </c>
      <c r="AC11" s="291"/>
      <c r="AD11" s="256"/>
      <c r="AE11" s="291" t="s">
        <v>154</v>
      </c>
      <c r="AF11" s="291"/>
      <c r="AG11" s="256"/>
      <c r="AH11" s="152" t="s">
        <v>250</v>
      </c>
      <c r="AI11" s="152" t="s">
        <v>527</v>
      </c>
      <c r="AJ11" s="278" t="s">
        <v>443</v>
      </c>
      <c r="AK11" s="339" t="s">
        <v>443</v>
      </c>
      <c r="AL11" s="278"/>
    </row>
    <row r="12" spans="1:38" ht="14.25" customHeight="1">
      <c r="A12" s="283" t="s">
        <v>352</v>
      </c>
      <c r="B12" s="91"/>
      <c r="C12" s="283"/>
      <c r="D12" s="283"/>
      <c r="E12" s="283"/>
      <c r="F12" s="283"/>
      <c r="G12" s="171"/>
      <c r="L12" s="256" t="s">
        <v>415</v>
      </c>
      <c r="M12" s="256"/>
      <c r="N12" s="256"/>
      <c r="O12" s="559">
        <v>8</v>
      </c>
      <c r="P12" s="256"/>
      <c r="Q12" s="256"/>
      <c r="R12" s="559">
        <v>8</v>
      </c>
      <c r="S12" s="256"/>
      <c r="T12" s="256"/>
      <c r="U12" s="559">
        <v>6</v>
      </c>
      <c r="V12" s="559"/>
      <c r="W12" s="559"/>
      <c r="Y12" s="291" t="s">
        <v>153</v>
      </c>
      <c r="Z12" s="291"/>
      <c r="AA12" s="256"/>
      <c r="AB12" s="291" t="s">
        <v>153</v>
      </c>
      <c r="AC12" s="291"/>
      <c r="AD12" s="256"/>
      <c r="AE12" s="291" t="s">
        <v>153</v>
      </c>
      <c r="AF12" s="291"/>
      <c r="AG12" s="256"/>
      <c r="AH12" s="152" t="s">
        <v>535</v>
      </c>
      <c r="AI12" s="152" t="s">
        <v>536</v>
      </c>
      <c r="AJ12" s="278"/>
      <c r="AK12" s="339" t="s">
        <v>443</v>
      </c>
      <c r="AL12" s="339" t="s">
        <v>443</v>
      </c>
    </row>
    <row r="13" spans="1:38" ht="14.25" customHeight="1">
      <c r="A13" s="283" t="s">
        <v>159</v>
      </c>
      <c r="B13" s="91"/>
      <c r="C13" s="283"/>
      <c r="D13" s="283"/>
      <c r="E13" s="283"/>
      <c r="F13" s="283"/>
      <c r="G13" s="171"/>
      <c r="L13" s="256"/>
      <c r="M13" s="289" t="s">
        <v>170</v>
      </c>
      <c r="N13" s="290" t="s">
        <v>411</v>
      </c>
      <c r="O13" s="559">
        <v>10</v>
      </c>
      <c r="P13" s="256"/>
      <c r="Q13" s="256"/>
      <c r="R13" s="559">
        <v>10</v>
      </c>
      <c r="S13" s="256"/>
      <c r="T13" s="256"/>
      <c r="U13" s="1364" t="s">
        <v>424</v>
      </c>
      <c r="V13" s="1365"/>
      <c r="W13" s="1366"/>
      <c r="Y13" s="1360" t="s">
        <v>429</v>
      </c>
      <c r="Z13" s="1360"/>
      <c r="AA13" s="1360"/>
      <c r="AB13" s="1355" t="s">
        <v>519</v>
      </c>
      <c r="AC13" s="1356"/>
      <c r="AD13" s="1357"/>
      <c r="AE13" s="1355" t="s">
        <v>423</v>
      </c>
      <c r="AF13" s="1356"/>
      <c r="AG13" s="1357"/>
      <c r="AH13" s="152" t="s">
        <v>251</v>
      </c>
      <c r="AI13" s="152" t="s">
        <v>528</v>
      </c>
      <c r="AJ13" s="278"/>
      <c r="AK13" s="339" t="s">
        <v>443</v>
      </c>
      <c r="AL13" s="278"/>
    </row>
    <row r="14" spans="1:38" ht="14.25" customHeight="1">
      <c r="A14" s="283" t="s">
        <v>353</v>
      </c>
      <c r="B14" s="91"/>
      <c r="C14" s="283"/>
      <c r="D14" s="283"/>
      <c r="E14" s="283"/>
      <c r="F14" s="283"/>
      <c r="G14" s="171"/>
      <c r="L14" s="559">
        <v>2</v>
      </c>
      <c r="M14" s="256"/>
      <c r="N14" s="256"/>
      <c r="O14" s="559">
        <v>12</v>
      </c>
      <c r="P14" s="256"/>
      <c r="Q14" s="256"/>
      <c r="R14" s="559">
        <v>12</v>
      </c>
      <c r="S14" s="256"/>
      <c r="T14" s="256"/>
      <c r="U14" s="559" t="s">
        <v>152</v>
      </c>
      <c r="V14" s="559"/>
      <c r="W14" s="559"/>
      <c r="Y14" s="256" t="s">
        <v>152</v>
      </c>
      <c r="Z14" s="256"/>
      <c r="AA14" s="256"/>
      <c r="AB14" s="256" t="s">
        <v>152</v>
      </c>
      <c r="AC14" s="256"/>
      <c r="AD14" s="287"/>
      <c r="AE14" s="256" t="s">
        <v>152</v>
      </c>
      <c r="AF14" s="256"/>
      <c r="AG14" s="287"/>
      <c r="AH14" s="152" t="s">
        <v>252</v>
      </c>
      <c r="AI14" s="152" t="s">
        <v>529</v>
      </c>
      <c r="AJ14" s="278"/>
      <c r="AK14" s="339" t="s">
        <v>443</v>
      </c>
      <c r="AL14" s="278"/>
    </row>
    <row r="15" spans="1:38" ht="14.25" customHeight="1">
      <c r="A15" s="283" t="s">
        <v>160</v>
      </c>
      <c r="B15" s="91"/>
      <c r="C15" s="283"/>
      <c r="D15" s="283"/>
      <c r="E15" s="283"/>
      <c r="F15" s="283"/>
      <c r="G15" s="171"/>
      <c r="L15" s="559">
        <v>4</v>
      </c>
      <c r="M15" s="256"/>
      <c r="N15" s="256"/>
      <c r="O15" s="559">
        <v>14</v>
      </c>
      <c r="P15" s="256"/>
      <c r="Q15" s="256"/>
      <c r="R15" s="559">
        <v>14</v>
      </c>
      <c r="S15" s="256"/>
      <c r="T15" s="256"/>
      <c r="U15" s="559" t="s">
        <v>415</v>
      </c>
      <c r="V15" s="559"/>
      <c r="W15" s="559"/>
      <c r="Y15" s="256" t="s">
        <v>415</v>
      </c>
      <c r="Z15" s="256"/>
      <c r="AA15" s="256"/>
      <c r="AB15" s="256" t="s">
        <v>415</v>
      </c>
      <c r="AC15" s="256"/>
      <c r="AD15" s="256"/>
      <c r="AE15" s="256" t="s">
        <v>415</v>
      </c>
      <c r="AF15" s="256"/>
      <c r="AG15" s="256"/>
      <c r="AH15" s="152" t="s">
        <v>253</v>
      </c>
      <c r="AI15" s="152" t="s">
        <v>530</v>
      </c>
      <c r="AJ15" s="278" t="s">
        <v>443</v>
      </c>
      <c r="AK15" s="339" t="s">
        <v>443</v>
      </c>
      <c r="AL15" s="278"/>
    </row>
    <row r="16" spans="1:38" ht="14.25" customHeight="1">
      <c r="A16" s="283" t="s">
        <v>161</v>
      </c>
      <c r="B16" s="105"/>
      <c r="C16" s="283"/>
      <c r="D16" s="283"/>
      <c r="E16" s="283"/>
      <c r="F16" s="283"/>
      <c r="G16" s="171"/>
      <c r="L16" s="559">
        <v>6</v>
      </c>
      <c r="M16" s="256"/>
      <c r="N16" s="256"/>
      <c r="O16" s="559">
        <v>16</v>
      </c>
      <c r="P16" s="256"/>
      <c r="Q16" s="256"/>
      <c r="R16" s="559">
        <v>16</v>
      </c>
      <c r="S16" s="256"/>
      <c r="T16" s="256"/>
      <c r="U16" s="559"/>
      <c r="V16" s="560" t="s">
        <v>170</v>
      </c>
      <c r="W16" s="561" t="s">
        <v>411</v>
      </c>
      <c r="Y16" s="256" t="s">
        <v>410</v>
      </c>
      <c r="Z16" s="256"/>
      <c r="AA16" s="256"/>
      <c r="AB16" s="256" t="s">
        <v>410</v>
      </c>
      <c r="AC16" s="256"/>
      <c r="AD16" s="256"/>
      <c r="AE16" s="256" t="s">
        <v>410</v>
      </c>
      <c r="AF16" s="1358"/>
      <c r="AG16" s="1359"/>
      <c r="AH16" s="152" t="s">
        <v>254</v>
      </c>
      <c r="AI16" s="152" t="s">
        <v>539</v>
      </c>
      <c r="AJ16" s="278"/>
      <c r="AK16" s="339" t="s">
        <v>443</v>
      </c>
      <c r="AL16" s="278"/>
    </row>
    <row r="17" spans="1:38" ht="14.25" customHeight="1">
      <c r="A17" s="283" t="s">
        <v>162</v>
      </c>
      <c r="B17" s="105"/>
      <c r="C17" s="283"/>
      <c r="D17" s="283"/>
      <c r="E17" s="283"/>
      <c r="F17" s="283"/>
      <c r="G17" s="171"/>
      <c r="L17" s="559">
        <v>8</v>
      </c>
      <c r="M17" s="256"/>
      <c r="N17" s="256"/>
      <c r="O17" s="559">
        <v>18</v>
      </c>
      <c r="P17" s="256"/>
      <c r="Q17" s="256"/>
      <c r="R17" s="559">
        <v>18</v>
      </c>
      <c r="S17" s="256"/>
      <c r="T17" s="256"/>
      <c r="U17" s="559">
        <v>2</v>
      </c>
      <c r="V17" s="559"/>
      <c r="W17" s="559"/>
      <c r="Y17" s="291" t="s">
        <v>156</v>
      </c>
      <c r="Z17" s="291"/>
      <c r="AA17" s="256"/>
      <c r="AB17" s="291" t="s">
        <v>156</v>
      </c>
      <c r="AC17" s="291"/>
      <c r="AD17" s="256"/>
      <c r="AE17" s="291" t="s">
        <v>156</v>
      </c>
      <c r="AF17" s="291"/>
      <c r="AG17" s="256"/>
      <c r="AH17" s="152" t="s">
        <v>255</v>
      </c>
      <c r="AI17" s="152" t="s">
        <v>531</v>
      </c>
      <c r="AJ17" s="278"/>
      <c r="AK17" s="339" t="s">
        <v>443</v>
      </c>
      <c r="AL17" s="278"/>
    </row>
    <row r="18" spans="1:38" ht="14.25" customHeight="1">
      <c r="A18" s="283" t="s">
        <v>163</v>
      </c>
      <c r="B18" s="105"/>
      <c r="C18" s="283"/>
      <c r="D18" s="283"/>
      <c r="E18" s="283"/>
      <c r="F18" s="283"/>
      <c r="G18" s="171"/>
      <c r="L18" s="559">
        <v>10</v>
      </c>
      <c r="M18" s="256"/>
      <c r="N18" s="256"/>
      <c r="O18" s="559">
        <v>20</v>
      </c>
      <c r="P18" s="256"/>
      <c r="Q18" s="256"/>
      <c r="R18" s="559">
        <v>20</v>
      </c>
      <c r="S18" s="256"/>
      <c r="T18" s="256"/>
      <c r="U18" s="559">
        <v>4</v>
      </c>
      <c r="V18" s="559"/>
      <c r="W18" s="559"/>
      <c r="Y18" s="291" t="s">
        <v>155</v>
      </c>
      <c r="Z18" s="291"/>
      <c r="AA18" s="256"/>
      <c r="AB18" s="291" t="s">
        <v>155</v>
      </c>
      <c r="AC18" s="291"/>
      <c r="AD18" s="256"/>
      <c r="AE18" s="291" t="s">
        <v>155</v>
      </c>
      <c r="AF18" s="291"/>
      <c r="AG18" s="256"/>
      <c r="AH18" s="152" t="s">
        <v>257</v>
      </c>
      <c r="AI18" s="152" t="s">
        <v>532</v>
      </c>
      <c r="AJ18" s="278"/>
      <c r="AK18" s="339" t="s">
        <v>443</v>
      </c>
      <c r="AL18" s="278"/>
    </row>
    <row r="19" spans="1:38" ht="14.25" customHeight="1">
      <c r="A19" s="283" t="s">
        <v>164</v>
      </c>
      <c r="B19" s="105"/>
      <c r="C19" s="283"/>
      <c r="D19" s="283"/>
      <c r="E19" s="283"/>
      <c r="F19" s="283"/>
      <c r="G19" s="171"/>
      <c r="L19" s="1355" t="s">
        <v>518</v>
      </c>
      <c r="M19" s="1356"/>
      <c r="N19" s="1357"/>
      <c r="O19" s="559">
        <v>22</v>
      </c>
      <c r="P19" s="256"/>
      <c r="Q19" s="256"/>
      <c r="R19" s="559">
        <v>22</v>
      </c>
      <c r="S19" s="256"/>
      <c r="T19" s="256"/>
      <c r="U19" s="559">
        <v>6</v>
      </c>
      <c r="V19" s="559"/>
      <c r="W19" s="559"/>
      <c r="Y19" s="291" t="s">
        <v>154</v>
      </c>
      <c r="Z19" s="291"/>
      <c r="AA19" s="256"/>
      <c r="AB19" s="291" t="s">
        <v>154</v>
      </c>
      <c r="AC19" s="291"/>
      <c r="AD19" s="256"/>
      <c r="AE19" s="291" t="s">
        <v>154</v>
      </c>
      <c r="AF19" s="291"/>
      <c r="AG19" s="256"/>
      <c r="AH19" s="152" t="s">
        <v>258</v>
      </c>
      <c r="AI19" s="152" t="s">
        <v>537</v>
      </c>
      <c r="AJ19" s="278"/>
      <c r="AK19" s="339" t="s">
        <v>443</v>
      </c>
      <c r="AL19" s="278"/>
    </row>
    <row r="20" spans="1:38" ht="14.25" customHeight="1">
      <c r="A20" s="283" t="s">
        <v>165</v>
      </c>
      <c r="B20" s="91"/>
      <c r="C20" s="283"/>
      <c r="D20" s="283"/>
      <c r="E20" s="283"/>
      <c r="F20" s="283"/>
      <c r="G20" s="171"/>
      <c r="L20" s="256" t="s">
        <v>152</v>
      </c>
      <c r="M20" s="256"/>
      <c r="N20" s="256"/>
      <c r="O20" s="559">
        <v>24</v>
      </c>
      <c r="P20" s="256"/>
      <c r="Q20" s="256"/>
      <c r="R20" s="559">
        <v>24</v>
      </c>
      <c r="S20" s="256"/>
      <c r="T20" s="256"/>
      <c r="U20" s="559">
        <v>8</v>
      </c>
      <c r="V20" s="559"/>
      <c r="W20" s="559"/>
      <c r="Y20" s="291" t="s">
        <v>153</v>
      </c>
      <c r="Z20" s="291"/>
      <c r="AA20" s="256"/>
      <c r="AB20" s="291" t="s">
        <v>153</v>
      </c>
      <c r="AC20" s="291"/>
      <c r="AD20" s="256"/>
      <c r="AE20" s="291" t="s">
        <v>153</v>
      </c>
      <c r="AF20" s="291"/>
      <c r="AG20" s="256"/>
    </row>
    <row r="21" spans="1:38" ht="14.25" customHeight="1">
      <c r="A21" s="283" t="s">
        <v>187</v>
      </c>
      <c r="B21" s="91"/>
      <c r="C21" s="283"/>
      <c r="D21" s="283"/>
      <c r="E21" s="283"/>
      <c r="F21" s="283"/>
      <c r="G21" s="171"/>
      <c r="L21" s="256" t="s">
        <v>415</v>
      </c>
      <c r="M21" s="256"/>
      <c r="N21" s="256"/>
      <c r="O21" s="559">
        <v>26</v>
      </c>
      <c r="P21" s="256"/>
      <c r="Q21" s="256"/>
      <c r="R21" s="559">
        <v>26</v>
      </c>
      <c r="S21" s="256"/>
      <c r="T21" s="256"/>
      <c r="U21" s="1364" t="s">
        <v>431</v>
      </c>
      <c r="V21" s="1365"/>
      <c r="W21" s="1366"/>
      <c r="Y21" s="1360" t="s">
        <v>428</v>
      </c>
      <c r="Z21" s="1360"/>
      <c r="AA21" s="1360"/>
      <c r="AB21" s="1360" t="s">
        <v>416</v>
      </c>
      <c r="AC21" s="1360"/>
      <c r="AD21" s="1360"/>
      <c r="AE21" s="1355" t="s">
        <v>431</v>
      </c>
      <c r="AF21" s="1356"/>
      <c r="AG21" s="1357"/>
    </row>
    <row r="22" spans="1:38" ht="14.25" customHeight="1">
      <c r="A22" s="283" t="s">
        <v>188</v>
      </c>
      <c r="B22" s="91"/>
      <c r="C22" s="283"/>
      <c r="D22" s="283"/>
      <c r="E22" s="283"/>
      <c r="F22" s="283"/>
      <c r="G22" s="171"/>
      <c r="L22" s="256"/>
      <c r="M22" s="289" t="s">
        <v>170</v>
      </c>
      <c r="N22" s="290" t="s">
        <v>411</v>
      </c>
      <c r="O22" s="559">
        <v>28</v>
      </c>
      <c r="P22" s="256"/>
      <c r="Q22" s="256"/>
      <c r="R22" s="559">
        <v>28</v>
      </c>
      <c r="S22" s="256"/>
      <c r="T22" s="256"/>
      <c r="U22" s="559" t="s">
        <v>152</v>
      </c>
      <c r="V22" s="559"/>
      <c r="W22" s="559"/>
      <c r="Y22" s="256" t="s">
        <v>152</v>
      </c>
      <c r="Z22" s="256"/>
      <c r="AA22" s="256"/>
      <c r="AB22" s="256" t="s">
        <v>152</v>
      </c>
      <c r="AC22" s="256"/>
      <c r="AD22" s="256"/>
      <c r="AE22" s="256" t="s">
        <v>152</v>
      </c>
      <c r="AF22" s="256"/>
      <c r="AG22" s="256"/>
    </row>
    <row r="23" spans="1:38" ht="14.25" customHeight="1">
      <c r="A23" s="94"/>
      <c r="B23" s="537"/>
      <c r="C23" s="171"/>
      <c r="D23" s="171"/>
      <c r="E23" s="171"/>
      <c r="F23" s="171"/>
      <c r="G23" s="171"/>
      <c r="L23" s="559">
        <v>2</v>
      </c>
      <c r="M23" s="256"/>
      <c r="N23" s="256"/>
      <c r="O23" s="1355" t="s">
        <v>426</v>
      </c>
      <c r="P23" s="1356"/>
      <c r="Q23" s="1357"/>
      <c r="R23" s="1355" t="s">
        <v>429</v>
      </c>
      <c r="S23" s="1356"/>
      <c r="T23" s="1357"/>
      <c r="U23" s="559" t="s">
        <v>415</v>
      </c>
      <c r="V23" s="559"/>
      <c r="W23" s="559"/>
      <c r="Y23" s="256" t="s">
        <v>415</v>
      </c>
      <c r="Z23" s="256"/>
      <c r="AA23" s="256"/>
      <c r="AB23" s="256" t="s">
        <v>415</v>
      </c>
      <c r="AC23" s="256"/>
      <c r="AD23" s="256"/>
      <c r="AE23" s="256" t="s">
        <v>415</v>
      </c>
      <c r="AF23" s="256"/>
      <c r="AG23" s="256"/>
    </row>
    <row r="24" spans="1:38" ht="14.25" customHeight="1">
      <c r="A24" s="494" t="s">
        <v>847</v>
      </c>
      <c r="B24" s="91" t="s">
        <v>1341</v>
      </c>
      <c r="C24" s="91"/>
      <c r="D24" s="91"/>
      <c r="E24" s="91"/>
      <c r="F24" s="91"/>
      <c r="G24" s="91"/>
      <c r="L24" s="559">
        <v>4</v>
      </c>
      <c r="M24" s="256"/>
      <c r="N24" s="256"/>
      <c r="O24" s="256" t="s">
        <v>152</v>
      </c>
      <c r="P24" s="256"/>
      <c r="Q24" s="256"/>
      <c r="R24" s="256" t="s">
        <v>152</v>
      </c>
      <c r="S24" s="256"/>
      <c r="T24" s="256"/>
      <c r="U24" s="559"/>
      <c r="V24" s="560" t="s">
        <v>170</v>
      </c>
      <c r="W24" s="561" t="s">
        <v>411</v>
      </c>
      <c r="Y24" s="256" t="s">
        <v>410</v>
      </c>
      <c r="Z24" s="1358"/>
      <c r="AA24" s="1359"/>
      <c r="AB24" s="256" t="s">
        <v>410</v>
      </c>
      <c r="AC24" s="1358"/>
      <c r="AD24" s="1359"/>
      <c r="AE24" s="256" t="s">
        <v>410</v>
      </c>
      <c r="AF24" s="256"/>
      <c r="AG24" s="256"/>
    </row>
    <row r="25" spans="1:38" ht="14.25" customHeight="1">
      <c r="A25" s="153" t="s">
        <v>848</v>
      </c>
      <c r="B25" s="91" t="s">
        <v>1341</v>
      </c>
      <c r="C25" s="91"/>
      <c r="D25" s="91"/>
      <c r="E25" s="91"/>
      <c r="F25" s="91"/>
      <c r="G25" s="91"/>
      <c r="L25" s="559">
        <v>6</v>
      </c>
      <c r="M25" s="256"/>
      <c r="N25" s="256"/>
      <c r="O25" s="256" t="s">
        <v>415</v>
      </c>
      <c r="P25" s="256"/>
      <c r="Q25" s="256"/>
      <c r="R25" s="256" t="s">
        <v>415</v>
      </c>
      <c r="S25" s="256"/>
      <c r="T25" s="256"/>
      <c r="U25" s="559">
        <v>2</v>
      </c>
      <c r="V25" s="559"/>
      <c r="W25" s="559"/>
      <c r="Y25" s="291" t="s">
        <v>156</v>
      </c>
      <c r="Z25" s="291"/>
      <c r="AA25" s="256"/>
      <c r="AB25" s="291" t="s">
        <v>156</v>
      </c>
      <c r="AC25" s="291"/>
      <c r="AD25" s="256"/>
      <c r="AE25" s="291" t="s">
        <v>156</v>
      </c>
      <c r="AF25" s="291"/>
      <c r="AG25" s="256"/>
    </row>
    <row r="26" spans="1:38" ht="14.25" customHeight="1">
      <c r="A26" s="1370" t="s">
        <v>1344</v>
      </c>
      <c r="B26" s="1370"/>
      <c r="C26" s="1370"/>
      <c r="D26" s="1370"/>
      <c r="E26" s="1370"/>
      <c r="F26" s="1370"/>
      <c r="G26" s="1370"/>
      <c r="L26" s="559">
        <v>8</v>
      </c>
      <c r="M26" s="256"/>
      <c r="N26" s="256"/>
      <c r="O26" s="256"/>
      <c r="P26" s="289" t="s">
        <v>170</v>
      </c>
      <c r="Q26" s="290" t="s">
        <v>411</v>
      </c>
      <c r="R26" s="256"/>
      <c r="S26" s="289" t="s">
        <v>170</v>
      </c>
      <c r="T26" s="290" t="s">
        <v>411</v>
      </c>
      <c r="U26" s="559">
        <v>4</v>
      </c>
      <c r="V26" s="559"/>
      <c r="W26" s="559"/>
      <c r="Y26" s="291" t="s">
        <v>155</v>
      </c>
      <c r="Z26" s="291"/>
      <c r="AA26" s="256"/>
      <c r="AB26" s="291" t="s">
        <v>155</v>
      </c>
      <c r="AC26" s="291"/>
      <c r="AD26" s="256"/>
      <c r="AE26" s="291" t="s">
        <v>155</v>
      </c>
      <c r="AF26" s="291"/>
      <c r="AG26" s="256"/>
    </row>
    <row r="27" spans="1:38" ht="14.25" customHeight="1">
      <c r="A27" s="292" t="s">
        <v>1342</v>
      </c>
      <c r="B27" s="292"/>
      <c r="C27" s="292"/>
      <c r="D27" s="292"/>
      <c r="E27" s="292"/>
      <c r="F27" s="292"/>
      <c r="G27" s="292"/>
      <c r="L27" s="559">
        <v>10</v>
      </c>
      <c r="M27" s="256"/>
      <c r="N27" s="256"/>
      <c r="O27" s="559">
        <v>2</v>
      </c>
      <c r="P27" s="559"/>
      <c r="Q27" s="559"/>
      <c r="R27" s="559">
        <v>2</v>
      </c>
      <c r="S27" s="256"/>
      <c r="T27" s="256"/>
      <c r="U27" s="559">
        <v>6</v>
      </c>
      <c r="V27" s="559"/>
      <c r="W27" s="559"/>
      <c r="Y27" s="291" t="s">
        <v>154</v>
      </c>
      <c r="Z27" s="291"/>
      <c r="AA27" s="256"/>
      <c r="AB27" s="291" t="s">
        <v>154</v>
      </c>
      <c r="AC27" s="291"/>
      <c r="AD27" s="256"/>
      <c r="AE27" s="291" t="s">
        <v>154</v>
      </c>
      <c r="AF27" s="291"/>
      <c r="AG27" s="256"/>
    </row>
    <row r="28" spans="1:38" ht="14.25" customHeight="1">
      <c r="A28" s="292" t="s">
        <v>1343</v>
      </c>
      <c r="B28" s="292"/>
      <c r="C28" s="292"/>
      <c r="D28" s="292"/>
      <c r="E28" s="292"/>
      <c r="F28" s="292"/>
      <c r="G28" s="292"/>
      <c r="L28" s="559">
        <v>12</v>
      </c>
      <c r="M28" s="256"/>
      <c r="N28" s="256"/>
      <c r="O28" s="559">
        <v>4</v>
      </c>
      <c r="P28" s="559"/>
      <c r="Q28" s="559"/>
      <c r="R28" s="559">
        <v>4</v>
      </c>
      <c r="S28" s="256"/>
      <c r="T28" s="256"/>
      <c r="U28" s="1364" t="s">
        <v>432</v>
      </c>
      <c r="V28" s="1365"/>
      <c r="W28" s="1366"/>
      <c r="Y28" s="291" t="s">
        <v>153</v>
      </c>
      <c r="Z28" s="291"/>
      <c r="AA28" s="256"/>
      <c r="AB28" s="291" t="s">
        <v>153</v>
      </c>
      <c r="AC28" s="291"/>
      <c r="AD28" s="256"/>
      <c r="AE28" s="291" t="s">
        <v>153</v>
      </c>
      <c r="AF28" s="291"/>
      <c r="AG28" s="256"/>
    </row>
    <row r="29" spans="1:38" ht="14.25" customHeight="1">
      <c r="A29" s="1371" t="s">
        <v>115</v>
      </c>
      <c r="B29" s="1371"/>
      <c r="C29" s="150" t="s">
        <v>173</v>
      </c>
      <c r="D29" s="1371" t="s">
        <v>118</v>
      </c>
      <c r="E29" s="1371"/>
      <c r="F29" s="1" t="s">
        <v>196</v>
      </c>
      <c r="G29" s="293" t="s">
        <v>22</v>
      </c>
      <c r="H29" s="294"/>
      <c r="L29" s="559">
        <v>14</v>
      </c>
      <c r="M29" s="256"/>
      <c r="N29" s="256"/>
      <c r="O29" s="559">
        <v>6</v>
      </c>
      <c r="P29" s="559"/>
      <c r="Q29" s="559"/>
      <c r="R29" s="559">
        <v>6</v>
      </c>
      <c r="S29" s="256"/>
      <c r="T29" s="256"/>
      <c r="U29" s="559" t="s">
        <v>152</v>
      </c>
      <c r="V29" s="559"/>
      <c r="W29" s="559"/>
      <c r="Y29" s="1360" t="s">
        <v>427</v>
      </c>
      <c r="Z29" s="1360"/>
      <c r="AA29" s="1360"/>
      <c r="AB29" s="1355" t="s">
        <v>518</v>
      </c>
      <c r="AC29" s="1356"/>
      <c r="AD29" s="1357"/>
      <c r="AE29" s="1355" t="s">
        <v>432</v>
      </c>
      <c r="AF29" s="1356"/>
      <c r="AG29" s="1357"/>
    </row>
    <row r="30" spans="1:38" ht="14.25" customHeight="1">
      <c r="A30" s="231" t="s">
        <v>152</v>
      </c>
      <c r="B30" s="295"/>
      <c r="C30" s="296"/>
      <c r="D30" s="231" t="s">
        <v>152</v>
      </c>
      <c r="E30" s="295"/>
      <c r="F30" s="643">
        <v>15</v>
      </c>
      <c r="G30" s="231" t="s">
        <v>152</v>
      </c>
      <c r="H30" s="295"/>
      <c r="L30" s="559">
        <v>16</v>
      </c>
      <c r="M30" s="256"/>
      <c r="N30" s="256"/>
      <c r="O30" s="559">
        <v>8</v>
      </c>
      <c r="P30" s="559"/>
      <c r="Q30" s="559"/>
      <c r="R30" s="559">
        <v>8</v>
      </c>
      <c r="S30" s="256"/>
      <c r="T30" s="256"/>
      <c r="U30" s="559" t="s">
        <v>415</v>
      </c>
      <c r="V30" s="559"/>
      <c r="W30" s="559"/>
      <c r="Y30" s="256" t="s">
        <v>152</v>
      </c>
      <c r="Z30" s="256"/>
      <c r="AA30" s="256"/>
      <c r="AB30" s="256" t="s">
        <v>152</v>
      </c>
      <c r="AC30" s="256"/>
      <c r="AD30" s="256"/>
      <c r="AE30" s="256" t="s">
        <v>152</v>
      </c>
      <c r="AF30" s="256"/>
      <c r="AG30" s="256"/>
    </row>
    <row r="31" spans="1:38" ht="14.25" customHeight="1">
      <c r="A31" s="231" t="s">
        <v>167</v>
      </c>
      <c r="B31" s="297"/>
      <c r="C31" s="297"/>
      <c r="D31" s="231" t="s">
        <v>167</v>
      </c>
      <c r="E31" s="297"/>
      <c r="F31" s="297"/>
      <c r="G31" s="231" t="s">
        <v>167</v>
      </c>
      <c r="H31" s="150" t="s">
        <v>282</v>
      </c>
      <c r="L31" s="559">
        <v>18</v>
      </c>
      <c r="M31" s="256"/>
      <c r="N31" s="256"/>
      <c r="O31" s="559">
        <v>10</v>
      </c>
      <c r="P31" s="559"/>
      <c r="Q31" s="559"/>
      <c r="R31" s="559">
        <v>10</v>
      </c>
      <c r="S31" s="256"/>
      <c r="T31" s="256"/>
      <c r="U31" s="559"/>
      <c r="V31" s="560" t="s">
        <v>170</v>
      </c>
      <c r="W31" s="561" t="s">
        <v>411</v>
      </c>
      <c r="Y31" s="256" t="s">
        <v>415</v>
      </c>
      <c r="Z31" s="256"/>
      <c r="AA31" s="256"/>
      <c r="AB31" s="256" t="s">
        <v>415</v>
      </c>
      <c r="AC31" s="256"/>
      <c r="AD31" s="256"/>
      <c r="AE31" s="256" t="s">
        <v>415</v>
      </c>
      <c r="AF31" s="256"/>
      <c r="AG31" s="256"/>
    </row>
    <row r="32" spans="1:38" ht="14.25" customHeight="1">
      <c r="A32" s="229" t="s">
        <v>168</v>
      </c>
      <c r="B32" s="1368"/>
      <c r="C32" s="1369"/>
      <c r="D32" s="229" t="s">
        <v>168</v>
      </c>
      <c r="E32" s="1377"/>
      <c r="F32" s="1377"/>
      <c r="G32" s="229" t="s">
        <v>1154</v>
      </c>
      <c r="H32" s="298">
        <v>21</v>
      </c>
      <c r="L32" s="559">
        <v>20</v>
      </c>
      <c r="M32" s="256"/>
      <c r="N32" s="256"/>
      <c r="O32" s="559">
        <v>12</v>
      </c>
      <c r="P32" s="559"/>
      <c r="Q32" s="559"/>
      <c r="R32" s="559">
        <v>12</v>
      </c>
      <c r="S32" s="256"/>
      <c r="T32" s="256"/>
      <c r="U32" s="559">
        <v>2</v>
      </c>
      <c r="V32" s="559"/>
      <c r="W32" s="559"/>
      <c r="Y32" s="256" t="s">
        <v>410</v>
      </c>
      <c r="Z32" s="1358"/>
      <c r="AA32" s="1359"/>
      <c r="AB32" s="256" t="s">
        <v>410</v>
      </c>
      <c r="AC32" s="1358"/>
      <c r="AD32" s="1359"/>
      <c r="AE32" s="256" t="s">
        <v>410</v>
      </c>
      <c r="AF32" s="256"/>
      <c r="AG32" s="256"/>
    </row>
    <row r="33" spans="1:33" ht="14.25" customHeight="1">
      <c r="A33" s="299" t="s">
        <v>169</v>
      </c>
      <c r="B33" s="299" t="s">
        <v>170</v>
      </c>
      <c r="C33" s="300" t="s">
        <v>171</v>
      </c>
      <c r="D33" s="299" t="s">
        <v>169</v>
      </c>
      <c r="E33" s="299" t="s">
        <v>170</v>
      </c>
      <c r="F33" s="300" t="s">
        <v>171</v>
      </c>
      <c r="G33" s="299" t="s">
        <v>170</v>
      </c>
      <c r="H33" s="300" t="s">
        <v>171</v>
      </c>
      <c r="L33" s="1355" t="s">
        <v>416</v>
      </c>
      <c r="M33" s="1356"/>
      <c r="N33" s="1357"/>
      <c r="O33" s="559">
        <v>14</v>
      </c>
      <c r="P33" s="559"/>
      <c r="Q33" s="559"/>
      <c r="R33" s="559">
        <v>14</v>
      </c>
      <c r="S33" s="256"/>
      <c r="T33" s="256"/>
      <c r="U33" s="559">
        <v>4</v>
      </c>
      <c r="V33" s="559"/>
      <c r="W33" s="559"/>
      <c r="Y33" s="291" t="s">
        <v>156</v>
      </c>
      <c r="Z33" s="291"/>
      <c r="AA33" s="256"/>
      <c r="AB33" s="291" t="s">
        <v>156</v>
      </c>
      <c r="AC33" s="291"/>
      <c r="AD33" s="256"/>
      <c r="AE33" s="291" t="s">
        <v>156</v>
      </c>
      <c r="AF33" s="291"/>
      <c r="AG33" s="256"/>
    </row>
    <row r="34" spans="1:33" ht="14.25" customHeight="1">
      <c r="A34" s="558">
        <v>2</v>
      </c>
      <c r="B34" s="91"/>
      <c r="C34" s="244"/>
      <c r="D34" s="558">
        <v>2</v>
      </c>
      <c r="E34" s="91"/>
      <c r="F34" s="91"/>
      <c r="G34" s="167" t="s">
        <v>22</v>
      </c>
      <c r="H34" s="167"/>
      <c r="I34" s="230" t="s">
        <v>366</v>
      </c>
      <c r="L34" s="256" t="s">
        <v>152</v>
      </c>
      <c r="M34" s="256"/>
      <c r="N34" s="256"/>
      <c r="O34" s="559">
        <v>16</v>
      </c>
      <c r="P34" s="559"/>
      <c r="Q34" s="559"/>
      <c r="R34" s="559">
        <v>16</v>
      </c>
      <c r="S34" s="256"/>
      <c r="T34" s="256"/>
      <c r="U34" s="559">
        <v>6</v>
      </c>
      <c r="V34" s="256"/>
      <c r="W34" s="256"/>
      <c r="Y34" s="291" t="s">
        <v>155</v>
      </c>
      <c r="Z34" s="291"/>
      <c r="AA34" s="256"/>
      <c r="AB34" s="291" t="s">
        <v>155</v>
      </c>
      <c r="AC34" s="291"/>
      <c r="AD34" s="256"/>
      <c r="AE34" s="291" t="s">
        <v>155</v>
      </c>
      <c r="AF34" s="291"/>
      <c r="AG34" s="256"/>
    </row>
    <row r="35" spans="1:33" ht="14.25" customHeight="1">
      <c r="A35" s="558">
        <v>4</v>
      </c>
      <c r="B35" s="91"/>
      <c r="C35" s="244"/>
      <c r="D35" s="558">
        <v>4</v>
      </c>
      <c r="E35" s="91"/>
      <c r="F35" s="91"/>
      <c r="G35" s="274"/>
      <c r="H35" s="301"/>
      <c r="I35" s="91"/>
      <c r="L35" s="256" t="s">
        <v>415</v>
      </c>
      <c r="M35" s="256"/>
      <c r="N35" s="256"/>
      <c r="O35" s="559">
        <v>18</v>
      </c>
      <c r="P35" s="559"/>
      <c r="Q35" s="559"/>
      <c r="R35" s="559">
        <v>18</v>
      </c>
      <c r="S35" s="256"/>
      <c r="T35" s="256"/>
      <c r="U35" s="257"/>
      <c r="Y35" s="291" t="s">
        <v>154</v>
      </c>
      <c r="Z35" s="291"/>
      <c r="AA35" s="256"/>
      <c r="AB35" s="291" t="s">
        <v>154</v>
      </c>
      <c r="AC35" s="291"/>
      <c r="AD35" s="256"/>
      <c r="AE35" s="291" t="s">
        <v>154</v>
      </c>
      <c r="AF35" s="291"/>
      <c r="AG35" s="256"/>
    </row>
    <row r="36" spans="1:33" ht="14.25" customHeight="1">
      <c r="A36" s="558">
        <v>6</v>
      </c>
      <c r="B36" s="91"/>
      <c r="C36" s="244"/>
      <c r="D36" s="558">
        <v>6</v>
      </c>
      <c r="E36" s="91"/>
      <c r="F36" s="91"/>
      <c r="G36" s="166" t="s">
        <v>177</v>
      </c>
      <c r="H36" s="302"/>
      <c r="I36" s="91"/>
      <c r="L36" s="290"/>
      <c r="M36" s="289" t="s">
        <v>170</v>
      </c>
      <c r="N36" s="290" t="s">
        <v>411</v>
      </c>
      <c r="O36" s="559">
        <v>20</v>
      </c>
      <c r="P36" s="559"/>
      <c r="Q36" s="559"/>
      <c r="R36" s="559">
        <v>20</v>
      </c>
      <c r="S36" s="256"/>
      <c r="T36" s="256"/>
      <c r="U36" s="257"/>
      <c r="Y36" s="291" t="s">
        <v>153</v>
      </c>
      <c r="Z36" s="291"/>
      <c r="AA36" s="256"/>
      <c r="AB36" s="291" t="s">
        <v>153</v>
      </c>
      <c r="AC36" s="291"/>
      <c r="AD36" s="256"/>
      <c r="AE36" s="291" t="s">
        <v>153</v>
      </c>
      <c r="AF36" s="291"/>
      <c r="AG36" s="256"/>
    </row>
    <row r="37" spans="1:33" ht="14.25" customHeight="1">
      <c r="A37" s="558">
        <v>8</v>
      </c>
      <c r="B37" s="91"/>
      <c r="C37" s="244"/>
      <c r="D37" s="558">
        <v>8</v>
      </c>
      <c r="E37" s="91"/>
      <c r="F37" s="91"/>
      <c r="G37" s="274"/>
      <c r="H37" s="301"/>
      <c r="I37" s="91"/>
      <c r="L37" s="559">
        <v>1</v>
      </c>
      <c r="M37" s="256"/>
      <c r="N37" s="256"/>
      <c r="O37" s="559">
        <v>22</v>
      </c>
      <c r="P37" s="559"/>
      <c r="Q37" s="559"/>
      <c r="R37" s="559">
        <v>22</v>
      </c>
      <c r="S37" s="256"/>
      <c r="T37" s="256"/>
      <c r="U37" s="257"/>
      <c r="Y37" s="1360" t="s">
        <v>426</v>
      </c>
      <c r="Z37" s="1360"/>
      <c r="AA37" s="1360"/>
      <c r="AB37" s="286" t="s">
        <v>408</v>
      </c>
      <c r="AC37" s="286" t="s">
        <v>409</v>
      </c>
      <c r="AD37" s="286"/>
    </row>
    <row r="38" spans="1:33" ht="14.25" customHeight="1">
      <c r="A38" s="558">
        <v>10</v>
      </c>
      <c r="B38" s="91"/>
      <c r="C38" s="244"/>
      <c r="D38" s="558">
        <v>10</v>
      </c>
      <c r="E38" s="91"/>
      <c r="F38" s="91"/>
      <c r="G38" s="1372" t="s">
        <v>178</v>
      </c>
      <c r="H38" s="1373"/>
      <c r="I38" s="91"/>
      <c r="L38" s="559">
        <v>2</v>
      </c>
      <c r="M38" s="256"/>
      <c r="N38" s="256"/>
      <c r="O38" s="559">
        <v>24</v>
      </c>
      <c r="P38" s="559"/>
      <c r="Q38" s="559"/>
      <c r="R38" s="559">
        <v>24</v>
      </c>
      <c r="S38" s="256"/>
      <c r="T38" s="256"/>
      <c r="U38" s="257"/>
      <c r="Y38" s="256" t="s">
        <v>152</v>
      </c>
      <c r="Z38" s="256"/>
      <c r="AA38" s="256"/>
      <c r="AB38" s="256" t="s">
        <v>152</v>
      </c>
      <c r="AC38" s="256"/>
      <c r="AD38" s="287"/>
    </row>
    <row r="39" spans="1:33" ht="14.25" customHeight="1">
      <c r="A39" s="558">
        <v>12</v>
      </c>
      <c r="B39" s="91"/>
      <c r="C39" s="244"/>
      <c r="D39" s="558">
        <v>12</v>
      </c>
      <c r="E39" s="154"/>
      <c r="F39" s="91"/>
      <c r="G39" s="274"/>
      <c r="H39" s="301"/>
      <c r="I39" s="91"/>
      <c r="L39" s="559">
        <v>3</v>
      </c>
      <c r="M39" s="256"/>
      <c r="N39" s="256"/>
      <c r="O39" s="559">
        <v>26</v>
      </c>
      <c r="P39" s="559"/>
      <c r="Q39" s="559"/>
      <c r="R39" s="559">
        <v>26</v>
      </c>
      <c r="S39" s="256"/>
      <c r="T39" s="256"/>
      <c r="U39" s="257"/>
      <c r="Y39" s="256" t="s">
        <v>415</v>
      </c>
      <c r="Z39" s="256"/>
      <c r="AA39" s="256"/>
      <c r="AB39" s="256" t="s">
        <v>415</v>
      </c>
      <c r="AC39" s="256"/>
      <c r="AD39" s="256"/>
    </row>
    <row r="40" spans="1:33" ht="14.25" customHeight="1">
      <c r="A40" s="558">
        <v>14</v>
      </c>
      <c r="B40" s="91"/>
      <c r="C40" s="91"/>
      <c r="D40" s="558">
        <v>14</v>
      </c>
      <c r="E40" s="154"/>
      <c r="F40" s="91"/>
      <c r="G40" s="303"/>
      <c r="L40" s="1355" t="s">
        <v>519</v>
      </c>
      <c r="M40" s="1356"/>
      <c r="N40" s="1357"/>
      <c r="O40" s="559">
        <v>28</v>
      </c>
      <c r="P40" s="559"/>
      <c r="Q40" s="559"/>
      <c r="R40" s="559">
        <v>28</v>
      </c>
      <c r="S40" s="256"/>
      <c r="T40" s="256"/>
      <c r="U40" s="257"/>
      <c r="Y40" s="256" t="s">
        <v>410</v>
      </c>
      <c r="Z40" s="256"/>
      <c r="AA40" s="256"/>
      <c r="AB40" s="256" t="s">
        <v>410</v>
      </c>
      <c r="AC40" s="1358"/>
      <c r="AD40" s="1359"/>
    </row>
    <row r="41" spans="1:33" ht="14.25" customHeight="1">
      <c r="A41" s="558"/>
      <c r="B41" s="91"/>
      <c r="C41" s="91"/>
      <c r="D41" s="558">
        <v>16</v>
      </c>
      <c r="E41" s="154"/>
      <c r="F41" s="91"/>
      <c r="G41" s="303"/>
      <c r="L41" s="256" t="s">
        <v>152</v>
      </c>
      <c r="M41" s="256"/>
      <c r="N41" s="287"/>
      <c r="O41" s="1364" t="s">
        <v>427</v>
      </c>
      <c r="P41" s="1365"/>
      <c r="Q41" s="1366"/>
      <c r="R41" s="559">
        <v>30</v>
      </c>
      <c r="S41" s="256"/>
      <c r="T41" s="256"/>
      <c r="U41" s="257"/>
      <c r="Y41" s="291" t="s">
        <v>156</v>
      </c>
      <c r="Z41" s="291"/>
      <c r="AA41" s="256"/>
      <c r="AB41" s="291" t="s">
        <v>156</v>
      </c>
      <c r="AC41" s="291"/>
      <c r="AD41" s="256"/>
    </row>
    <row r="42" spans="1:33" ht="14.25" customHeight="1">
      <c r="A42" s="558"/>
      <c r="B42" s="91"/>
      <c r="C42" s="91"/>
      <c r="D42" s="558">
        <v>18</v>
      </c>
      <c r="E42" s="154"/>
      <c r="F42" s="91"/>
      <c r="G42" s="303"/>
      <c r="L42" s="256" t="s">
        <v>415</v>
      </c>
      <c r="M42" s="256"/>
      <c r="N42" s="256"/>
      <c r="O42" s="256" t="s">
        <v>152</v>
      </c>
      <c r="P42" s="256"/>
      <c r="Q42" s="256"/>
      <c r="R42" s="1355" t="s">
        <v>430</v>
      </c>
      <c r="S42" s="1356"/>
      <c r="T42" s="1357"/>
      <c r="U42" s="350"/>
      <c r="Y42" s="291" t="s">
        <v>155</v>
      </c>
      <c r="Z42" s="291"/>
      <c r="AA42" s="256"/>
      <c r="AB42" s="291" t="s">
        <v>155</v>
      </c>
      <c r="AC42" s="291"/>
      <c r="AD42" s="256"/>
    </row>
    <row r="43" spans="1:33" ht="14.25" customHeight="1">
      <c r="A43" s="558"/>
      <c r="B43" s="91"/>
      <c r="C43" s="91"/>
      <c r="D43" s="558">
        <v>20</v>
      </c>
      <c r="E43" s="154"/>
      <c r="F43" s="91"/>
      <c r="G43" s="303"/>
      <c r="L43" s="256"/>
      <c r="M43" s="289" t="s">
        <v>170</v>
      </c>
      <c r="N43" s="290" t="s">
        <v>411</v>
      </c>
      <c r="O43" s="256" t="s">
        <v>415</v>
      </c>
      <c r="P43" s="256"/>
      <c r="Q43" s="256"/>
      <c r="R43" s="256" t="s">
        <v>152</v>
      </c>
      <c r="S43" s="256"/>
      <c r="T43" s="256"/>
      <c r="U43" s="257"/>
      <c r="Y43" s="291" t="s">
        <v>154</v>
      </c>
      <c r="Z43" s="291"/>
      <c r="AA43" s="256"/>
      <c r="AB43" s="291" t="s">
        <v>154</v>
      </c>
      <c r="AC43" s="291"/>
      <c r="AD43" s="256"/>
    </row>
    <row r="44" spans="1:33" ht="14.25" customHeight="1">
      <c r="A44" s="139" t="s">
        <v>219</v>
      </c>
      <c r="B44" s="1376" t="s">
        <v>221</v>
      </c>
      <c r="C44" s="1376"/>
      <c r="D44" s="1376"/>
      <c r="E44" s="1376"/>
      <c r="F44" s="1376"/>
      <c r="G44" s="285"/>
      <c r="L44" s="559">
        <v>2</v>
      </c>
      <c r="M44" s="559"/>
      <c r="N44" s="559"/>
      <c r="O44" s="559"/>
      <c r="P44" s="560" t="s">
        <v>170</v>
      </c>
      <c r="Q44" s="561" t="s">
        <v>411</v>
      </c>
      <c r="R44" s="559" t="s">
        <v>415</v>
      </c>
      <c r="S44" s="256"/>
      <c r="T44" s="256"/>
      <c r="U44" s="257"/>
      <c r="Y44" s="291" t="s">
        <v>153</v>
      </c>
      <c r="Z44" s="291"/>
      <c r="AA44" s="256"/>
      <c r="AB44" s="291" t="s">
        <v>153</v>
      </c>
      <c r="AC44" s="291"/>
      <c r="AD44" s="256"/>
    </row>
    <row r="45" spans="1:33" ht="14.25" customHeight="1" thickBot="1">
      <c r="A45" s="205" t="s">
        <v>229</v>
      </c>
      <c r="B45" s="206"/>
      <c r="C45" s="206"/>
      <c r="D45" s="304"/>
      <c r="E45" s="304"/>
      <c r="F45" s="304"/>
      <c r="G45" s="171"/>
      <c r="H45" s="171"/>
      <c r="L45" s="559">
        <v>4</v>
      </c>
      <c r="M45" s="559"/>
      <c r="N45" s="559"/>
      <c r="O45" s="559">
        <v>2</v>
      </c>
      <c r="P45" s="559"/>
      <c r="Q45" s="559"/>
      <c r="R45" s="559"/>
      <c r="S45" s="289" t="s">
        <v>170</v>
      </c>
      <c r="T45" s="290" t="s">
        <v>411</v>
      </c>
      <c r="U45" s="349"/>
      <c r="Y45" s="1361" t="s">
        <v>425</v>
      </c>
      <c r="Z45" s="1362"/>
      <c r="AA45" s="1363"/>
      <c r="AB45" s="1355" t="s">
        <v>414</v>
      </c>
      <c r="AC45" s="1356"/>
      <c r="AD45" s="1357"/>
    </row>
    <row r="46" spans="1:33" ht="14.25" customHeight="1" thickBot="1">
      <c r="A46" s="91" t="s">
        <v>230</v>
      </c>
      <c r="B46" s="20"/>
      <c r="C46" s="305"/>
      <c r="D46" s="304"/>
      <c r="E46" s="304"/>
      <c r="F46" s="304"/>
      <c r="G46" s="171"/>
      <c r="H46" s="171"/>
      <c r="L46" s="559">
        <v>6</v>
      </c>
      <c r="M46" s="559"/>
      <c r="N46" s="559"/>
      <c r="O46" s="559">
        <v>4</v>
      </c>
      <c r="P46" s="559"/>
      <c r="Q46" s="559"/>
      <c r="R46" s="559">
        <v>2</v>
      </c>
      <c r="S46" s="256"/>
      <c r="T46" s="256"/>
      <c r="U46" s="257"/>
      <c r="Y46" s="256" t="s">
        <v>152</v>
      </c>
      <c r="Z46" s="256"/>
      <c r="AA46" s="256"/>
      <c r="AB46" s="256" t="s">
        <v>152</v>
      </c>
      <c r="AC46" s="256"/>
      <c r="AD46" s="256"/>
    </row>
    <row r="47" spans="1:33" ht="14.25" customHeight="1" thickBot="1">
      <c r="A47" s="91" t="s">
        <v>220</v>
      </c>
      <c r="B47" s="306"/>
      <c r="C47" s="305"/>
      <c r="D47" s="305"/>
      <c r="E47" s="305"/>
      <c r="F47" s="305"/>
      <c r="G47" s="171"/>
      <c r="H47" s="171"/>
      <c r="L47" s="559">
        <v>8</v>
      </c>
      <c r="M47" s="559"/>
      <c r="N47" s="559"/>
      <c r="O47" s="559">
        <v>6</v>
      </c>
      <c r="P47" s="559"/>
      <c r="Q47" s="559"/>
      <c r="R47" s="559">
        <v>4</v>
      </c>
      <c r="S47" s="256"/>
      <c r="T47" s="256"/>
      <c r="U47" s="257"/>
      <c r="Y47" s="256" t="s">
        <v>415</v>
      </c>
      <c r="Z47" s="256"/>
      <c r="AA47" s="256"/>
      <c r="AB47" s="256" t="s">
        <v>415</v>
      </c>
      <c r="AC47" s="256"/>
      <c r="AD47" s="256"/>
    </row>
    <row r="48" spans="1:33" ht="14.25" customHeight="1" thickBot="1">
      <c r="A48" s="216" t="s">
        <v>358</v>
      </c>
      <c r="B48" s="306"/>
      <c r="C48" s="305"/>
      <c r="D48" s="305"/>
      <c r="E48" s="305"/>
      <c r="F48" s="305"/>
      <c r="G48" s="171"/>
      <c r="H48" s="171"/>
      <c r="L48" s="559">
        <v>10</v>
      </c>
      <c r="M48" s="559"/>
      <c r="N48" s="559"/>
      <c r="O48" s="559">
        <v>8</v>
      </c>
      <c r="P48" s="559"/>
      <c r="Q48" s="559"/>
      <c r="R48" s="559">
        <v>6</v>
      </c>
      <c r="S48" s="256"/>
      <c r="T48" s="256"/>
      <c r="U48" s="257"/>
      <c r="Y48" s="256" t="s">
        <v>410</v>
      </c>
      <c r="Z48" s="256"/>
      <c r="AA48" s="256"/>
      <c r="AB48" s="256" t="s">
        <v>410</v>
      </c>
      <c r="AC48" s="1358"/>
      <c r="AD48" s="1359"/>
    </row>
    <row r="49" spans="1:30" ht="14.25" customHeight="1" thickBot="1">
      <c r="A49" s="216" t="s">
        <v>359</v>
      </c>
      <c r="B49" s="306"/>
      <c r="C49" s="305"/>
      <c r="D49" s="305"/>
      <c r="E49" s="305"/>
      <c r="F49" s="305"/>
      <c r="G49" s="171"/>
      <c r="H49" s="171"/>
      <c r="L49" s="559">
        <v>12</v>
      </c>
      <c r="M49" s="559"/>
      <c r="N49" s="559"/>
      <c r="O49" s="559">
        <v>10</v>
      </c>
      <c r="P49" s="559"/>
      <c r="Q49" s="559"/>
      <c r="R49" s="559">
        <v>8</v>
      </c>
      <c r="S49" s="256"/>
      <c r="T49" s="256"/>
      <c r="U49" s="257"/>
      <c r="Y49" s="291" t="s">
        <v>156</v>
      </c>
      <c r="Z49" s="291"/>
      <c r="AA49" s="256"/>
      <c r="AB49" s="291" t="s">
        <v>156</v>
      </c>
      <c r="AC49" s="291"/>
      <c r="AD49" s="256"/>
    </row>
    <row r="50" spans="1:30" ht="14.25" customHeight="1" thickBot="1">
      <c r="A50" s="91" t="s">
        <v>222</v>
      </c>
      <c r="B50" s="306"/>
      <c r="C50" s="305"/>
      <c r="D50" s="305"/>
      <c r="E50" s="305"/>
      <c r="F50" s="305"/>
      <c r="G50" s="215"/>
      <c r="L50" s="559">
        <v>14</v>
      </c>
      <c r="M50" s="559"/>
      <c r="N50" s="559"/>
      <c r="O50" s="559">
        <v>12</v>
      </c>
      <c r="P50" s="559"/>
      <c r="Q50" s="559"/>
      <c r="R50" s="559">
        <v>10</v>
      </c>
      <c r="S50" s="256"/>
      <c r="T50" s="256"/>
      <c r="U50" s="257"/>
      <c r="Y50" s="291" t="s">
        <v>155</v>
      </c>
      <c r="Z50" s="291"/>
      <c r="AA50" s="256"/>
      <c r="AB50" s="291" t="s">
        <v>155</v>
      </c>
      <c r="AC50" s="291"/>
      <c r="AD50" s="256"/>
    </row>
    <row r="51" spans="1:30" ht="14.25" customHeight="1" thickBot="1">
      <c r="A51" s="91" t="s">
        <v>223</v>
      </c>
      <c r="B51" s="306"/>
      <c r="C51" s="305"/>
      <c r="D51" s="305"/>
      <c r="E51" s="305"/>
      <c r="F51" s="305"/>
      <c r="G51" s="215"/>
      <c r="L51" s="559">
        <v>16</v>
      </c>
      <c r="M51" s="559"/>
      <c r="N51" s="559"/>
      <c r="O51" s="559">
        <v>14</v>
      </c>
      <c r="P51" s="559"/>
      <c r="Q51" s="559"/>
      <c r="R51" s="559">
        <v>12</v>
      </c>
      <c r="S51" s="256"/>
      <c r="T51" s="256"/>
      <c r="U51" s="257"/>
      <c r="Y51" s="291" t="s">
        <v>154</v>
      </c>
      <c r="Z51" s="291"/>
      <c r="AA51" s="256"/>
      <c r="AB51" s="291" t="s">
        <v>154</v>
      </c>
      <c r="AC51" s="291"/>
      <c r="AD51" s="256"/>
    </row>
    <row r="52" spans="1:30" ht="14.25" customHeight="1" thickBot="1">
      <c r="A52" s="216" t="s">
        <v>365</v>
      </c>
      <c r="B52" s="306"/>
      <c r="C52" s="305"/>
      <c r="D52" s="305"/>
      <c r="E52" s="305"/>
      <c r="F52" s="305"/>
      <c r="G52" s="215"/>
      <c r="L52" s="559">
        <v>18</v>
      </c>
      <c r="M52" s="559"/>
      <c r="N52" s="559"/>
      <c r="O52" s="559">
        <v>16</v>
      </c>
      <c r="P52" s="559"/>
      <c r="Q52" s="559"/>
      <c r="R52" s="559">
        <v>14</v>
      </c>
      <c r="S52" s="256"/>
      <c r="T52" s="256"/>
      <c r="U52" s="257"/>
      <c r="Y52" s="291" t="s">
        <v>153</v>
      </c>
      <c r="Z52" s="291"/>
      <c r="AA52" s="256"/>
      <c r="AB52" s="291" t="s">
        <v>153</v>
      </c>
      <c r="AC52" s="291"/>
      <c r="AD52" s="256"/>
    </row>
    <row r="53" spans="1:30" ht="14.25" customHeight="1" thickBot="1">
      <c r="A53" s="91" t="s">
        <v>228</v>
      </c>
      <c r="B53" s="306"/>
      <c r="C53" s="305"/>
      <c r="D53" s="305"/>
      <c r="E53" s="305"/>
      <c r="F53" s="305"/>
      <c r="L53" s="559">
        <v>20</v>
      </c>
      <c r="M53" s="559"/>
      <c r="N53" s="559"/>
      <c r="O53" s="559">
        <v>18</v>
      </c>
      <c r="P53" s="559"/>
      <c r="Q53" s="559"/>
      <c r="R53" s="559">
        <v>16</v>
      </c>
      <c r="S53" s="256"/>
      <c r="T53" s="256"/>
      <c r="U53" s="257"/>
    </row>
    <row r="54" spans="1:30" ht="14.25" customHeight="1" thickBot="1">
      <c r="A54" s="91" t="s">
        <v>224</v>
      </c>
      <c r="B54" s="164"/>
      <c r="C54" s="304"/>
      <c r="D54" s="305"/>
      <c r="E54" s="305"/>
      <c r="F54" s="305"/>
      <c r="L54" s="1355" t="s">
        <v>421</v>
      </c>
      <c r="M54" s="1356"/>
      <c r="N54" s="1357"/>
      <c r="O54" s="559">
        <v>20</v>
      </c>
      <c r="P54" s="559"/>
      <c r="Q54" s="559"/>
      <c r="R54" s="559">
        <v>18</v>
      </c>
      <c r="S54" s="256"/>
      <c r="T54" s="256"/>
      <c r="U54" s="257"/>
    </row>
    <row r="55" spans="1:30" ht="14.25" customHeight="1">
      <c r="A55" s="228" t="s">
        <v>364</v>
      </c>
      <c r="B55" s="172"/>
      <c r="C55" s="98"/>
      <c r="D55" s="98"/>
      <c r="E55" s="98"/>
      <c r="F55" s="98"/>
      <c r="L55" s="256" t="s">
        <v>152</v>
      </c>
      <c r="M55" s="256"/>
      <c r="N55" s="256"/>
      <c r="O55" s="559">
        <v>22</v>
      </c>
      <c r="P55" s="559"/>
      <c r="Q55" s="559"/>
      <c r="R55" s="559">
        <v>20</v>
      </c>
      <c r="S55" s="256"/>
      <c r="T55" s="256"/>
      <c r="U55" s="257"/>
    </row>
    <row r="56" spans="1:30" ht="14.25" customHeight="1">
      <c r="A56" s="1" t="s">
        <v>190</v>
      </c>
      <c r="C56" s="17" t="s">
        <v>191</v>
      </c>
      <c r="D56" s="385">
        <v>41645</v>
      </c>
      <c r="L56" s="256" t="s">
        <v>415</v>
      </c>
      <c r="M56" s="256"/>
      <c r="N56" s="256"/>
      <c r="O56" s="559">
        <v>24</v>
      </c>
      <c r="P56" s="559"/>
      <c r="Q56" s="559"/>
      <c r="R56" s="562"/>
      <c r="S56" s="91"/>
      <c r="T56" s="91"/>
      <c r="U56" s="350"/>
    </row>
    <row r="57" spans="1:30" ht="14.25" customHeight="1">
      <c r="A57" s="95" t="s">
        <v>197</v>
      </c>
      <c r="B57" s="284" t="s">
        <v>152</v>
      </c>
      <c r="C57" s="284" t="s">
        <v>153</v>
      </c>
      <c r="D57" s="284" t="s">
        <v>154</v>
      </c>
      <c r="E57" s="284" t="s">
        <v>155</v>
      </c>
      <c r="F57" s="284" t="s">
        <v>156</v>
      </c>
      <c r="G57" s="95" t="s">
        <v>166</v>
      </c>
      <c r="H57" s="95" t="s">
        <v>176</v>
      </c>
      <c r="L57" s="256"/>
      <c r="M57" s="289" t="s">
        <v>170</v>
      </c>
      <c r="N57" s="290" t="s">
        <v>411</v>
      </c>
      <c r="O57" s="559">
        <v>26</v>
      </c>
      <c r="P57" s="559"/>
      <c r="Q57" s="559"/>
      <c r="R57" s="562"/>
      <c r="S57" s="91"/>
      <c r="T57" s="91"/>
      <c r="U57" s="257"/>
    </row>
    <row r="58" spans="1:30" ht="14.25" customHeight="1">
      <c r="A58" s="283" t="s">
        <v>350</v>
      </c>
      <c r="B58" s="91"/>
      <c r="C58" s="233"/>
      <c r="D58" s="233"/>
      <c r="E58" s="233"/>
      <c r="F58" s="233"/>
      <c r="G58" s="288"/>
      <c r="H58" s="91"/>
      <c r="L58" s="256" t="s">
        <v>422</v>
      </c>
      <c r="M58" s="256"/>
      <c r="N58" s="256"/>
      <c r="O58" s="559">
        <v>28</v>
      </c>
      <c r="P58" s="559"/>
      <c r="Q58" s="559"/>
      <c r="R58" s="562"/>
      <c r="S58" s="91"/>
      <c r="T58" s="91"/>
      <c r="U58" s="257"/>
    </row>
    <row r="59" spans="1:30" ht="14.25" customHeight="1">
      <c r="A59" s="283" t="s">
        <v>157</v>
      </c>
      <c r="B59" s="91"/>
      <c r="C59" s="233"/>
      <c r="D59" s="233"/>
      <c r="E59" s="233"/>
      <c r="F59" s="233"/>
      <c r="G59" s="171"/>
      <c r="L59" s="91"/>
      <c r="M59" s="91"/>
      <c r="N59" s="91"/>
      <c r="O59" s="256"/>
      <c r="P59" s="256"/>
      <c r="Q59" s="256"/>
      <c r="R59" s="91"/>
      <c r="S59" s="91"/>
      <c r="T59" s="91"/>
      <c r="U59" s="349"/>
    </row>
    <row r="60" spans="1:30" ht="14.25" customHeight="1">
      <c r="A60" s="283" t="s">
        <v>351</v>
      </c>
      <c r="B60" s="91"/>
      <c r="C60" s="233"/>
      <c r="D60" s="233"/>
      <c r="E60" s="233"/>
      <c r="F60" s="233"/>
      <c r="G60" s="171"/>
      <c r="U60" s="257"/>
    </row>
    <row r="61" spans="1:30" ht="14.25" customHeight="1">
      <c r="A61" s="283" t="s">
        <v>158</v>
      </c>
      <c r="B61" s="91"/>
      <c r="C61" s="233"/>
      <c r="D61" s="233"/>
      <c r="E61" s="233"/>
      <c r="F61" s="233"/>
      <c r="G61" s="171"/>
      <c r="U61" s="257"/>
      <c r="X61" s="334"/>
      <c r="Y61" s="334"/>
    </row>
    <row r="62" spans="1:30" ht="14.25" customHeight="1">
      <c r="A62" s="283" t="s">
        <v>352</v>
      </c>
      <c r="B62" s="91"/>
      <c r="C62" s="233"/>
      <c r="D62" s="233"/>
      <c r="E62" s="233"/>
      <c r="F62" s="233"/>
      <c r="G62" s="171"/>
      <c r="L62" s="235" t="s">
        <v>417</v>
      </c>
      <c r="M62" s="1367" t="s">
        <v>1093</v>
      </c>
      <c r="N62" s="1367"/>
      <c r="O62" s="1367"/>
      <c r="P62" s="1367"/>
      <c r="Q62" s="1367"/>
      <c r="R62" s="235"/>
      <c r="S62" s="235"/>
      <c r="U62" s="257"/>
      <c r="X62" s="334"/>
      <c r="Y62" s="334"/>
    </row>
    <row r="63" spans="1:30" ht="14.25" customHeight="1">
      <c r="A63" s="283" t="s">
        <v>159</v>
      </c>
      <c r="B63" s="91"/>
      <c r="C63" s="233"/>
      <c r="D63" s="233"/>
      <c r="E63" s="233"/>
      <c r="F63" s="233"/>
      <c r="G63" s="171"/>
      <c r="L63" s="235" t="s">
        <v>419</v>
      </c>
      <c r="M63" s="235" t="s">
        <v>420</v>
      </c>
      <c r="N63" s="235"/>
      <c r="O63" s="235"/>
      <c r="P63" s="235"/>
      <c r="Q63" s="235"/>
      <c r="R63" s="235"/>
      <c r="S63" s="235"/>
      <c r="U63" s="348"/>
      <c r="X63" s="83"/>
      <c r="Y63" s="83"/>
    </row>
    <row r="64" spans="1:30" ht="14.25" customHeight="1">
      <c r="A64" s="283" t="s">
        <v>353</v>
      </c>
      <c r="B64" s="91"/>
      <c r="C64" s="233"/>
      <c r="D64" s="233"/>
      <c r="E64" s="233"/>
      <c r="F64" s="233"/>
      <c r="G64" s="171"/>
      <c r="L64" s="235" t="s">
        <v>6</v>
      </c>
      <c r="M64" s="235" t="s">
        <v>420</v>
      </c>
      <c r="N64" s="235"/>
      <c r="O64" s="235"/>
      <c r="P64" s="235"/>
      <c r="Q64" s="235"/>
      <c r="R64" s="235"/>
      <c r="S64" s="235"/>
      <c r="U64" s="257"/>
      <c r="X64" s="83"/>
      <c r="Y64" s="83"/>
    </row>
    <row r="65" spans="1:25" ht="14.25" customHeight="1">
      <c r="A65" s="283" t="s">
        <v>160</v>
      </c>
      <c r="B65" s="91"/>
      <c r="C65" s="233"/>
      <c r="D65" s="233"/>
      <c r="E65" s="233"/>
      <c r="F65" s="233"/>
      <c r="G65" s="171"/>
      <c r="L65" s="235" t="s">
        <v>150</v>
      </c>
      <c r="M65" s="268">
        <v>41810</v>
      </c>
      <c r="N65" s="235"/>
      <c r="O65" s="235"/>
      <c r="P65" s="235"/>
      <c r="Q65" s="235"/>
      <c r="R65" s="235"/>
      <c r="S65" s="235"/>
      <c r="U65" s="257"/>
      <c r="X65" s="334"/>
      <c r="Y65"/>
    </row>
    <row r="66" spans="1:25" ht="14.25" customHeight="1">
      <c r="A66" s="283" t="s">
        <v>161</v>
      </c>
      <c r="B66" s="91"/>
      <c r="C66" s="233"/>
      <c r="D66" s="233"/>
      <c r="E66" s="233"/>
      <c r="F66" s="233"/>
      <c r="G66" s="171"/>
      <c r="L66" s="286" t="s">
        <v>408</v>
      </c>
      <c r="M66" s="286" t="s">
        <v>409</v>
      </c>
      <c r="N66" s="286"/>
      <c r="O66" s="286" t="s">
        <v>408</v>
      </c>
      <c r="P66" s="286" t="s">
        <v>409</v>
      </c>
      <c r="Q66" s="286"/>
      <c r="U66" s="349"/>
      <c r="X66" s="336"/>
      <c r="Y66"/>
    </row>
    <row r="67" spans="1:25" ht="14.25" customHeight="1">
      <c r="A67" s="283" t="s">
        <v>162</v>
      </c>
      <c r="B67" s="91"/>
      <c r="C67" s="233"/>
      <c r="D67" s="233"/>
      <c r="E67" s="233"/>
      <c r="F67" s="233"/>
      <c r="G67" s="171"/>
      <c r="L67" s="256" t="s">
        <v>152</v>
      </c>
      <c r="M67" s="256"/>
      <c r="N67" s="256"/>
      <c r="O67" s="256" t="s">
        <v>152</v>
      </c>
      <c r="P67" s="256"/>
      <c r="Q67" s="287"/>
      <c r="U67" s="257"/>
      <c r="X67" s="334"/>
      <c r="Y67" s="334"/>
    </row>
    <row r="68" spans="1:25" ht="14.25" customHeight="1">
      <c r="A68" s="283" t="s">
        <v>163</v>
      </c>
      <c r="B68" s="105"/>
      <c r="C68" s="233"/>
      <c r="D68" s="233"/>
      <c r="E68" s="233"/>
      <c r="F68" s="233"/>
      <c r="G68" s="171"/>
      <c r="L68" s="256"/>
      <c r="M68" s="289" t="s">
        <v>170</v>
      </c>
      <c r="N68" s="290" t="s">
        <v>411</v>
      </c>
      <c r="O68" s="256" t="s">
        <v>415</v>
      </c>
      <c r="P68" s="256"/>
      <c r="Q68" s="256"/>
      <c r="U68" s="257"/>
      <c r="X68" s="334"/>
      <c r="Y68" s="334"/>
    </row>
    <row r="69" spans="1:25" ht="14.25" customHeight="1">
      <c r="A69" s="283" t="s">
        <v>164</v>
      </c>
      <c r="B69" s="105"/>
      <c r="C69" s="233"/>
      <c r="D69" s="233"/>
      <c r="E69" s="233"/>
      <c r="F69" s="233"/>
      <c r="G69" s="171"/>
      <c r="L69" s="256" t="s">
        <v>412</v>
      </c>
      <c r="M69" s="256"/>
      <c r="N69" s="256"/>
      <c r="O69" s="256" t="s">
        <v>410</v>
      </c>
      <c r="P69" s="1358"/>
      <c r="Q69" s="1359"/>
      <c r="U69" s="257"/>
      <c r="X69" s="337"/>
      <c r="Y69" s="335"/>
    </row>
    <row r="70" spans="1:25" ht="14.25" customHeight="1">
      <c r="A70" s="91"/>
      <c r="B70" s="91"/>
      <c r="C70" s="91"/>
      <c r="D70" s="91"/>
      <c r="E70" s="91"/>
      <c r="F70" s="91"/>
      <c r="L70" s="256" t="s">
        <v>413</v>
      </c>
      <c r="M70" s="256"/>
      <c r="N70" s="256"/>
      <c r="O70" s="291" t="s">
        <v>156</v>
      </c>
      <c r="P70" s="291"/>
      <c r="Q70" s="256"/>
      <c r="X70" s="334"/>
      <c r="Y70" s="334"/>
    </row>
    <row r="71" spans="1:25" ht="14.25" customHeight="1">
      <c r="A71" s="95" t="s">
        <v>198</v>
      </c>
      <c r="B71" s="284" t="s">
        <v>152</v>
      </c>
      <c r="C71" s="284" t="s">
        <v>153</v>
      </c>
      <c r="D71" s="284" t="s">
        <v>154</v>
      </c>
      <c r="E71" s="284" t="s">
        <v>155</v>
      </c>
      <c r="F71" s="284" t="s">
        <v>156</v>
      </c>
      <c r="G71" s="95" t="s">
        <v>166</v>
      </c>
      <c r="H71" s="95" t="s">
        <v>176</v>
      </c>
      <c r="L71" s="1355" t="s">
        <v>414</v>
      </c>
      <c r="M71" s="1356"/>
      <c r="N71" s="1357"/>
      <c r="O71" s="291" t="s">
        <v>155</v>
      </c>
      <c r="P71" s="291"/>
      <c r="Q71" s="256"/>
      <c r="X71" s="334"/>
      <c r="Y71"/>
    </row>
    <row r="72" spans="1:25" ht="14.25" customHeight="1">
      <c r="A72" s="283" t="s">
        <v>350</v>
      </c>
      <c r="B72" s="91"/>
      <c r="C72" s="233"/>
      <c r="D72" s="233"/>
      <c r="E72" s="233"/>
      <c r="F72" s="233"/>
      <c r="G72" s="288"/>
      <c r="H72" s="91"/>
      <c r="L72" s="256" t="s">
        <v>152</v>
      </c>
      <c r="M72" s="256"/>
      <c r="N72" s="287"/>
      <c r="O72" s="291" t="s">
        <v>154</v>
      </c>
      <c r="P72" s="291"/>
      <c r="Q72" s="256"/>
      <c r="X72" s="334"/>
      <c r="Y72" s="334"/>
    </row>
    <row r="73" spans="1:25" ht="14.25" customHeight="1">
      <c r="A73" s="283" t="s">
        <v>157</v>
      </c>
      <c r="B73" s="91"/>
      <c r="C73" s="233"/>
      <c r="D73" s="233"/>
      <c r="E73" s="233"/>
      <c r="F73" s="233"/>
      <c r="G73" s="171"/>
      <c r="L73" s="256" t="s">
        <v>415</v>
      </c>
      <c r="M73" s="256"/>
      <c r="N73" s="256"/>
      <c r="O73" s="291" t="s">
        <v>153</v>
      </c>
      <c r="P73" s="291"/>
      <c r="Q73" s="256"/>
      <c r="X73" s="334"/>
      <c r="Y73" s="334"/>
    </row>
    <row r="74" spans="1:25" ht="14.25" customHeight="1">
      <c r="A74" s="283" t="s">
        <v>351</v>
      </c>
      <c r="B74" s="91"/>
      <c r="C74" s="233"/>
      <c r="D74" s="233"/>
      <c r="E74" s="233"/>
      <c r="F74" s="233"/>
      <c r="G74" s="171"/>
      <c r="L74" s="256"/>
      <c r="M74" s="289" t="s">
        <v>170</v>
      </c>
      <c r="N74" s="290" t="s">
        <v>411</v>
      </c>
      <c r="O74" s="1355" t="s">
        <v>414</v>
      </c>
      <c r="P74" s="1356"/>
      <c r="Q74" s="1357"/>
      <c r="X74" s="334"/>
      <c r="Y74"/>
    </row>
    <row r="75" spans="1:25" ht="14.25" customHeight="1">
      <c r="A75" s="283" t="s">
        <v>158</v>
      </c>
      <c r="B75" s="91"/>
      <c r="C75" s="233"/>
      <c r="D75" s="233"/>
      <c r="E75" s="233"/>
      <c r="F75" s="233"/>
      <c r="G75" s="171"/>
      <c r="L75">
        <v>2</v>
      </c>
      <c r="M75" s="256"/>
      <c r="N75" s="256"/>
      <c r="O75" s="256" t="s">
        <v>152</v>
      </c>
      <c r="P75" s="256"/>
      <c r="Q75" s="256"/>
      <c r="X75" s="334"/>
      <c r="Y75"/>
    </row>
    <row r="76" spans="1:25" ht="14.25" customHeight="1">
      <c r="A76" s="283" t="s">
        <v>352</v>
      </c>
      <c r="B76" s="91"/>
      <c r="C76" s="233"/>
      <c r="D76" s="233"/>
      <c r="E76" s="233"/>
      <c r="F76" s="233"/>
      <c r="G76" s="171"/>
      <c r="L76">
        <v>4</v>
      </c>
      <c r="M76" s="256"/>
      <c r="N76" s="256"/>
      <c r="O76" s="256" t="s">
        <v>415</v>
      </c>
      <c r="P76" s="256"/>
      <c r="Q76" s="256"/>
      <c r="X76" s="334"/>
      <c r="Y76"/>
    </row>
    <row r="77" spans="1:25" ht="14.25" customHeight="1">
      <c r="A77" s="283" t="s">
        <v>159</v>
      </c>
      <c r="B77" s="91"/>
      <c r="C77" s="233"/>
      <c r="D77" s="233"/>
      <c r="E77" s="233"/>
      <c r="F77" s="233"/>
      <c r="G77" s="171"/>
      <c r="L77">
        <v>6</v>
      </c>
      <c r="M77" s="256"/>
      <c r="N77" s="256"/>
      <c r="O77" s="256" t="s">
        <v>410</v>
      </c>
      <c r="P77" s="1358"/>
      <c r="Q77" s="1359"/>
      <c r="X77" s="334"/>
      <c r="Y77" s="334"/>
    </row>
    <row r="78" spans="1:25" ht="14.25" customHeight="1">
      <c r="A78" s="283" t="s">
        <v>353</v>
      </c>
      <c r="B78" s="91"/>
      <c r="C78" s="233"/>
      <c r="D78" s="233"/>
      <c r="E78" s="233"/>
      <c r="F78" s="233"/>
      <c r="G78" s="171"/>
      <c r="L78">
        <v>8</v>
      </c>
      <c r="M78" s="256"/>
      <c r="N78" s="256"/>
      <c r="O78" s="291" t="s">
        <v>156</v>
      </c>
      <c r="P78" s="291"/>
      <c r="Q78" s="256"/>
    </row>
    <row r="79" spans="1:25" ht="14.25" customHeight="1">
      <c r="A79" s="283" t="s">
        <v>160</v>
      </c>
      <c r="B79" s="91"/>
      <c r="C79" s="233"/>
      <c r="D79" s="233"/>
      <c r="E79" s="233"/>
      <c r="F79" s="233"/>
      <c r="G79" s="171"/>
      <c r="L79">
        <v>10</v>
      </c>
      <c r="M79" s="256"/>
      <c r="N79" s="256"/>
      <c r="O79" s="291" t="s">
        <v>155</v>
      </c>
      <c r="P79" s="291"/>
      <c r="Q79" s="256"/>
    </row>
    <row r="80" spans="1:25" ht="14.25" customHeight="1">
      <c r="A80" s="283" t="s">
        <v>161</v>
      </c>
      <c r="B80" s="91"/>
      <c r="C80" s="233"/>
      <c r="D80" s="233"/>
      <c r="E80" s="233"/>
      <c r="F80" s="233"/>
      <c r="G80" s="171"/>
      <c r="L80">
        <v>12</v>
      </c>
      <c r="M80" s="91"/>
      <c r="N80" s="91"/>
      <c r="O80" s="291" t="s">
        <v>154</v>
      </c>
      <c r="P80" s="291"/>
      <c r="Q80" s="256"/>
    </row>
    <row r="81" spans="1:21" ht="14.25" customHeight="1">
      <c r="A81" s="153" t="s">
        <v>162</v>
      </c>
      <c r="B81" s="105"/>
      <c r="C81" s="233"/>
      <c r="D81" s="233"/>
      <c r="E81" s="233"/>
      <c r="F81" s="233"/>
      <c r="G81" s="171"/>
      <c r="L81" s="91"/>
      <c r="M81" s="91"/>
      <c r="N81" s="91"/>
      <c r="O81" s="291" t="s">
        <v>153</v>
      </c>
      <c r="P81" s="291"/>
      <c r="Q81" s="256"/>
    </row>
    <row r="82" spans="1:21" ht="14.25" customHeight="1">
      <c r="A82" s="153" t="s">
        <v>163</v>
      </c>
      <c r="B82" s="105"/>
      <c r="C82" s="233"/>
      <c r="D82" s="233"/>
      <c r="E82" s="233"/>
      <c r="F82" s="233"/>
      <c r="G82" s="171"/>
      <c r="L82" s="1304" t="s">
        <v>517</v>
      </c>
      <c r="M82" s="1305"/>
      <c r="N82" s="1306"/>
      <c r="O82" s="1304" t="s">
        <v>1047</v>
      </c>
      <c r="P82" s="1305"/>
      <c r="Q82" s="1306"/>
    </row>
    <row r="83" spans="1:21" ht="14.25" customHeight="1">
      <c r="A83" s="153" t="s">
        <v>164</v>
      </c>
      <c r="B83" s="105"/>
      <c r="C83" s="233"/>
      <c r="D83" s="233"/>
      <c r="E83" s="233"/>
      <c r="F83" s="233"/>
      <c r="G83" s="171"/>
      <c r="L83" s="169" t="s">
        <v>152</v>
      </c>
      <c r="M83" s="1310"/>
      <c r="N83" s="1311"/>
      <c r="O83" s="169" t="s">
        <v>152</v>
      </c>
      <c r="P83" s="1310"/>
      <c r="Q83" s="1311"/>
      <c r="R83" s="215"/>
      <c r="S83" s="215"/>
      <c r="T83" s="215"/>
      <c r="U83" s="215"/>
    </row>
    <row r="84" spans="1:21" ht="14.25" customHeight="1">
      <c r="A84" s="91"/>
      <c r="B84" s="91"/>
      <c r="C84" s="91"/>
      <c r="D84" s="91"/>
      <c r="E84" s="91"/>
      <c r="F84" s="91"/>
      <c r="L84" s="231" t="s">
        <v>367</v>
      </c>
      <c r="M84" s="1310"/>
      <c r="N84" s="1311"/>
      <c r="O84" s="231" t="s">
        <v>367</v>
      </c>
      <c r="P84" s="1310"/>
      <c r="Q84" s="1311"/>
      <c r="R84" s="215"/>
      <c r="S84" s="215"/>
      <c r="T84" s="215"/>
      <c r="U84" s="215"/>
    </row>
    <row r="85" spans="1:21" ht="14.25" customHeight="1">
      <c r="A85" s="95" t="s">
        <v>199</v>
      </c>
      <c r="B85" s="284" t="s">
        <v>152</v>
      </c>
      <c r="C85" s="284" t="s">
        <v>153</v>
      </c>
      <c r="D85" s="284" t="s">
        <v>154</v>
      </c>
      <c r="E85" s="284" t="s">
        <v>155</v>
      </c>
      <c r="F85" s="284" t="s">
        <v>156</v>
      </c>
      <c r="G85" s="95" t="s">
        <v>166</v>
      </c>
      <c r="H85" s="95" t="s">
        <v>176</v>
      </c>
      <c r="L85" s="170" t="s">
        <v>168</v>
      </c>
      <c r="M85" s="1310"/>
      <c r="N85" s="1311"/>
      <c r="O85" s="170" t="s">
        <v>168</v>
      </c>
      <c r="P85" s="1310"/>
      <c r="Q85" s="1311"/>
      <c r="R85" s="215"/>
      <c r="S85" s="215"/>
      <c r="T85" s="215"/>
      <c r="U85" s="215"/>
    </row>
    <row r="86" spans="1:21" ht="14.25" customHeight="1">
      <c r="A86" s="283" t="s">
        <v>350</v>
      </c>
      <c r="B86" s="91"/>
      <c r="C86" s="233"/>
      <c r="D86" s="233"/>
      <c r="E86" s="233"/>
      <c r="F86" s="233"/>
      <c r="G86" s="288"/>
      <c r="H86" s="91"/>
      <c r="L86" s="158" t="s">
        <v>169</v>
      </c>
      <c r="M86" s="158" t="s">
        <v>170</v>
      </c>
      <c r="N86" s="159" t="s">
        <v>171</v>
      </c>
      <c r="O86" s="158" t="s">
        <v>169</v>
      </c>
      <c r="P86" s="158" t="s">
        <v>170</v>
      </c>
      <c r="Q86" s="159" t="s">
        <v>171</v>
      </c>
      <c r="R86" s="215"/>
      <c r="S86" s="215"/>
      <c r="T86" s="215"/>
      <c r="U86" s="215"/>
    </row>
    <row r="87" spans="1:21" ht="14.25" customHeight="1">
      <c r="A87" s="283" t="s">
        <v>157</v>
      </c>
      <c r="B87" s="91"/>
      <c r="C87" s="233"/>
      <c r="D87" s="233"/>
      <c r="E87" s="233"/>
      <c r="F87" s="233"/>
      <c r="G87" s="171"/>
      <c r="L87" s="137">
        <v>1</v>
      </c>
      <c r="M87" s="567"/>
      <c r="N87" s="563"/>
      <c r="O87" s="137">
        <v>1</v>
      </c>
      <c r="P87" s="73"/>
      <c r="Q87" s="53"/>
      <c r="R87" s="215"/>
      <c r="S87" s="215"/>
      <c r="T87" s="215"/>
      <c r="U87" s="215"/>
    </row>
    <row r="88" spans="1:21" ht="14.25" customHeight="1">
      <c r="A88" s="283" t="s">
        <v>351</v>
      </c>
      <c r="B88" s="91"/>
      <c r="C88" s="233"/>
      <c r="D88" s="233"/>
      <c r="E88" s="233"/>
      <c r="F88" s="233"/>
      <c r="G88" s="171"/>
      <c r="L88" s="137">
        <v>2</v>
      </c>
      <c r="M88" s="567"/>
      <c r="N88" s="567"/>
      <c r="O88" s="137">
        <v>2</v>
      </c>
      <c r="P88" s="73"/>
      <c r="Q88" s="73"/>
      <c r="R88" s="215"/>
      <c r="S88" s="215"/>
      <c r="T88" s="215"/>
      <c r="U88" s="215"/>
    </row>
    <row r="89" spans="1:21" ht="14.25" customHeight="1">
      <c r="A89" s="283" t="s">
        <v>158</v>
      </c>
      <c r="B89" s="91"/>
      <c r="C89" s="233"/>
      <c r="D89" s="233"/>
      <c r="E89" s="233"/>
      <c r="F89" s="233"/>
      <c r="G89" s="171"/>
      <c r="L89" s="82" t="s">
        <v>155</v>
      </c>
      <c r="M89" s="73"/>
      <c r="N89" s="73"/>
      <c r="O89" s="82" t="s">
        <v>155</v>
      </c>
      <c r="P89" s="73"/>
      <c r="Q89" s="73"/>
      <c r="R89" s="347"/>
      <c r="S89" s="347"/>
      <c r="T89" s="347"/>
      <c r="U89" s="347"/>
    </row>
    <row r="90" spans="1:21" ht="14.25" customHeight="1">
      <c r="A90" s="283" t="s">
        <v>352</v>
      </c>
      <c r="B90" s="91"/>
      <c r="C90" s="233"/>
      <c r="D90" s="233"/>
      <c r="E90" s="233"/>
      <c r="F90" s="233"/>
      <c r="G90" s="171"/>
      <c r="L90" s="82" t="s">
        <v>156</v>
      </c>
      <c r="M90" s="73"/>
      <c r="N90" s="73"/>
      <c r="O90" s="82" t="s">
        <v>156</v>
      </c>
      <c r="P90" s="73"/>
      <c r="Q90" s="73"/>
      <c r="R90" s="347"/>
      <c r="S90" s="347"/>
      <c r="T90" s="347"/>
      <c r="U90" s="347"/>
    </row>
    <row r="91" spans="1:21" ht="14.25" customHeight="1">
      <c r="A91" s="283" t="s">
        <v>159</v>
      </c>
      <c r="B91" s="91"/>
      <c r="C91" s="233"/>
      <c r="D91" s="233"/>
      <c r="E91" s="233"/>
      <c r="F91" s="233"/>
      <c r="G91" s="171"/>
      <c r="L91" s="82" t="s">
        <v>153</v>
      </c>
      <c r="M91" s="53"/>
      <c r="N91" s="53"/>
      <c r="O91" s="82" t="s">
        <v>153</v>
      </c>
      <c r="P91" s="53"/>
      <c r="Q91" s="53"/>
      <c r="R91" s="347"/>
      <c r="S91" s="347"/>
      <c r="T91" s="347"/>
      <c r="U91" s="347"/>
    </row>
    <row r="92" spans="1:21" ht="14.25" customHeight="1">
      <c r="A92" s="283" t="s">
        <v>353</v>
      </c>
      <c r="B92" s="91"/>
      <c r="C92" s="233"/>
      <c r="D92" s="233"/>
      <c r="E92" s="233"/>
      <c r="F92" s="233"/>
      <c r="G92" s="171"/>
      <c r="L92" s="82" t="s">
        <v>154</v>
      </c>
      <c r="M92" s="53"/>
      <c r="N92" s="53"/>
      <c r="O92" s="82" t="s">
        <v>154</v>
      </c>
      <c r="P92" s="53"/>
      <c r="Q92" s="53"/>
      <c r="R92" s="347"/>
      <c r="S92" s="347"/>
      <c r="T92" s="347"/>
      <c r="U92" s="347"/>
    </row>
    <row r="93" spans="1:21" ht="14.25" customHeight="1">
      <c r="A93" s="283" t="s">
        <v>160</v>
      </c>
      <c r="B93" s="91"/>
      <c r="C93" s="233"/>
      <c r="D93" s="233"/>
      <c r="E93" s="233"/>
      <c r="F93" s="233"/>
      <c r="G93" s="171"/>
      <c r="L93" s="347"/>
      <c r="M93" s="347"/>
      <c r="N93" s="347"/>
      <c r="O93" s="215"/>
      <c r="P93" s="215"/>
      <c r="Q93" s="215"/>
      <c r="R93" s="347"/>
      <c r="S93" s="347"/>
      <c r="T93" s="347"/>
      <c r="U93" s="347"/>
    </row>
    <row r="94" spans="1:21" ht="14.25" customHeight="1">
      <c r="A94" s="283" t="s">
        <v>161</v>
      </c>
      <c r="B94" s="91"/>
      <c r="C94" s="233"/>
      <c r="D94" s="233"/>
      <c r="E94" s="233"/>
      <c r="F94" s="233"/>
      <c r="G94" s="171"/>
      <c r="L94" s="347"/>
      <c r="M94" s="347"/>
      <c r="N94" s="347"/>
      <c r="O94" s="215"/>
      <c r="P94" s="215"/>
      <c r="Q94" s="215"/>
      <c r="R94" s="215"/>
      <c r="S94" s="215"/>
      <c r="T94" s="215"/>
      <c r="U94" s="215"/>
    </row>
    <row r="95" spans="1:21" ht="14.25" customHeight="1">
      <c r="A95" s="687" t="s">
        <v>162</v>
      </c>
      <c r="B95" s="91"/>
      <c r="C95" s="233"/>
      <c r="D95" s="233"/>
      <c r="E95" s="233"/>
      <c r="F95" s="233"/>
      <c r="G95" s="171"/>
      <c r="L95" s="347"/>
      <c r="M95" s="347"/>
      <c r="N95" s="347"/>
      <c r="O95" s="215"/>
      <c r="P95" s="215"/>
      <c r="Q95" s="215"/>
      <c r="R95" s="215"/>
      <c r="S95" s="215"/>
      <c r="T95" s="215"/>
      <c r="U95" s="215"/>
    </row>
    <row r="96" spans="1:21" ht="14.25" customHeight="1">
      <c r="A96" s="91"/>
      <c r="B96" s="91"/>
      <c r="C96" s="91"/>
      <c r="D96" s="91"/>
      <c r="E96" s="91"/>
      <c r="F96" s="91"/>
      <c r="L96" s="347"/>
      <c r="M96" s="347"/>
      <c r="N96" s="347"/>
      <c r="O96" s="215"/>
      <c r="P96" s="215"/>
      <c r="Q96" s="215"/>
      <c r="R96" s="215"/>
      <c r="S96" s="215"/>
      <c r="T96" s="215"/>
      <c r="U96" s="215"/>
    </row>
    <row r="97" spans="1:21" ht="14.25" customHeight="1">
      <c r="A97" s="95" t="s">
        <v>200</v>
      </c>
      <c r="B97" s="284" t="s">
        <v>152</v>
      </c>
      <c r="C97" s="284" t="s">
        <v>153</v>
      </c>
      <c r="D97" s="284" t="s">
        <v>154</v>
      </c>
      <c r="E97" s="284" t="s">
        <v>155</v>
      </c>
      <c r="F97" s="284" t="s">
        <v>156</v>
      </c>
      <c r="G97" s="95" t="s">
        <v>166</v>
      </c>
      <c r="H97" s="95" t="s">
        <v>176</v>
      </c>
      <c r="L97" s="347"/>
      <c r="M97" s="347"/>
      <c r="N97" s="347"/>
      <c r="O97" s="215"/>
      <c r="P97" s="215"/>
      <c r="Q97" s="215"/>
      <c r="R97" s="215"/>
      <c r="S97" s="215"/>
      <c r="T97" s="215"/>
      <c r="U97" s="215"/>
    </row>
    <row r="98" spans="1:21" ht="14.25" customHeight="1">
      <c r="A98" s="283" t="s">
        <v>350</v>
      </c>
      <c r="B98" s="91"/>
      <c r="C98" s="233"/>
      <c r="D98" s="233"/>
      <c r="E98" s="233"/>
      <c r="F98" s="233"/>
      <c r="G98" s="154"/>
      <c r="H98" s="91"/>
      <c r="L98" s="347"/>
      <c r="M98" s="347"/>
      <c r="N98" s="347"/>
      <c r="O98" s="215"/>
      <c r="P98" s="215"/>
      <c r="Q98" s="215"/>
      <c r="R98" s="215"/>
      <c r="S98" s="215"/>
      <c r="T98" s="215"/>
      <c r="U98" s="215"/>
    </row>
    <row r="99" spans="1:21" ht="14.25" customHeight="1">
      <c r="A99" s="283" t="s">
        <v>157</v>
      </c>
      <c r="B99" s="91"/>
      <c r="C99" s="233"/>
      <c r="D99" s="233"/>
      <c r="E99" s="233"/>
      <c r="F99" s="233"/>
      <c r="G99" s="171"/>
      <c r="L99" s="347"/>
      <c r="M99" s="347"/>
      <c r="N99" s="347"/>
      <c r="O99" s="215"/>
      <c r="P99" s="215"/>
      <c r="Q99" s="215"/>
      <c r="R99" s="215"/>
      <c r="S99" s="215"/>
      <c r="T99" s="215"/>
      <c r="U99" s="215"/>
    </row>
    <row r="100" spans="1:21" ht="14.25" customHeight="1">
      <c r="A100" s="283" t="s">
        <v>351</v>
      </c>
      <c r="B100" s="91"/>
      <c r="C100" s="233"/>
      <c r="D100" s="233"/>
      <c r="E100" s="233"/>
      <c r="F100" s="233"/>
      <c r="G100" s="171"/>
      <c r="L100" s="347"/>
      <c r="M100" s="347"/>
      <c r="N100" s="347"/>
      <c r="O100" s="215"/>
      <c r="P100" s="215"/>
      <c r="Q100" s="215"/>
      <c r="R100" s="215"/>
      <c r="S100" s="215"/>
      <c r="T100" s="215"/>
      <c r="U100" s="215"/>
    </row>
    <row r="101" spans="1:21" ht="14.25" customHeight="1">
      <c r="A101" s="283" t="s">
        <v>158</v>
      </c>
      <c r="B101" s="91"/>
      <c r="C101" s="233"/>
      <c r="D101" s="233"/>
      <c r="E101" s="233"/>
      <c r="F101" s="233"/>
      <c r="G101" s="171"/>
      <c r="L101" s="347"/>
      <c r="M101" s="347"/>
      <c r="N101" s="347"/>
      <c r="O101" s="215"/>
      <c r="P101" s="215"/>
      <c r="Q101" s="215"/>
      <c r="R101" s="215"/>
      <c r="S101" s="215"/>
      <c r="T101" s="215"/>
      <c r="U101" s="215"/>
    </row>
    <row r="102" spans="1:21" ht="14.25" customHeight="1">
      <c r="A102" s="283" t="s">
        <v>352</v>
      </c>
      <c r="B102" s="91"/>
      <c r="C102" s="233"/>
      <c r="D102" s="233"/>
      <c r="E102" s="233"/>
      <c r="F102" s="233"/>
      <c r="G102" s="171"/>
      <c r="L102" s="347"/>
      <c r="M102" s="347"/>
      <c r="N102" s="347"/>
      <c r="O102" s="347"/>
      <c r="P102" s="347"/>
      <c r="Q102" s="347"/>
      <c r="R102" s="215"/>
      <c r="S102" s="215"/>
      <c r="T102" s="215"/>
      <c r="U102" s="215"/>
    </row>
    <row r="103" spans="1:21" ht="14.25" customHeight="1">
      <c r="A103" s="283" t="s">
        <v>159</v>
      </c>
      <c r="B103" s="91"/>
      <c r="C103" s="233"/>
      <c r="D103" s="233"/>
      <c r="E103" s="233"/>
      <c r="F103" s="233"/>
      <c r="G103" s="171"/>
      <c r="L103" s="347"/>
      <c r="M103" s="347"/>
      <c r="N103" s="347"/>
      <c r="O103" s="347"/>
      <c r="P103" s="347"/>
      <c r="Q103" s="347"/>
      <c r="R103" s="347"/>
      <c r="S103" s="347"/>
      <c r="T103" s="347"/>
      <c r="U103" s="347"/>
    </row>
    <row r="104" spans="1:21" ht="14.25" customHeight="1">
      <c r="A104" s="283" t="s">
        <v>353</v>
      </c>
      <c r="B104" s="91"/>
      <c r="C104" s="233"/>
      <c r="D104" s="233"/>
      <c r="E104" s="233"/>
      <c r="F104" s="233"/>
      <c r="G104" s="171"/>
      <c r="L104" s="347"/>
      <c r="M104" s="347"/>
      <c r="N104" s="347"/>
      <c r="O104" s="347"/>
      <c r="P104" s="347"/>
      <c r="Q104" s="347"/>
      <c r="R104" s="347"/>
      <c r="S104" s="347"/>
      <c r="T104" s="347"/>
      <c r="U104" s="347"/>
    </row>
    <row r="105" spans="1:21" ht="14.25" customHeight="1">
      <c r="A105" s="283" t="s">
        <v>160</v>
      </c>
      <c r="B105" s="91"/>
      <c r="C105" s="233"/>
      <c r="D105" s="233"/>
      <c r="E105" s="233"/>
      <c r="F105" s="233"/>
      <c r="G105" s="171"/>
      <c r="L105" s="347"/>
      <c r="M105" s="347"/>
      <c r="N105" s="347"/>
      <c r="O105" s="347"/>
      <c r="P105" s="347"/>
      <c r="Q105" s="347"/>
      <c r="R105" s="347"/>
      <c r="S105" s="347"/>
      <c r="T105" s="347"/>
      <c r="U105" s="347"/>
    </row>
    <row r="106" spans="1:21" ht="14.25" customHeight="1">
      <c r="A106" s="283" t="s">
        <v>161</v>
      </c>
      <c r="B106" s="91"/>
      <c r="C106" s="233"/>
      <c r="D106" s="233"/>
      <c r="E106" s="233"/>
      <c r="F106" s="233"/>
      <c r="G106" s="171"/>
      <c r="L106" s="347"/>
      <c r="M106" s="347"/>
      <c r="N106" s="347"/>
      <c r="O106" s="215"/>
      <c r="P106" s="215"/>
      <c r="Q106" s="215"/>
      <c r="R106" s="347"/>
      <c r="S106" s="347"/>
      <c r="T106" s="347"/>
      <c r="U106" s="347"/>
    </row>
    <row r="107" spans="1:21" ht="14.25" customHeight="1">
      <c r="A107" s="283" t="s">
        <v>162</v>
      </c>
      <c r="B107" s="91"/>
      <c r="C107" s="91"/>
      <c r="D107" s="91"/>
      <c r="E107" s="91"/>
      <c r="F107" s="91"/>
      <c r="L107" s="347"/>
      <c r="M107" s="347"/>
      <c r="N107" s="347"/>
    </row>
    <row r="108" spans="1:21" ht="14.25" customHeight="1">
      <c r="A108" s="283" t="s">
        <v>163</v>
      </c>
      <c r="B108" s="280"/>
      <c r="C108" s="280"/>
      <c r="D108" s="280"/>
      <c r="E108" s="280"/>
      <c r="F108" s="280"/>
      <c r="G108" s="71"/>
      <c r="H108" s="71"/>
      <c r="L108" s="347"/>
      <c r="M108" s="347"/>
      <c r="N108" s="347"/>
    </row>
    <row r="109" spans="1:21" ht="14.25" customHeight="1">
      <c r="A109" s="283" t="s">
        <v>164</v>
      </c>
      <c r="B109" s="154"/>
      <c r="C109" s="154"/>
      <c r="D109" s="154"/>
      <c r="E109" s="154"/>
      <c r="F109" s="154"/>
      <c r="G109" s="215"/>
      <c r="H109" s="215"/>
      <c r="L109" s="347"/>
      <c r="M109" s="347"/>
      <c r="N109" s="347"/>
    </row>
    <row r="111" spans="1:21" ht="14.25" customHeight="1">
      <c r="A111" s="95" t="s">
        <v>373</v>
      </c>
      <c r="B111" s="284" t="s">
        <v>152</v>
      </c>
      <c r="C111" s="284" t="s">
        <v>153</v>
      </c>
      <c r="D111" s="284" t="s">
        <v>154</v>
      </c>
      <c r="E111" s="284" t="s">
        <v>155</v>
      </c>
      <c r="F111" s="284" t="s">
        <v>156</v>
      </c>
      <c r="G111" s="95" t="s">
        <v>166</v>
      </c>
      <c r="H111" s="95" t="s">
        <v>176</v>
      </c>
      <c r="L111" s="1380" t="s">
        <v>404</v>
      </c>
      <c r="M111" s="1380"/>
      <c r="N111" s="83"/>
      <c r="O111" s="83"/>
      <c r="P111" s="83"/>
      <c r="Q111" s="83"/>
      <c r="R111" s="83"/>
      <c r="S111" s="83"/>
    </row>
    <row r="112" spans="1:21" ht="14.25" customHeight="1">
      <c r="A112" s="283" t="s">
        <v>350</v>
      </c>
      <c r="B112" s="91"/>
      <c r="C112" s="233"/>
      <c r="D112" s="233"/>
      <c r="E112" s="233"/>
      <c r="F112" s="233"/>
      <c r="G112" s="154"/>
      <c r="H112" s="91"/>
      <c r="L112" s="333" t="s">
        <v>150</v>
      </c>
      <c r="M112" s="343">
        <v>41158</v>
      </c>
      <c r="N112" s="273"/>
      <c r="O112" s="273"/>
      <c r="P112" s="273"/>
      <c r="Q112" s="273"/>
      <c r="R112" s="83"/>
      <c r="S112" s="83"/>
    </row>
    <row r="113" spans="1:21" ht="14.25" customHeight="1">
      <c r="A113" s="283" t="s">
        <v>157</v>
      </c>
      <c r="B113" s="91"/>
      <c r="C113" s="233"/>
      <c r="D113" s="233"/>
      <c r="E113" s="233"/>
      <c r="F113" s="233"/>
      <c r="G113" s="171"/>
      <c r="L113" s="340" t="s">
        <v>404</v>
      </c>
      <c r="M113" s="333" t="s">
        <v>152</v>
      </c>
      <c r="N113" s="333" t="s">
        <v>153</v>
      </c>
      <c r="O113" s="333" t="s">
        <v>154</v>
      </c>
      <c r="P113" s="333" t="s">
        <v>155</v>
      </c>
      <c r="Q113" s="333" t="s">
        <v>156</v>
      </c>
      <c r="R113" s="340" t="s">
        <v>166</v>
      </c>
      <c r="S113" s="340" t="s">
        <v>176</v>
      </c>
    </row>
    <row r="114" spans="1:21" ht="14.25" customHeight="1">
      <c r="A114" s="283" t="s">
        <v>351</v>
      </c>
      <c r="B114" s="91"/>
      <c r="C114" s="233"/>
      <c r="D114" s="233"/>
      <c r="E114" s="233"/>
      <c r="F114" s="233"/>
      <c r="G114" s="171"/>
      <c r="L114" s="341" t="s">
        <v>350</v>
      </c>
      <c r="M114" s="309"/>
      <c r="N114" s="327"/>
      <c r="O114" s="327"/>
      <c r="P114" s="327"/>
      <c r="Q114" s="327"/>
      <c r="R114" s="275"/>
      <c r="S114" s="226"/>
    </row>
    <row r="115" spans="1:21" ht="14.25" customHeight="1">
      <c r="A115" s="283" t="s">
        <v>158</v>
      </c>
      <c r="B115" s="91"/>
      <c r="C115" s="233"/>
      <c r="D115" s="233"/>
      <c r="E115" s="233"/>
      <c r="F115" s="233"/>
      <c r="G115" s="171"/>
      <c r="L115" s="341" t="s">
        <v>157</v>
      </c>
      <c r="M115" s="226"/>
      <c r="N115" s="327"/>
      <c r="O115" s="327"/>
      <c r="P115" s="327"/>
      <c r="Q115" s="327"/>
      <c r="R115" s="83"/>
      <c r="S115" s="83"/>
    </row>
    <row r="116" spans="1:21" ht="14.25" customHeight="1">
      <c r="A116" s="283" t="s">
        <v>352</v>
      </c>
      <c r="B116" s="91"/>
      <c r="C116" s="233"/>
      <c r="D116" s="233"/>
      <c r="E116" s="233"/>
      <c r="F116" s="233"/>
      <c r="G116" s="171"/>
      <c r="L116" s="341" t="s">
        <v>351</v>
      </c>
      <c r="M116" s="226"/>
      <c r="N116" s="327"/>
      <c r="O116" s="327"/>
      <c r="P116" s="327"/>
      <c r="Q116" s="327"/>
      <c r="R116" s="1378" t="s">
        <v>543</v>
      </c>
      <c r="S116" s="1379"/>
    </row>
    <row r="117" spans="1:21" ht="14.25" customHeight="1">
      <c r="A117" s="283" t="s">
        <v>159</v>
      </c>
      <c r="B117" s="91"/>
      <c r="C117" s="233"/>
      <c r="D117" s="233"/>
      <c r="E117" s="233"/>
      <c r="F117" s="233"/>
      <c r="G117" s="171"/>
      <c r="L117" s="341" t="s">
        <v>158</v>
      </c>
      <c r="M117" s="226"/>
      <c r="N117" s="327"/>
      <c r="O117" s="327"/>
      <c r="P117" s="327"/>
      <c r="Q117" s="327"/>
      <c r="R117" s="83"/>
      <c r="S117" s="83"/>
    </row>
    <row r="118" spans="1:21" ht="14.25" customHeight="1">
      <c r="A118" s="283" t="s">
        <v>353</v>
      </c>
      <c r="B118" s="91"/>
      <c r="C118" s="233"/>
      <c r="D118" s="233"/>
      <c r="E118" s="233"/>
      <c r="F118" s="233"/>
      <c r="G118" s="171"/>
      <c r="L118" s="341" t="s">
        <v>352</v>
      </c>
      <c r="M118" s="226"/>
      <c r="N118" s="327"/>
      <c r="O118" s="327"/>
      <c r="P118" s="327"/>
      <c r="Q118" s="327"/>
      <c r="R118" s="83"/>
      <c r="S118" s="83"/>
    </row>
    <row r="119" spans="1:21" ht="14.25" customHeight="1">
      <c r="A119" s="283" t="s">
        <v>160</v>
      </c>
      <c r="B119" s="91"/>
      <c r="C119" s="233"/>
      <c r="D119" s="233"/>
      <c r="E119" s="233"/>
      <c r="F119" s="233"/>
      <c r="G119" s="171"/>
      <c r="L119" s="341" t="s">
        <v>159</v>
      </c>
      <c r="M119" s="226"/>
      <c r="N119" s="327"/>
      <c r="O119" s="327"/>
      <c r="P119" s="327"/>
      <c r="Q119" s="327"/>
      <c r="R119" s="83"/>
      <c r="S119" s="83"/>
    </row>
    <row r="120" spans="1:21" ht="14.25" customHeight="1">
      <c r="A120" s="283" t="s">
        <v>161</v>
      </c>
      <c r="B120" s="91"/>
      <c r="C120" s="233"/>
      <c r="D120" s="233"/>
      <c r="E120" s="233"/>
      <c r="F120" s="233"/>
      <c r="G120" s="171"/>
      <c r="L120" s="341" t="s">
        <v>353</v>
      </c>
      <c r="M120" s="226"/>
      <c r="N120" s="327"/>
      <c r="O120" s="327"/>
      <c r="P120" s="327"/>
      <c r="Q120" s="327"/>
      <c r="R120" s="83"/>
      <c r="S120" s="83"/>
    </row>
    <row r="121" spans="1:21" ht="14.25" customHeight="1">
      <c r="A121" s="283" t="s">
        <v>162</v>
      </c>
      <c r="B121" s="91"/>
      <c r="C121" s="91"/>
      <c r="D121" s="91"/>
      <c r="E121" s="91"/>
      <c r="F121" s="91"/>
      <c r="L121" s="341" t="s">
        <v>160</v>
      </c>
      <c r="M121" s="226"/>
      <c r="N121" s="327"/>
      <c r="O121" s="327"/>
      <c r="P121" s="327"/>
      <c r="Q121" s="327"/>
      <c r="R121" s="83"/>
      <c r="S121" s="83"/>
    </row>
    <row r="122" spans="1:21" ht="14.25" customHeight="1">
      <c r="L122" s="341" t="s">
        <v>161</v>
      </c>
      <c r="M122" s="226"/>
      <c r="N122" s="327"/>
      <c r="O122" s="327"/>
      <c r="P122" s="327"/>
      <c r="Q122" s="327"/>
      <c r="R122" s="1378" t="s">
        <v>543</v>
      </c>
      <c r="S122" s="1379"/>
    </row>
    <row r="123" spans="1:21" ht="14.25" customHeight="1">
      <c r="A123" s="93" t="s">
        <v>374</v>
      </c>
      <c r="L123" s="83"/>
      <c r="M123" s="83"/>
      <c r="N123" s="83"/>
      <c r="O123" s="83"/>
      <c r="P123" s="83"/>
      <c r="Q123" s="83"/>
      <c r="R123" s="83"/>
      <c r="S123" s="83"/>
    </row>
    <row r="124" spans="1:21" ht="14.25" customHeight="1">
      <c r="A124" s="93" t="s">
        <v>375</v>
      </c>
      <c r="L124" s="1380" t="s">
        <v>403</v>
      </c>
      <c r="M124" s="1380"/>
      <c r="N124" s="83"/>
      <c r="O124" s="83"/>
      <c r="P124" s="83"/>
      <c r="Q124" s="83"/>
      <c r="R124" s="83"/>
      <c r="S124" s="83"/>
    </row>
    <row r="125" spans="1:21" ht="14.25" customHeight="1">
      <c r="L125" s="333" t="s">
        <v>150</v>
      </c>
      <c r="M125" s="343">
        <v>41568</v>
      </c>
      <c r="N125" s="273"/>
      <c r="O125" s="273"/>
      <c r="P125" s="273"/>
      <c r="Q125" s="273"/>
      <c r="R125" s="273"/>
      <c r="S125" s="273"/>
    </row>
    <row r="126" spans="1:21" ht="14.25" customHeight="1">
      <c r="L126" s="340" t="s">
        <v>544</v>
      </c>
      <c r="M126" s="333" t="s">
        <v>152</v>
      </c>
      <c r="N126" s="333" t="s">
        <v>153</v>
      </c>
      <c r="O126" s="333" t="s">
        <v>154</v>
      </c>
      <c r="P126" s="333" t="s">
        <v>155</v>
      </c>
      <c r="Q126" s="333" t="s">
        <v>156</v>
      </c>
      <c r="R126" s="340" t="s">
        <v>166</v>
      </c>
      <c r="S126" s="340" t="s">
        <v>176</v>
      </c>
    </row>
    <row r="127" spans="1:21" ht="14.25" customHeight="1">
      <c r="L127" s="341" t="s">
        <v>350</v>
      </c>
      <c r="M127" s="309"/>
      <c r="N127" s="327"/>
      <c r="O127" s="327"/>
      <c r="P127" s="327"/>
      <c r="Q127" s="327"/>
      <c r="R127" s="275"/>
      <c r="S127" s="226"/>
    </row>
    <row r="128" spans="1:21" ht="14.25" customHeight="1">
      <c r="L128" s="341" t="s">
        <v>157</v>
      </c>
      <c r="M128" s="226"/>
      <c r="N128" s="226"/>
      <c r="O128" s="226"/>
      <c r="P128" s="226"/>
      <c r="Q128" s="226"/>
      <c r="R128" s="1374" t="s">
        <v>545</v>
      </c>
      <c r="S128" s="1375"/>
      <c r="T128" s="1375"/>
      <c r="U128" s="346"/>
    </row>
    <row r="129" spans="12:21" ht="14.25" customHeight="1">
      <c r="L129" s="341" t="s">
        <v>351</v>
      </c>
      <c r="M129" s="226"/>
      <c r="N129" s="327"/>
      <c r="O129" s="327"/>
      <c r="P129" s="327"/>
      <c r="Q129" s="327"/>
      <c r="R129" s="342" t="s">
        <v>31</v>
      </c>
      <c r="S129" s="273"/>
    </row>
    <row r="130" spans="12:21" ht="14.25" customHeight="1">
      <c r="L130" s="341" t="s">
        <v>158</v>
      </c>
      <c r="M130" s="226"/>
      <c r="N130" s="327"/>
      <c r="O130" s="327"/>
      <c r="P130" s="327"/>
      <c r="Q130" s="327"/>
      <c r="R130" s="342"/>
      <c r="S130" s="273"/>
    </row>
    <row r="131" spans="12:21" ht="14.25" customHeight="1">
      <c r="L131" s="341" t="s">
        <v>352</v>
      </c>
      <c r="M131" s="226"/>
      <c r="N131" s="327"/>
      <c r="O131" s="327"/>
      <c r="P131" s="327"/>
      <c r="Q131" s="327"/>
      <c r="R131" s="342"/>
      <c r="S131" s="273"/>
    </row>
    <row r="132" spans="12:21" ht="14.25" customHeight="1">
      <c r="L132" s="341" t="s">
        <v>159</v>
      </c>
      <c r="M132" s="226"/>
      <c r="N132" s="327"/>
      <c r="O132" s="327"/>
      <c r="P132" s="327"/>
      <c r="Q132" s="327"/>
      <c r="R132" s="342"/>
      <c r="S132" s="273"/>
    </row>
    <row r="133" spans="12:21" ht="14.25" customHeight="1">
      <c r="L133" s="341" t="s">
        <v>353</v>
      </c>
      <c r="M133" s="226"/>
      <c r="N133" s="327"/>
      <c r="O133" s="327"/>
      <c r="P133" s="327"/>
      <c r="Q133" s="327"/>
      <c r="R133" s="342"/>
      <c r="S133" s="273"/>
    </row>
    <row r="134" spans="12:21" ht="14.25" customHeight="1">
      <c r="L134" s="341" t="s">
        <v>160</v>
      </c>
      <c r="M134" s="226"/>
      <c r="N134" s="327"/>
      <c r="O134" s="327"/>
      <c r="P134" s="327"/>
      <c r="Q134" s="327"/>
      <c r="R134" s="342"/>
      <c r="S134" s="273"/>
    </row>
    <row r="135" spans="12:21" ht="14.25" customHeight="1">
      <c r="L135" s="341" t="s">
        <v>161</v>
      </c>
      <c r="M135" s="226"/>
      <c r="N135" s="327"/>
      <c r="O135" s="327"/>
      <c r="P135" s="327"/>
      <c r="Q135" s="327"/>
      <c r="R135" s="342"/>
      <c r="S135" s="273"/>
    </row>
    <row r="136" spans="12:21" ht="14.25" customHeight="1">
      <c r="L136" s="341" t="s">
        <v>162</v>
      </c>
      <c r="M136" s="226"/>
      <c r="N136" s="226"/>
      <c r="O136" s="226"/>
      <c r="P136" s="226"/>
      <c r="Q136" s="226"/>
      <c r="R136" s="1374" t="s">
        <v>545</v>
      </c>
      <c r="S136" s="1375"/>
      <c r="T136" s="1375"/>
      <c r="U136" s="346"/>
    </row>
    <row r="137" spans="12:21" ht="14.25" customHeight="1">
      <c r="L137" s="91"/>
      <c r="M137" s="91"/>
      <c r="N137" s="91"/>
      <c r="O137" s="91"/>
      <c r="P137" s="91"/>
      <c r="Q137" s="91"/>
    </row>
    <row r="138" spans="12:21" ht="14.25" customHeight="1">
      <c r="L138" s="91"/>
      <c r="M138" s="91"/>
      <c r="N138" s="91"/>
      <c r="O138" s="91"/>
      <c r="P138" s="91"/>
      <c r="Q138" s="91"/>
    </row>
    <row r="139" spans="12:21" ht="14.25" customHeight="1">
      <c r="L139" s="91"/>
      <c r="M139" s="91"/>
      <c r="N139" s="91"/>
      <c r="O139" s="91"/>
      <c r="P139" s="91"/>
      <c r="Q139" s="91"/>
    </row>
    <row r="140" spans="12:21" ht="14.25" customHeight="1">
      <c r="L140" s="91"/>
      <c r="M140" s="91"/>
      <c r="N140" s="91"/>
      <c r="O140" s="91"/>
      <c r="P140" s="91"/>
      <c r="Q140" s="91"/>
    </row>
    <row r="141" spans="12:21" ht="14.25" customHeight="1">
      <c r="L141" s="91"/>
      <c r="M141" s="91"/>
      <c r="N141" s="91"/>
      <c r="O141" s="91"/>
      <c r="P141" s="91"/>
      <c r="Q141" s="91"/>
    </row>
    <row r="142" spans="12:21" ht="14.25" customHeight="1" thickBot="1">
      <c r="L142" s="304" t="s">
        <v>6</v>
      </c>
      <c r="M142" s="304"/>
      <c r="N142" s="304"/>
      <c r="O142" s="304"/>
      <c r="P142" s="304"/>
      <c r="Q142" s="304"/>
      <c r="R142" s="304"/>
      <c r="S142" s="304"/>
      <c r="T142" s="304"/>
    </row>
    <row r="143" spans="12:21" ht="14.25" customHeight="1" thickBot="1">
      <c r="L143" s="305"/>
      <c r="M143" s="305"/>
      <c r="N143" s="305"/>
      <c r="O143" s="305"/>
      <c r="P143" s="305"/>
      <c r="Q143" s="305"/>
      <c r="R143" s="305"/>
      <c r="S143" s="305"/>
      <c r="T143" s="305"/>
    </row>
    <row r="144" spans="12:21" ht="14.25" customHeight="1" thickBot="1">
      <c r="L144" s="305"/>
      <c r="M144" s="305"/>
      <c r="N144" s="305"/>
      <c r="O144" s="305"/>
      <c r="P144" s="305"/>
      <c r="Q144" s="305"/>
      <c r="R144" s="305"/>
      <c r="S144" s="305"/>
      <c r="T144" s="305"/>
    </row>
    <row r="145" spans="12:20" ht="14.25" customHeight="1" thickBot="1">
      <c r="L145" s="305"/>
      <c r="M145" s="305"/>
      <c r="N145" s="305"/>
      <c r="O145" s="305"/>
      <c r="P145" s="305"/>
      <c r="Q145" s="305"/>
      <c r="R145" s="305"/>
      <c r="S145" s="305"/>
      <c r="T145" s="305"/>
    </row>
    <row r="146" spans="12:20" ht="14.25" customHeight="1" thickBot="1">
      <c r="L146" s="305"/>
      <c r="M146" s="305"/>
      <c r="N146" s="305"/>
      <c r="O146" s="305"/>
      <c r="P146" s="305"/>
      <c r="Q146" s="305"/>
      <c r="R146" s="305"/>
      <c r="S146" s="305"/>
      <c r="T146" s="305"/>
    </row>
    <row r="147" spans="12:20" ht="14.25" customHeight="1" thickBot="1">
      <c r="L147" s="304"/>
      <c r="M147" s="304"/>
      <c r="N147" s="304"/>
      <c r="O147" s="304"/>
      <c r="P147" s="304"/>
      <c r="Q147" s="304"/>
      <c r="R147" s="304"/>
      <c r="S147" s="304"/>
      <c r="T147" s="304"/>
    </row>
    <row r="149" spans="12:20" ht="14.25" customHeight="1">
      <c r="L149" s="340" t="s">
        <v>1092</v>
      </c>
      <c r="M149" s="633" t="s">
        <v>152</v>
      </c>
      <c r="N149" s="633" t="s">
        <v>153</v>
      </c>
      <c r="O149" s="633" t="s">
        <v>154</v>
      </c>
      <c r="P149" s="633" t="s">
        <v>155</v>
      </c>
      <c r="Q149" s="633" t="s">
        <v>156</v>
      </c>
      <c r="R149" s="340" t="s">
        <v>166</v>
      </c>
      <c r="S149" s="340" t="s">
        <v>176</v>
      </c>
    </row>
    <row r="150" spans="12:20" ht="14.25" customHeight="1">
      <c r="L150" s="341" t="s">
        <v>350</v>
      </c>
      <c r="M150" s="309"/>
      <c r="N150" s="327"/>
      <c r="O150" s="327"/>
      <c r="P150" s="327"/>
      <c r="Q150" s="327"/>
      <c r="R150" s="275"/>
      <c r="S150" s="226"/>
    </row>
    <row r="151" spans="12:20" ht="14.25" customHeight="1">
      <c r="L151" s="341" t="s">
        <v>157</v>
      </c>
      <c r="M151" s="226"/>
      <c r="N151" s="226"/>
      <c r="O151" s="226"/>
      <c r="P151" s="226"/>
      <c r="Q151" s="226"/>
      <c r="R151" s="1374"/>
      <c r="S151" s="1375"/>
      <c r="T151" s="1375"/>
    </row>
    <row r="152" spans="12:20" ht="14.25" customHeight="1">
      <c r="L152" s="341" t="s">
        <v>351</v>
      </c>
      <c r="M152" s="226"/>
      <c r="N152" s="327"/>
      <c r="O152" s="327"/>
      <c r="P152" s="327"/>
      <c r="Q152" s="327"/>
      <c r="R152" s="342"/>
      <c r="S152" s="273"/>
    </row>
    <row r="153" spans="12:20" ht="14.25" customHeight="1">
      <c r="L153" s="341" t="s">
        <v>158</v>
      </c>
      <c r="M153" s="226"/>
      <c r="N153" s="327"/>
      <c r="O153" s="327"/>
      <c r="P153" s="327"/>
      <c r="Q153" s="327"/>
      <c r="R153" s="342"/>
      <c r="S153" s="273"/>
    </row>
    <row r="154" spans="12:20" ht="14.25" customHeight="1">
      <c r="L154" s="341" t="s">
        <v>352</v>
      </c>
      <c r="M154" s="226"/>
      <c r="N154" s="327"/>
      <c r="O154" s="327"/>
      <c r="P154" s="327"/>
      <c r="Q154" s="327"/>
      <c r="R154" s="342"/>
      <c r="S154" s="273"/>
    </row>
    <row r="155" spans="12:20" ht="14.25" customHeight="1">
      <c r="L155" s="341" t="s">
        <v>159</v>
      </c>
      <c r="M155" s="226"/>
      <c r="N155" s="327"/>
      <c r="O155" s="327"/>
      <c r="P155" s="327"/>
      <c r="Q155" s="327"/>
      <c r="R155" s="342"/>
      <c r="S155" s="273"/>
    </row>
    <row r="156" spans="12:20" ht="14.25" customHeight="1">
      <c r="L156" s="341" t="s">
        <v>353</v>
      </c>
      <c r="M156" s="226"/>
      <c r="N156" s="327"/>
      <c r="O156" s="327"/>
      <c r="P156" s="327"/>
      <c r="Q156" s="327"/>
      <c r="R156" s="342"/>
      <c r="S156" s="273"/>
    </row>
    <row r="157" spans="12:20" ht="14.25" customHeight="1">
      <c r="L157" s="341" t="s">
        <v>160</v>
      </c>
      <c r="M157" s="226"/>
      <c r="N157" s="327"/>
      <c r="O157" s="327"/>
      <c r="P157" s="327"/>
      <c r="Q157" s="327"/>
      <c r="R157" s="342"/>
      <c r="S157" s="273"/>
    </row>
    <row r="158" spans="12:20" ht="14.25" customHeight="1">
      <c r="L158" s="341" t="s">
        <v>161</v>
      </c>
      <c r="M158" s="226"/>
      <c r="N158" s="327"/>
      <c r="O158" s="327"/>
      <c r="P158" s="327"/>
      <c r="Q158" s="327"/>
      <c r="R158" s="342"/>
      <c r="S158" s="273"/>
    </row>
    <row r="159" spans="12:20" ht="14.25" customHeight="1">
      <c r="L159" s="341" t="s">
        <v>162</v>
      </c>
      <c r="M159" s="226"/>
      <c r="N159" s="226"/>
      <c r="O159" s="226"/>
      <c r="P159" s="226"/>
      <c r="Q159" s="226"/>
      <c r="R159" s="1374"/>
      <c r="S159" s="1375"/>
      <c r="T159" s="1375"/>
    </row>
    <row r="160" spans="12:20" ht="14.25" customHeight="1">
      <c r="L160" s="91"/>
      <c r="M160" s="91"/>
      <c r="N160" s="91"/>
      <c r="O160" s="91"/>
      <c r="P160" s="91"/>
      <c r="Q160" s="91"/>
    </row>
    <row r="161" spans="12:17" ht="14.25" customHeight="1">
      <c r="L161" s="91"/>
      <c r="M161" s="91"/>
      <c r="N161" s="91"/>
      <c r="O161" s="91"/>
      <c r="P161" s="91"/>
      <c r="Q161" s="91"/>
    </row>
    <row r="162" spans="12:17" ht="14.25" customHeight="1">
      <c r="L162" s="91"/>
      <c r="M162" s="91"/>
      <c r="N162" s="91"/>
      <c r="O162" s="91"/>
      <c r="P162" s="91"/>
      <c r="Q162" s="91"/>
    </row>
    <row r="163" spans="12:17" ht="14.25" customHeight="1">
      <c r="L163" s="91"/>
      <c r="M163" s="91"/>
      <c r="N163" s="91"/>
      <c r="O163" s="91"/>
      <c r="P163" s="91"/>
      <c r="Q163" s="91"/>
    </row>
    <row r="164" spans="12:17" ht="14.25" customHeight="1">
      <c r="L164" s="91"/>
      <c r="M164" s="91"/>
      <c r="N164" s="91"/>
      <c r="O164" s="91"/>
      <c r="P164" s="91"/>
      <c r="Q164" s="91"/>
    </row>
  </sheetData>
  <mergeCells count="67">
    <mergeCell ref="R151:T151"/>
    <mergeCell ref="R159:T159"/>
    <mergeCell ref="B44:F44"/>
    <mergeCell ref="E32:F32"/>
    <mergeCell ref="R128:T128"/>
    <mergeCell ref="R136:T136"/>
    <mergeCell ref="R116:S116"/>
    <mergeCell ref="R122:S122"/>
    <mergeCell ref="L124:M124"/>
    <mergeCell ref="L111:M111"/>
    <mergeCell ref="L54:N54"/>
    <mergeCell ref="P83:Q83"/>
    <mergeCell ref="P84:Q84"/>
    <mergeCell ref="L71:N71"/>
    <mergeCell ref="P69:Q69"/>
    <mergeCell ref="O74:Q74"/>
    <mergeCell ref="D29:E29"/>
    <mergeCell ref="R42:T42"/>
    <mergeCell ref="L40:N40"/>
    <mergeCell ref="O41:Q41"/>
    <mergeCell ref="L33:N33"/>
    <mergeCell ref="G38:H38"/>
    <mergeCell ref="A1:F1"/>
    <mergeCell ref="B32:C32"/>
    <mergeCell ref="R5:T5"/>
    <mergeCell ref="Y5:AA5"/>
    <mergeCell ref="Y13:AA13"/>
    <mergeCell ref="Y21:AA21"/>
    <mergeCell ref="Z24:AA24"/>
    <mergeCell ref="Y29:AA29"/>
    <mergeCell ref="U5:W5"/>
    <mergeCell ref="O5:Q5"/>
    <mergeCell ref="O23:Q23"/>
    <mergeCell ref="R23:T23"/>
    <mergeCell ref="L10:N10"/>
    <mergeCell ref="L19:N19"/>
    <mergeCell ref="A26:G26"/>
    <mergeCell ref="A29:B29"/>
    <mergeCell ref="P77:Q77"/>
    <mergeCell ref="L82:N82"/>
    <mergeCell ref="O82:Q82"/>
    <mergeCell ref="AE5:AG5"/>
    <mergeCell ref="AF8:AG8"/>
    <mergeCell ref="AC32:AD32"/>
    <mergeCell ref="AB21:AD21"/>
    <mergeCell ref="AE21:AG21"/>
    <mergeCell ref="AE29:AG29"/>
    <mergeCell ref="AB5:AD5"/>
    <mergeCell ref="AB13:AD13"/>
    <mergeCell ref="AB29:AD29"/>
    <mergeCell ref="AC24:AD24"/>
    <mergeCell ref="P85:Q85"/>
    <mergeCell ref="AE13:AG13"/>
    <mergeCell ref="AF16:AG16"/>
    <mergeCell ref="AC48:AD48"/>
    <mergeCell ref="AB45:AD45"/>
    <mergeCell ref="AC40:AD40"/>
    <mergeCell ref="Z32:AA32"/>
    <mergeCell ref="Y37:AA37"/>
    <mergeCell ref="Y45:AA45"/>
    <mergeCell ref="U13:W13"/>
    <mergeCell ref="U28:W28"/>
    <mergeCell ref="U21:W21"/>
    <mergeCell ref="M62:Q62"/>
    <mergeCell ref="M83:N83"/>
    <mergeCell ref="M84:N84"/>
    <mergeCell ref="M85:N85"/>
  </mergeCells>
  <pageMargins left="1" right="0.25" top="0.75" bottom="0.75" header="0.3" footer="0.3"/>
  <pageSetup scale="8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92D050"/>
  </sheetPr>
  <dimension ref="A1:V21"/>
  <sheetViews>
    <sheetView workbookViewId="0">
      <selection activeCell="B6" sqref="B6:M6"/>
    </sheetView>
  </sheetViews>
  <sheetFormatPr defaultRowHeight="12.5"/>
  <cols>
    <col min="1" max="1" width="38.54296875" bestFit="1" customWidth="1"/>
    <col min="2" max="4" width="5.54296875" bestFit="1" customWidth="1"/>
    <col min="5" max="10" width="6.54296875" bestFit="1" customWidth="1"/>
    <col min="11" max="13" width="5.54296875" bestFit="1" customWidth="1"/>
    <col min="14" max="14" width="7.36328125" bestFit="1" customWidth="1"/>
    <col min="15" max="15" width="15.6328125" bestFit="1" customWidth="1"/>
    <col min="17" max="17" width="39.36328125" bestFit="1" customWidth="1"/>
    <col min="18" max="18" width="11.08984375" bestFit="1" customWidth="1"/>
    <col min="19" max="19" width="6.54296875" bestFit="1" customWidth="1"/>
    <col min="20" max="20" width="11.453125" bestFit="1" customWidth="1"/>
    <col min="21" max="21" width="14.08984375" bestFit="1" customWidth="1"/>
    <col min="22" max="22" width="12.36328125" bestFit="1" customWidth="1"/>
  </cols>
  <sheetData>
    <row r="1" spans="1:22">
      <c r="O1">
        <v>0.16600000000000001</v>
      </c>
      <c r="R1" s="139" t="s">
        <v>454</v>
      </c>
      <c r="S1" s="139" t="s">
        <v>508</v>
      </c>
      <c r="T1" s="139" t="s">
        <v>508</v>
      </c>
      <c r="U1" s="139" t="s">
        <v>508</v>
      </c>
      <c r="V1" s="139" t="s">
        <v>508</v>
      </c>
    </row>
    <row r="2" spans="1:22">
      <c r="A2" s="1345" t="s">
        <v>283</v>
      </c>
      <c r="B2" s="1203" t="s">
        <v>1069</v>
      </c>
      <c r="C2" s="1203"/>
      <c r="D2" s="1203"/>
      <c r="E2" s="1203"/>
      <c r="F2" s="1203"/>
      <c r="G2" s="1203"/>
      <c r="H2" s="1203"/>
      <c r="I2" s="1203"/>
      <c r="J2" s="1203"/>
      <c r="K2" s="1203"/>
      <c r="L2" s="1203"/>
      <c r="M2" s="1203"/>
      <c r="Q2" s="53" t="s">
        <v>453</v>
      </c>
      <c r="R2" s="184">
        <v>8.1999999999999993</v>
      </c>
      <c r="S2" s="184">
        <v>12</v>
      </c>
      <c r="T2" s="184">
        <v>2</v>
      </c>
      <c r="U2" s="184">
        <v>2.8</v>
      </c>
      <c r="V2" s="184">
        <v>7.5</v>
      </c>
    </row>
    <row r="3" spans="1:22">
      <c r="A3" s="1346"/>
      <c r="B3" s="139" t="s">
        <v>69</v>
      </c>
      <c r="C3" s="139" t="s">
        <v>70</v>
      </c>
      <c r="D3" s="139" t="s">
        <v>71</v>
      </c>
      <c r="E3" s="139" t="s">
        <v>72</v>
      </c>
      <c r="F3" s="139" t="s">
        <v>73</v>
      </c>
      <c r="G3" s="139" t="s">
        <v>74</v>
      </c>
      <c r="H3" s="139" t="s">
        <v>75</v>
      </c>
      <c r="I3" s="139" t="s">
        <v>76</v>
      </c>
      <c r="J3" s="139" t="s">
        <v>77</v>
      </c>
      <c r="K3" s="139" t="s">
        <v>78</v>
      </c>
      <c r="L3" s="139" t="s">
        <v>79</v>
      </c>
      <c r="M3" s="139" t="s">
        <v>80</v>
      </c>
      <c r="N3" s="139" t="s">
        <v>501</v>
      </c>
      <c r="O3" s="877"/>
      <c r="Q3" s="57"/>
    </row>
    <row r="4" spans="1:22" ht="15">
      <c r="A4" s="53" t="s">
        <v>223</v>
      </c>
      <c r="B4" s="459">
        <v>0</v>
      </c>
      <c r="C4" s="459">
        <f>1.25*0.166</f>
        <v>0.20750000000000002</v>
      </c>
      <c r="D4" s="459">
        <v>0</v>
      </c>
      <c r="E4" s="459">
        <f>1.25*0.166</f>
        <v>0.20750000000000002</v>
      </c>
      <c r="F4" s="459">
        <f>11.25*0.166</f>
        <v>1.8675000000000002</v>
      </c>
      <c r="G4" s="459">
        <f>26.25*0.166</f>
        <v>4.3574999999999999</v>
      </c>
      <c r="H4" s="459">
        <f>18.75*0.166</f>
        <v>3.1125000000000003</v>
      </c>
      <c r="I4" s="459">
        <f>20*0.166</f>
        <v>3.3200000000000003</v>
      </c>
      <c r="J4" s="459">
        <f>11.25*0.166</f>
        <v>1.8675000000000002</v>
      </c>
      <c r="K4" s="459">
        <f>13.75*0.166</f>
        <v>2.2825000000000002</v>
      </c>
      <c r="L4" s="459">
        <f>8.75*0.166</f>
        <v>1.4525000000000001</v>
      </c>
      <c r="M4" s="459">
        <f>1.25*0.166</f>
        <v>0.20750000000000002</v>
      </c>
      <c r="N4" s="330">
        <f>AVERAGE(B4:M4)</f>
        <v>1.5735416666666666</v>
      </c>
      <c r="O4" s="870" t="s">
        <v>1817</v>
      </c>
      <c r="Q4" s="885"/>
      <c r="R4" s="885"/>
      <c r="S4" s="1381" t="s">
        <v>1820</v>
      </c>
      <c r="T4" s="1381"/>
      <c r="U4" s="1381"/>
      <c r="V4" s="1381"/>
    </row>
    <row r="5" spans="1:22" ht="45">
      <c r="A5" s="53" t="s">
        <v>341</v>
      </c>
      <c r="B5" s="330">
        <v>0</v>
      </c>
      <c r="C5" s="330">
        <v>0</v>
      </c>
      <c r="D5" s="330">
        <v>0</v>
      </c>
      <c r="E5" s="330">
        <v>15</v>
      </c>
      <c r="F5" s="330">
        <v>18</v>
      </c>
      <c r="G5" s="330">
        <v>26</v>
      </c>
      <c r="H5" s="330">
        <v>18</v>
      </c>
      <c r="I5" s="330">
        <v>22.5</v>
      </c>
      <c r="J5" s="330">
        <v>14</v>
      </c>
      <c r="K5" s="330">
        <v>0</v>
      </c>
      <c r="L5" s="330">
        <v>0</v>
      </c>
      <c r="M5" s="330">
        <v>0</v>
      </c>
      <c r="N5" s="330">
        <f>AVERAGE(B5:M5)</f>
        <v>9.4583333333333339</v>
      </c>
      <c r="O5" s="331"/>
      <c r="Q5" s="886" t="s">
        <v>450</v>
      </c>
      <c r="R5" s="887" t="s">
        <v>1819</v>
      </c>
      <c r="S5" s="888" t="s">
        <v>30</v>
      </c>
      <c r="T5" s="888" t="s">
        <v>451</v>
      </c>
      <c r="U5" s="888" t="s">
        <v>127</v>
      </c>
      <c r="V5" s="888" t="s">
        <v>452</v>
      </c>
    </row>
    <row r="6" spans="1:22">
      <c r="A6" s="232" t="s">
        <v>449</v>
      </c>
      <c r="B6" s="459">
        <f>SUM(B4:B5)</f>
        <v>0</v>
      </c>
      <c r="C6" s="459">
        <f t="shared" ref="C6:M6" si="0">SUM(C4:C5)</f>
        <v>0.20750000000000002</v>
      </c>
      <c r="D6" s="459">
        <f t="shared" si="0"/>
        <v>0</v>
      </c>
      <c r="E6" s="459">
        <f t="shared" si="0"/>
        <v>15.2075</v>
      </c>
      <c r="F6" s="459">
        <f t="shared" si="0"/>
        <v>19.8675</v>
      </c>
      <c r="G6" s="459">
        <f t="shared" si="0"/>
        <v>30.357500000000002</v>
      </c>
      <c r="H6" s="459">
        <f t="shared" si="0"/>
        <v>21.112500000000001</v>
      </c>
      <c r="I6" s="459">
        <f t="shared" si="0"/>
        <v>25.82</v>
      </c>
      <c r="J6" s="459">
        <f t="shared" si="0"/>
        <v>15.8675</v>
      </c>
      <c r="K6" s="459">
        <f t="shared" si="0"/>
        <v>2.2825000000000002</v>
      </c>
      <c r="L6" s="459">
        <f t="shared" si="0"/>
        <v>1.4525000000000001</v>
      </c>
      <c r="M6" s="459">
        <f t="shared" si="0"/>
        <v>0.20750000000000002</v>
      </c>
      <c r="N6" s="330">
        <f>AVERAGE(B6:M6)</f>
        <v>11.031874999999999</v>
      </c>
      <c r="O6" s="331"/>
      <c r="Q6" s="882" t="s">
        <v>1818</v>
      </c>
      <c r="R6" s="883">
        <f>R2*N4</f>
        <v>12.903041666666665</v>
      </c>
      <c r="S6" s="883">
        <f>R6*S2</f>
        <v>154.83649999999997</v>
      </c>
      <c r="T6" s="883">
        <f>R6*T2</f>
        <v>25.80608333333333</v>
      </c>
      <c r="U6" s="883">
        <f>R6*U2</f>
        <v>36.128516666666663</v>
      </c>
      <c r="V6" s="883">
        <f>R6*V2</f>
        <v>96.772812499999986</v>
      </c>
    </row>
    <row r="7" spans="1:22">
      <c r="A7" s="321"/>
      <c r="B7" s="139" t="s">
        <v>69</v>
      </c>
      <c r="C7" s="139" t="s">
        <v>70</v>
      </c>
      <c r="D7" s="139" t="s">
        <v>71</v>
      </c>
      <c r="E7" s="139" t="s">
        <v>72</v>
      </c>
      <c r="F7" s="139" t="s">
        <v>73</v>
      </c>
      <c r="G7" s="139" t="s">
        <v>74</v>
      </c>
      <c r="H7" s="139" t="s">
        <v>75</v>
      </c>
      <c r="I7" s="139" t="s">
        <v>76</v>
      </c>
      <c r="J7" s="139" t="s">
        <v>77</v>
      </c>
      <c r="K7" s="139" t="s">
        <v>78</v>
      </c>
      <c r="L7" s="139" t="s">
        <v>79</v>
      </c>
      <c r="M7" s="139" t="s">
        <v>80</v>
      </c>
      <c r="N7" s="139" t="s">
        <v>501</v>
      </c>
      <c r="O7" s="215"/>
      <c r="Q7" s="880" t="s">
        <v>341</v>
      </c>
      <c r="R7" s="883">
        <f>R2*N5</f>
        <v>77.558333333333337</v>
      </c>
      <c r="S7" s="883">
        <f>R7*S2</f>
        <v>930.7</v>
      </c>
      <c r="T7" s="883">
        <f>R7*T2</f>
        <v>155.11666666666667</v>
      </c>
      <c r="U7" s="883">
        <f>R7*U2</f>
        <v>217.16333333333333</v>
      </c>
      <c r="V7" s="883">
        <f>R7*V2</f>
        <v>581.6875</v>
      </c>
    </row>
    <row r="8" spans="1:22">
      <c r="A8" s="321" t="s">
        <v>502</v>
      </c>
      <c r="B8" s="57"/>
      <c r="C8" s="57"/>
      <c r="D8" s="57"/>
      <c r="E8" s="57"/>
      <c r="F8" s="57"/>
      <c r="G8" s="57"/>
      <c r="H8" s="57"/>
      <c r="I8" s="57"/>
      <c r="J8" s="57"/>
      <c r="K8" s="57"/>
      <c r="L8" s="57"/>
      <c r="M8" s="57"/>
      <c r="N8" s="331"/>
      <c r="O8" s="878"/>
      <c r="Q8" s="881" t="s">
        <v>449</v>
      </c>
      <c r="R8" s="883">
        <f>R2*N6</f>
        <v>90.46137499999999</v>
      </c>
      <c r="S8" s="883">
        <f>R8*S2</f>
        <v>1085.5364999999999</v>
      </c>
      <c r="T8" s="883">
        <f>R8*T2</f>
        <v>180.92274999999998</v>
      </c>
      <c r="U8" s="883">
        <f>R8*U2</f>
        <v>253.29184999999995</v>
      </c>
      <c r="V8" s="883">
        <f>R8*V2</f>
        <v>678.46031249999987</v>
      </c>
    </row>
    <row r="9" spans="1:22">
      <c r="A9" s="53" t="s">
        <v>223</v>
      </c>
      <c r="B9" s="563">
        <v>2</v>
      </c>
      <c r="C9" s="563">
        <v>2</v>
      </c>
      <c r="D9" s="563">
        <v>2</v>
      </c>
      <c r="E9" s="563"/>
      <c r="F9" s="563"/>
      <c r="G9" s="563"/>
      <c r="H9" s="563"/>
      <c r="I9" s="563"/>
      <c r="J9" s="563"/>
      <c r="K9" s="563">
        <v>14</v>
      </c>
      <c r="L9" s="563">
        <v>9</v>
      </c>
      <c r="M9" s="563">
        <v>2</v>
      </c>
      <c r="N9" s="586"/>
      <c r="O9" s="879"/>
    </row>
    <row r="10" spans="1:22">
      <c r="A10" s="872" t="s">
        <v>341</v>
      </c>
      <c r="B10" s="873"/>
      <c r="C10" s="873"/>
      <c r="D10" s="873"/>
      <c r="E10" s="874">
        <v>15</v>
      </c>
      <c r="F10" s="874">
        <v>18</v>
      </c>
      <c r="G10" s="874">
        <v>26</v>
      </c>
      <c r="H10" s="874">
        <v>18</v>
      </c>
      <c r="I10" s="874">
        <v>22.5</v>
      </c>
      <c r="J10" s="874">
        <v>14</v>
      </c>
      <c r="K10" s="873"/>
      <c r="L10" s="873"/>
      <c r="M10" s="873"/>
      <c r="N10" s="605" t="s">
        <v>1816</v>
      </c>
      <c r="O10" s="869"/>
    </row>
    <row r="11" spans="1:22">
      <c r="A11" s="216" t="s">
        <v>503</v>
      </c>
      <c r="B11" s="51">
        <f>B9*0.68</f>
        <v>1.36</v>
      </c>
      <c r="C11" s="51">
        <f>C9*0.68</f>
        <v>1.36</v>
      </c>
      <c r="D11" s="51">
        <f>D9*0.68</f>
        <v>1.36</v>
      </c>
      <c r="E11" s="51">
        <f t="shared" ref="E11:J11" si="1">E10*0.81</f>
        <v>12.15</v>
      </c>
      <c r="F11" s="51">
        <f t="shared" si="1"/>
        <v>14.580000000000002</v>
      </c>
      <c r="G11" s="51">
        <f t="shared" si="1"/>
        <v>21.060000000000002</v>
      </c>
      <c r="H11" s="51">
        <f t="shared" si="1"/>
        <v>14.580000000000002</v>
      </c>
      <c r="I11" s="51">
        <f t="shared" si="1"/>
        <v>18.225000000000001</v>
      </c>
      <c r="J11" s="51">
        <f t="shared" si="1"/>
        <v>11.34</v>
      </c>
      <c r="K11" s="51">
        <f>K9*0.68</f>
        <v>9.5200000000000014</v>
      </c>
      <c r="L11" s="51">
        <f>L9*0.68</f>
        <v>6.12</v>
      </c>
      <c r="M11" s="51">
        <f>M9*0.68</f>
        <v>1.36</v>
      </c>
      <c r="N11" s="875">
        <f>SUM(B11:M11)</f>
        <v>113.01500000000001</v>
      </c>
      <c r="O11" s="878"/>
    </row>
    <row r="12" spans="1:22">
      <c r="A12" s="876" t="s">
        <v>505</v>
      </c>
      <c r="B12" s="184">
        <f>B11*12</f>
        <v>16.32</v>
      </c>
      <c r="C12" s="184">
        <f t="shared" ref="C12:M12" si="2">C11*12</f>
        <v>16.32</v>
      </c>
      <c r="D12" s="184">
        <f t="shared" si="2"/>
        <v>16.32</v>
      </c>
      <c r="E12" s="184">
        <f t="shared" si="2"/>
        <v>145.80000000000001</v>
      </c>
      <c r="F12" s="184">
        <f t="shared" si="2"/>
        <v>174.96000000000004</v>
      </c>
      <c r="G12" s="184">
        <f t="shared" si="2"/>
        <v>252.72000000000003</v>
      </c>
      <c r="H12" s="184">
        <f t="shared" si="2"/>
        <v>174.96000000000004</v>
      </c>
      <c r="I12" s="184">
        <f t="shared" si="2"/>
        <v>218.70000000000002</v>
      </c>
      <c r="J12" s="184">
        <f t="shared" si="2"/>
        <v>136.07999999999998</v>
      </c>
      <c r="K12" s="184">
        <f t="shared" si="2"/>
        <v>114.24000000000001</v>
      </c>
      <c r="L12" s="184">
        <f t="shared" si="2"/>
        <v>73.44</v>
      </c>
      <c r="M12" s="184">
        <f t="shared" si="2"/>
        <v>16.32</v>
      </c>
      <c r="N12" s="875">
        <f>SUM(B12:M12)</f>
        <v>1356.18</v>
      </c>
      <c r="O12" s="878"/>
    </row>
    <row r="13" spans="1:22">
      <c r="A13" s="876" t="s">
        <v>504</v>
      </c>
      <c r="B13" s="184">
        <f>B11*2</f>
        <v>2.72</v>
      </c>
      <c r="C13" s="184">
        <f t="shared" ref="C13:M13" si="3">C11*2</f>
        <v>2.72</v>
      </c>
      <c r="D13" s="184">
        <f t="shared" si="3"/>
        <v>2.72</v>
      </c>
      <c r="E13" s="184">
        <f t="shared" si="3"/>
        <v>24.3</v>
      </c>
      <c r="F13" s="184">
        <f t="shared" si="3"/>
        <v>29.160000000000004</v>
      </c>
      <c r="G13" s="184">
        <f t="shared" si="3"/>
        <v>42.120000000000005</v>
      </c>
      <c r="H13" s="184">
        <f t="shared" si="3"/>
        <v>29.160000000000004</v>
      </c>
      <c r="I13" s="184">
        <f t="shared" si="3"/>
        <v>36.450000000000003</v>
      </c>
      <c r="J13" s="184">
        <f t="shared" si="3"/>
        <v>22.68</v>
      </c>
      <c r="K13" s="184">
        <f t="shared" si="3"/>
        <v>19.040000000000003</v>
      </c>
      <c r="L13" s="184">
        <f t="shared" si="3"/>
        <v>12.24</v>
      </c>
      <c r="M13" s="184">
        <f t="shared" si="3"/>
        <v>2.72</v>
      </c>
      <c r="N13" s="875">
        <f>SUM(B13:M13)</f>
        <v>226.03000000000003</v>
      </c>
      <c r="O13" s="878"/>
    </row>
    <row r="14" spans="1:22">
      <c r="A14" s="876" t="s">
        <v>506</v>
      </c>
      <c r="B14" s="184">
        <f>B11*2.8</f>
        <v>3.8079999999999998</v>
      </c>
      <c r="C14" s="184">
        <f t="shared" ref="C14:M14" si="4">C11*2.8</f>
        <v>3.8079999999999998</v>
      </c>
      <c r="D14" s="184">
        <f t="shared" si="4"/>
        <v>3.8079999999999998</v>
      </c>
      <c r="E14" s="184">
        <f t="shared" si="4"/>
        <v>34.019999999999996</v>
      </c>
      <c r="F14" s="184">
        <f t="shared" si="4"/>
        <v>40.824000000000005</v>
      </c>
      <c r="G14" s="184">
        <f t="shared" si="4"/>
        <v>58.968000000000004</v>
      </c>
      <c r="H14" s="184">
        <f t="shared" si="4"/>
        <v>40.824000000000005</v>
      </c>
      <c r="I14" s="184">
        <f t="shared" si="4"/>
        <v>51.03</v>
      </c>
      <c r="J14" s="184">
        <f t="shared" si="4"/>
        <v>31.751999999999999</v>
      </c>
      <c r="K14" s="184">
        <f t="shared" si="4"/>
        <v>26.656000000000002</v>
      </c>
      <c r="L14" s="184">
        <f t="shared" si="4"/>
        <v>17.135999999999999</v>
      </c>
      <c r="M14" s="184">
        <f t="shared" si="4"/>
        <v>3.8079999999999998</v>
      </c>
      <c r="N14" s="875">
        <f>SUM(B14:M14)</f>
        <v>316.44200000000001</v>
      </c>
      <c r="O14" s="878"/>
    </row>
    <row r="15" spans="1:22">
      <c r="A15" s="876" t="s">
        <v>507</v>
      </c>
      <c r="B15" s="184">
        <f>B11*7.5</f>
        <v>10.200000000000001</v>
      </c>
      <c r="C15" s="184">
        <f t="shared" ref="C15:M15" si="5">C11*7.5</f>
        <v>10.200000000000001</v>
      </c>
      <c r="D15" s="184">
        <f t="shared" si="5"/>
        <v>10.200000000000001</v>
      </c>
      <c r="E15" s="184">
        <f t="shared" si="5"/>
        <v>91.125</v>
      </c>
      <c r="F15" s="184">
        <f t="shared" si="5"/>
        <v>109.35000000000001</v>
      </c>
      <c r="G15" s="184">
        <f t="shared" si="5"/>
        <v>157.95000000000002</v>
      </c>
      <c r="H15" s="184">
        <f t="shared" si="5"/>
        <v>109.35000000000001</v>
      </c>
      <c r="I15" s="184">
        <f t="shared" si="5"/>
        <v>136.6875</v>
      </c>
      <c r="J15" s="184">
        <f t="shared" si="5"/>
        <v>85.05</v>
      </c>
      <c r="K15" s="184">
        <f t="shared" si="5"/>
        <v>71.400000000000006</v>
      </c>
      <c r="L15" s="184">
        <f t="shared" si="5"/>
        <v>45.9</v>
      </c>
      <c r="M15" s="184">
        <f t="shared" si="5"/>
        <v>10.200000000000001</v>
      </c>
      <c r="N15" s="875">
        <f>SUM(B15:M15)</f>
        <v>847.61249999999995</v>
      </c>
      <c r="O15" s="878"/>
    </row>
    <row r="16" spans="1:22">
      <c r="O16" s="10"/>
    </row>
    <row r="17" spans="1:15">
      <c r="O17" s="10"/>
    </row>
    <row r="18" spans="1:15">
      <c r="A18" s="17" t="s">
        <v>503</v>
      </c>
      <c r="B18" s="458" t="s">
        <v>69</v>
      </c>
      <c r="C18" s="458" t="s">
        <v>70</v>
      </c>
      <c r="D18" s="458" t="s">
        <v>71</v>
      </c>
      <c r="E18" s="458" t="s">
        <v>72</v>
      </c>
      <c r="F18" s="458" t="s">
        <v>73</v>
      </c>
      <c r="G18" s="458" t="s">
        <v>74</v>
      </c>
      <c r="H18" s="458" t="s">
        <v>75</v>
      </c>
      <c r="I18" s="458" t="s">
        <v>76</v>
      </c>
      <c r="J18" s="458" t="s">
        <v>77</v>
      </c>
      <c r="K18" s="458" t="s">
        <v>78</v>
      </c>
      <c r="L18" s="458" t="s">
        <v>79</v>
      </c>
      <c r="M18" s="458" t="s">
        <v>80</v>
      </c>
      <c r="N18" s="139" t="s">
        <v>1816</v>
      </c>
      <c r="O18" s="215"/>
    </row>
    <row r="19" spans="1:15">
      <c r="A19" s="53" t="s">
        <v>223</v>
      </c>
      <c r="B19" s="184">
        <f>B4*0.67</f>
        <v>0</v>
      </c>
      <c r="C19" s="184">
        <f t="shared" ref="C19:M19" si="6">C4*0.67</f>
        <v>0.13902500000000001</v>
      </c>
      <c r="D19" s="184">
        <f t="shared" si="6"/>
        <v>0</v>
      </c>
      <c r="E19" s="184">
        <f t="shared" si="6"/>
        <v>0.13902500000000001</v>
      </c>
      <c r="F19" s="184">
        <f t="shared" si="6"/>
        <v>1.2512250000000003</v>
      </c>
      <c r="G19" s="184">
        <f t="shared" si="6"/>
        <v>2.9195250000000001</v>
      </c>
      <c r="H19" s="184">
        <f t="shared" si="6"/>
        <v>2.0853750000000004</v>
      </c>
      <c r="I19" s="184">
        <f t="shared" si="6"/>
        <v>2.2244000000000002</v>
      </c>
      <c r="J19" s="184">
        <f t="shared" si="6"/>
        <v>1.2512250000000003</v>
      </c>
      <c r="K19" s="184">
        <f t="shared" si="6"/>
        <v>1.5292750000000002</v>
      </c>
      <c r="L19" s="184">
        <f t="shared" si="6"/>
        <v>0.97317500000000012</v>
      </c>
      <c r="M19" s="184">
        <f t="shared" si="6"/>
        <v>0.13902500000000001</v>
      </c>
      <c r="N19" s="51">
        <f>SUM(B19:M19)</f>
        <v>12.651275</v>
      </c>
      <c r="O19" s="218"/>
    </row>
    <row r="20" spans="1:15">
      <c r="A20" s="53" t="s">
        <v>341</v>
      </c>
      <c r="B20" s="184">
        <f>B5*0.67</f>
        <v>0</v>
      </c>
      <c r="C20" s="184">
        <f>C5*0.67</f>
        <v>0</v>
      </c>
      <c r="D20" s="184">
        <f>D5*0.67</f>
        <v>0</v>
      </c>
      <c r="E20" s="184">
        <f t="shared" ref="E20:J21" si="7">E5*0.81</f>
        <v>12.15</v>
      </c>
      <c r="F20" s="184">
        <f t="shared" si="7"/>
        <v>14.580000000000002</v>
      </c>
      <c r="G20" s="184">
        <f t="shared" si="7"/>
        <v>21.060000000000002</v>
      </c>
      <c r="H20" s="184">
        <f t="shared" si="7"/>
        <v>14.580000000000002</v>
      </c>
      <c r="I20" s="184">
        <f t="shared" si="7"/>
        <v>18.225000000000001</v>
      </c>
      <c r="J20" s="184">
        <f t="shared" si="7"/>
        <v>11.34</v>
      </c>
      <c r="K20" s="184">
        <f t="shared" ref="K20:M21" si="8">K5*0.67</f>
        <v>0</v>
      </c>
      <c r="L20" s="184">
        <f t="shared" si="8"/>
        <v>0</v>
      </c>
      <c r="M20" s="184">
        <f t="shared" si="8"/>
        <v>0</v>
      </c>
      <c r="N20" s="51">
        <f>SUM(B20:M20)</f>
        <v>91.935000000000002</v>
      </c>
      <c r="O20" s="218"/>
    </row>
    <row r="21" spans="1:15">
      <c r="A21" s="232" t="s">
        <v>449</v>
      </c>
      <c r="B21" s="184">
        <f>B6*0.67</f>
        <v>0</v>
      </c>
      <c r="C21" s="184">
        <f>C6*0.67</f>
        <v>0.13902500000000001</v>
      </c>
      <c r="D21" s="184">
        <f>D6*0.67</f>
        <v>0</v>
      </c>
      <c r="E21" s="184">
        <f t="shared" si="7"/>
        <v>12.318075</v>
      </c>
      <c r="F21" s="184">
        <f t="shared" si="7"/>
        <v>16.092675</v>
      </c>
      <c r="G21" s="184">
        <f t="shared" si="7"/>
        <v>24.589575000000004</v>
      </c>
      <c r="H21" s="184">
        <f t="shared" si="7"/>
        <v>17.101125000000003</v>
      </c>
      <c r="I21" s="184">
        <f t="shared" si="7"/>
        <v>20.914200000000001</v>
      </c>
      <c r="J21" s="184">
        <f t="shared" si="7"/>
        <v>12.852675000000001</v>
      </c>
      <c r="K21" s="184">
        <f t="shared" si="8"/>
        <v>1.5292750000000002</v>
      </c>
      <c r="L21" s="184">
        <f t="shared" si="8"/>
        <v>0.97317500000000012</v>
      </c>
      <c r="M21" s="184">
        <f t="shared" si="8"/>
        <v>0.13902500000000001</v>
      </c>
      <c r="N21" s="51">
        <f>SUM(B21:M21)</f>
        <v>106.648825</v>
      </c>
      <c r="O21" s="218"/>
    </row>
  </sheetData>
  <mergeCells count="3">
    <mergeCell ref="A2:A3"/>
    <mergeCell ref="B2:M2"/>
    <mergeCell ref="S4:V4"/>
  </mergeCells>
  <pageMargins left="0.7" right="0.7" top="0.75" bottom="0.75" header="0.3" footer="0.3"/>
  <pageSetup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92D050"/>
  </sheetPr>
  <dimension ref="A1:D54"/>
  <sheetViews>
    <sheetView topLeftCell="A40" workbookViewId="0">
      <selection activeCell="A27" sqref="A27:B54"/>
    </sheetView>
  </sheetViews>
  <sheetFormatPr defaultColWidth="35.36328125" defaultRowHeight="12.5"/>
  <cols>
    <col min="1" max="1" width="38" customWidth="1"/>
    <col min="2" max="2" width="47.36328125" customWidth="1"/>
  </cols>
  <sheetData>
    <row r="1" spans="1:4" ht="14">
      <c r="A1" s="394" t="s">
        <v>697</v>
      </c>
      <c r="B1" s="394" t="s">
        <v>698</v>
      </c>
      <c r="C1" s="395" t="s">
        <v>225</v>
      </c>
      <c r="D1" s="395" t="s">
        <v>699</v>
      </c>
    </row>
    <row r="2" spans="1:4" ht="14">
      <c r="A2" s="1386" t="s">
        <v>700</v>
      </c>
      <c r="B2" s="1386"/>
      <c r="C2" s="1386"/>
      <c r="D2" s="1386"/>
    </row>
    <row r="3" spans="1:4" ht="14">
      <c r="A3" s="417" t="s">
        <v>701</v>
      </c>
      <c r="B3" s="418" t="s">
        <v>723</v>
      </c>
      <c r="C3" s="396"/>
      <c r="D3" s="418" t="s">
        <v>723</v>
      </c>
    </row>
    <row r="4" spans="1:4" ht="14">
      <c r="A4" s="417" t="s">
        <v>703</v>
      </c>
      <c r="B4" s="418" t="s">
        <v>702</v>
      </c>
      <c r="C4" s="397" t="s">
        <v>704</v>
      </c>
      <c r="D4" s="418" t="s">
        <v>702</v>
      </c>
    </row>
    <row r="5" spans="1:4" ht="14">
      <c r="A5" s="417" t="s">
        <v>705</v>
      </c>
      <c r="B5" s="418"/>
      <c r="C5" s="397" t="s">
        <v>706</v>
      </c>
      <c r="D5" s="418"/>
    </row>
    <row r="6" spans="1:4" ht="14">
      <c r="A6" s="417" t="s">
        <v>726</v>
      </c>
      <c r="B6" s="418"/>
      <c r="C6" s="397" t="s">
        <v>706</v>
      </c>
      <c r="D6" s="418"/>
    </row>
    <row r="7" spans="1:4" ht="14">
      <c r="A7" s="417" t="s">
        <v>372</v>
      </c>
      <c r="B7" s="418" t="s">
        <v>702</v>
      </c>
      <c r="C7" s="397" t="s">
        <v>707</v>
      </c>
      <c r="D7" s="418" t="s">
        <v>702</v>
      </c>
    </row>
    <row r="8" spans="1:4" ht="14">
      <c r="A8" s="1388" t="s">
        <v>708</v>
      </c>
      <c r="B8" s="1389" t="s">
        <v>709</v>
      </c>
      <c r="C8" s="397" t="s">
        <v>710</v>
      </c>
      <c r="D8" s="1389" t="s">
        <v>702</v>
      </c>
    </row>
    <row r="9" spans="1:4" ht="14">
      <c r="A9" s="1388"/>
      <c r="B9" s="1389"/>
      <c r="C9" s="397" t="s">
        <v>711</v>
      </c>
      <c r="D9" s="1389"/>
    </row>
    <row r="10" spans="1:4" ht="14">
      <c r="A10" s="417" t="s">
        <v>65</v>
      </c>
      <c r="B10" s="418" t="s">
        <v>702</v>
      </c>
      <c r="C10" s="397" t="s">
        <v>712</v>
      </c>
      <c r="D10" s="418" t="s">
        <v>702</v>
      </c>
    </row>
    <row r="11" spans="1:4" ht="14">
      <c r="A11" s="417" t="s">
        <v>713</v>
      </c>
      <c r="B11" s="418" t="s">
        <v>702</v>
      </c>
      <c r="C11" s="397" t="s">
        <v>714</v>
      </c>
      <c r="D11" s="418" t="s">
        <v>702</v>
      </c>
    </row>
    <row r="12" spans="1:4" ht="14">
      <c r="A12" s="1386" t="s">
        <v>715</v>
      </c>
      <c r="B12" s="1386"/>
      <c r="C12" s="1386"/>
      <c r="D12" s="1386"/>
    </row>
    <row r="13" spans="1:4" ht="14">
      <c r="A13" s="417" t="s">
        <v>716</v>
      </c>
      <c r="B13" s="418"/>
      <c r="C13" s="418" t="s">
        <v>717</v>
      </c>
      <c r="D13" s="418"/>
    </row>
    <row r="14" spans="1:4" ht="28">
      <c r="A14" s="417" t="s">
        <v>718</v>
      </c>
      <c r="B14" s="418"/>
      <c r="C14" s="418" t="s">
        <v>719</v>
      </c>
      <c r="D14" s="418"/>
    </row>
    <row r="15" spans="1:4" ht="14">
      <c r="A15" s="1386" t="s">
        <v>720</v>
      </c>
      <c r="B15" s="1386"/>
      <c r="C15" s="1386"/>
      <c r="D15" s="1386"/>
    </row>
    <row r="16" spans="1:4" ht="14">
      <c r="A16" s="417" t="s">
        <v>724</v>
      </c>
      <c r="B16" s="418" t="s">
        <v>702</v>
      </c>
      <c r="C16" s="418" t="s">
        <v>721</v>
      </c>
      <c r="D16" s="418" t="s">
        <v>702</v>
      </c>
    </row>
    <row r="17" spans="1:4" ht="14">
      <c r="A17" s="417" t="s">
        <v>361</v>
      </c>
      <c r="B17" s="418" t="s">
        <v>702</v>
      </c>
      <c r="C17" s="418" t="s">
        <v>721</v>
      </c>
      <c r="D17" s="418" t="s">
        <v>702</v>
      </c>
    </row>
    <row r="18" spans="1:4" ht="14">
      <c r="A18" s="417" t="s">
        <v>725</v>
      </c>
      <c r="B18" s="418" t="s">
        <v>702</v>
      </c>
      <c r="C18" s="418"/>
      <c r="D18" s="418" t="s">
        <v>702</v>
      </c>
    </row>
    <row r="19" spans="1:4" ht="14">
      <c r="A19" s="417" t="s">
        <v>722</v>
      </c>
      <c r="B19" s="418" t="s">
        <v>702</v>
      </c>
      <c r="C19" s="418" t="s">
        <v>721</v>
      </c>
      <c r="D19" s="418" t="s">
        <v>702</v>
      </c>
    </row>
    <row r="20" spans="1:4" ht="14">
      <c r="A20" s="417" t="s">
        <v>67</v>
      </c>
      <c r="B20" s="418" t="s">
        <v>702</v>
      </c>
      <c r="C20" s="418" t="s">
        <v>721</v>
      </c>
      <c r="D20" s="418" t="s">
        <v>702</v>
      </c>
    </row>
    <row r="21" spans="1:4" ht="15">
      <c r="A21" s="1387" t="s">
        <v>727</v>
      </c>
      <c r="B21" s="1387"/>
      <c r="C21" s="1387"/>
      <c r="D21" s="1387"/>
    </row>
    <row r="22" spans="1:4" ht="15.5">
      <c r="A22" s="398" t="s">
        <v>728</v>
      </c>
      <c r="B22" s="152"/>
      <c r="C22" s="399" t="s">
        <v>731</v>
      </c>
      <c r="D22" s="152"/>
    </row>
    <row r="23" spans="1:4" ht="15.5">
      <c r="A23" s="398" t="s">
        <v>729</v>
      </c>
      <c r="B23" s="152"/>
      <c r="C23" s="399" t="s">
        <v>732</v>
      </c>
      <c r="D23" s="152"/>
    </row>
    <row r="24" spans="1:4" ht="15.5">
      <c r="A24" s="398" t="s">
        <v>730</v>
      </c>
      <c r="B24" s="152"/>
      <c r="C24" s="399" t="s">
        <v>733</v>
      </c>
      <c r="D24" s="152"/>
    </row>
    <row r="25" spans="1:4" ht="15.5">
      <c r="A25" s="72"/>
      <c r="B25" s="72"/>
      <c r="C25" s="72"/>
      <c r="D25" s="72"/>
    </row>
    <row r="26" spans="1:4" ht="15.5">
      <c r="A26" s="72"/>
      <c r="B26" s="72"/>
      <c r="C26" s="72"/>
      <c r="D26" s="72"/>
    </row>
    <row r="27" spans="1:4" ht="15.5">
      <c r="A27" s="1383" t="s">
        <v>1157</v>
      </c>
      <c r="B27" s="1383"/>
      <c r="C27" s="72"/>
      <c r="D27" s="72"/>
    </row>
    <row r="28" spans="1:4" ht="15.5">
      <c r="A28" s="389" t="s">
        <v>620</v>
      </c>
      <c r="B28" s="389" t="s">
        <v>621</v>
      </c>
      <c r="C28" s="72"/>
      <c r="D28" s="72"/>
    </row>
    <row r="29" spans="1:4" ht="15.5">
      <c r="A29" s="706" t="s">
        <v>658</v>
      </c>
      <c r="B29" s="625" t="s">
        <v>185</v>
      </c>
      <c r="C29" s="72"/>
      <c r="D29" s="72"/>
    </row>
    <row r="30" spans="1:4" ht="31">
      <c r="A30" s="706" t="s">
        <v>674</v>
      </c>
      <c r="B30" s="706" t="s">
        <v>623</v>
      </c>
      <c r="C30" s="72"/>
      <c r="D30" s="72"/>
    </row>
    <row r="31" spans="1:4" ht="15.5">
      <c r="A31" s="706" t="s">
        <v>490</v>
      </c>
      <c r="B31" s="706" t="s">
        <v>68</v>
      </c>
      <c r="C31" s="72"/>
      <c r="D31" s="72"/>
    </row>
    <row r="32" spans="1:4" ht="15.5">
      <c r="A32" s="706" t="s">
        <v>624</v>
      </c>
      <c r="B32" s="706" t="s">
        <v>201</v>
      </c>
      <c r="C32" s="72"/>
      <c r="D32" s="72"/>
    </row>
    <row r="33" spans="1:4" ht="15.5">
      <c r="A33" s="706" t="s">
        <v>156</v>
      </c>
      <c r="B33" s="390" t="s">
        <v>662</v>
      </c>
      <c r="C33" s="72"/>
      <c r="D33" s="72"/>
    </row>
    <row r="34" spans="1:4" ht="15.5">
      <c r="A34" s="625" t="s">
        <v>642</v>
      </c>
      <c r="B34" s="625" t="s">
        <v>677</v>
      </c>
      <c r="C34" s="72"/>
      <c r="D34" s="72"/>
    </row>
    <row r="35" spans="1:4" ht="15.5">
      <c r="A35" s="625" t="s">
        <v>659</v>
      </c>
      <c r="B35" s="625" t="s">
        <v>678</v>
      </c>
      <c r="C35" s="72"/>
      <c r="D35" s="72"/>
    </row>
    <row r="36" spans="1:4" ht="15.5">
      <c r="A36" s="625" t="s">
        <v>660</v>
      </c>
      <c r="B36" s="625" t="s">
        <v>679</v>
      </c>
      <c r="C36" s="72"/>
      <c r="D36" s="72"/>
    </row>
    <row r="37" spans="1:4" ht="15.5">
      <c r="A37" s="625" t="s">
        <v>661</v>
      </c>
      <c r="B37" s="625"/>
      <c r="C37" s="72"/>
      <c r="D37" s="72"/>
    </row>
    <row r="38" spans="1:4" ht="15.5">
      <c r="A38" s="1384" t="s">
        <v>646</v>
      </c>
      <c r="B38" s="1385"/>
      <c r="C38" s="72"/>
      <c r="D38" s="72"/>
    </row>
    <row r="39" spans="1:4" ht="15.5">
      <c r="A39" s="389" t="s">
        <v>620</v>
      </c>
      <c r="B39" s="389" t="s">
        <v>621</v>
      </c>
      <c r="C39" s="72"/>
      <c r="D39" s="72"/>
    </row>
    <row r="40" spans="1:4" ht="31">
      <c r="A40" s="706" t="s">
        <v>625</v>
      </c>
      <c r="B40" s="706" t="s">
        <v>622</v>
      </c>
      <c r="C40" s="72"/>
      <c r="D40" s="72"/>
    </row>
    <row r="41" spans="1:4" ht="31">
      <c r="A41" s="706" t="s">
        <v>674</v>
      </c>
      <c r="B41" s="706" t="s">
        <v>201</v>
      </c>
      <c r="C41" s="72"/>
      <c r="D41" s="72"/>
    </row>
    <row r="42" spans="1:4" ht="31">
      <c r="A42" s="706" t="s">
        <v>626</v>
      </c>
      <c r="B42" s="706" t="s">
        <v>735</v>
      </c>
      <c r="C42" s="72"/>
      <c r="D42" s="72"/>
    </row>
    <row r="43" spans="1:4" ht="15.5">
      <c r="A43" s="706"/>
      <c r="B43" s="706" t="s">
        <v>68</v>
      </c>
      <c r="C43" s="72"/>
      <c r="D43" s="72"/>
    </row>
    <row r="44" spans="1:4" ht="31">
      <c r="A44" s="706" t="s">
        <v>627</v>
      </c>
      <c r="B44" s="390" t="s">
        <v>180</v>
      </c>
      <c r="C44" s="72"/>
      <c r="D44" s="72"/>
    </row>
    <row r="45" spans="1:4" ht="31">
      <c r="A45" s="706" t="s">
        <v>628</v>
      </c>
      <c r="B45" s="706" t="s">
        <v>120</v>
      </c>
      <c r="C45" s="72"/>
      <c r="D45" s="72"/>
    </row>
    <row r="46" spans="1:4" ht="15.5">
      <c r="A46" s="625" t="s">
        <v>675</v>
      </c>
      <c r="B46" s="390" t="s">
        <v>184</v>
      </c>
      <c r="C46" s="72"/>
      <c r="D46" s="72"/>
    </row>
    <row r="47" spans="1:4" ht="31">
      <c r="A47" s="707" t="s">
        <v>676</v>
      </c>
      <c r="B47" s="708" t="s">
        <v>673</v>
      </c>
      <c r="C47" s="72"/>
      <c r="D47" s="72"/>
    </row>
    <row r="48" spans="1:4" ht="15.5">
      <c r="A48" s="1382" t="s">
        <v>734</v>
      </c>
      <c r="B48" s="1382"/>
      <c r="C48" s="72"/>
      <c r="D48" s="72"/>
    </row>
    <row r="49" spans="1:4" ht="15.5">
      <c r="A49" s="389" t="s">
        <v>620</v>
      </c>
      <c r="B49" s="389" t="s">
        <v>621</v>
      </c>
      <c r="C49" s="72"/>
      <c r="D49" s="72"/>
    </row>
    <row r="50" spans="1:4" ht="15.5">
      <c r="A50" s="709" t="s">
        <v>736</v>
      </c>
      <c r="B50" s="706" t="s">
        <v>201</v>
      </c>
      <c r="C50" s="72"/>
      <c r="D50" s="72"/>
    </row>
    <row r="51" spans="1:4" ht="31">
      <c r="A51" s="706" t="s">
        <v>741</v>
      </c>
      <c r="B51" s="625" t="s">
        <v>622</v>
      </c>
      <c r="C51" s="72"/>
      <c r="D51" s="72"/>
    </row>
    <row r="52" spans="1:4" ht="15.5">
      <c r="A52" s="624"/>
      <c r="B52" s="625" t="s">
        <v>739</v>
      </c>
      <c r="C52" s="72"/>
      <c r="D52" s="72"/>
    </row>
    <row r="53" spans="1:4" ht="31">
      <c r="A53" s="624"/>
      <c r="B53" s="706" t="s">
        <v>740</v>
      </c>
      <c r="C53" s="72"/>
      <c r="D53" s="72"/>
    </row>
    <row r="54" spans="1:4" ht="15.5">
      <c r="A54" s="624"/>
      <c r="B54" s="706" t="s">
        <v>68</v>
      </c>
      <c r="C54" s="72"/>
      <c r="D54" s="72"/>
    </row>
  </sheetData>
  <mergeCells count="10">
    <mergeCell ref="A2:D2"/>
    <mergeCell ref="A8:A9"/>
    <mergeCell ref="B8:B9"/>
    <mergeCell ref="D8:D9"/>
    <mergeCell ref="A12:D12"/>
    <mergeCell ref="A48:B48"/>
    <mergeCell ref="A27:B27"/>
    <mergeCell ref="A38:B38"/>
    <mergeCell ref="A15:D15"/>
    <mergeCell ref="A21:D21"/>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92D050"/>
    <pageSetUpPr fitToPage="1"/>
  </sheetPr>
  <dimension ref="A1:AC127"/>
  <sheetViews>
    <sheetView topLeftCell="A77" zoomScaleNormal="100" workbookViewId="0">
      <selection activeCell="D91" sqref="D91"/>
    </sheetView>
  </sheetViews>
  <sheetFormatPr defaultColWidth="38" defaultRowHeight="15.5"/>
  <cols>
    <col min="1" max="1" width="17.6328125" style="624" bestFit="1" customWidth="1"/>
    <col min="2" max="2" width="62.90625" style="624" bestFit="1" customWidth="1"/>
    <col min="3" max="3" width="16.36328125" style="72" bestFit="1" customWidth="1"/>
    <col min="4" max="4" width="20.6328125" style="72" customWidth="1"/>
    <col min="5" max="5" width="13.453125" style="72" bestFit="1" customWidth="1"/>
    <col min="6" max="6" width="14.36328125" style="72" bestFit="1" customWidth="1"/>
    <col min="7" max="7" width="22.54296875" style="72" bestFit="1" customWidth="1"/>
    <col min="8" max="8" width="22.54296875" style="72" customWidth="1"/>
    <col min="9" max="9" width="57.08984375" style="72" bestFit="1" customWidth="1"/>
    <col min="10" max="10" width="15" style="72" bestFit="1" customWidth="1"/>
    <col min="11" max="11" width="12.08984375" style="72" bestFit="1" customWidth="1"/>
    <col min="12" max="12" width="14" style="72" bestFit="1" customWidth="1"/>
    <col min="13" max="13" width="11.90625" style="72" bestFit="1" customWidth="1"/>
    <col min="14" max="14" width="14.54296875" style="72" bestFit="1" customWidth="1"/>
    <col min="15" max="15" width="14.90625" style="72" customWidth="1"/>
    <col min="16" max="16" width="13.6328125" style="72" customWidth="1"/>
    <col min="17" max="17" width="11.90625" style="72" bestFit="1" customWidth="1"/>
    <col min="18" max="18" width="14.54296875" style="72" bestFit="1" customWidth="1"/>
    <col min="19" max="19" width="13.453125" style="72" bestFit="1" customWidth="1"/>
    <col min="20" max="20" width="39.90625" style="72" bestFit="1" customWidth="1"/>
    <col min="21" max="21" width="26.08984375" style="72" customWidth="1"/>
    <col min="22" max="22" width="18.08984375" style="72" bestFit="1" customWidth="1"/>
    <col min="23" max="23" width="10.08984375" style="72" bestFit="1" customWidth="1"/>
    <col min="24" max="24" width="35.36328125" style="72" bestFit="1" customWidth="1"/>
    <col min="25" max="25" width="9.36328125" style="72" bestFit="1" customWidth="1"/>
    <col min="26" max="26" width="22" style="72" bestFit="1" customWidth="1"/>
    <col min="27" max="27" width="21" style="72" bestFit="1" customWidth="1"/>
    <col min="28" max="28" width="17.54296875" style="72" bestFit="1" customWidth="1"/>
    <col min="29" max="29" width="17.453125" style="72" bestFit="1" customWidth="1"/>
    <col min="30" max="16384" width="38" style="72"/>
  </cols>
  <sheetData>
    <row r="1" spans="1:29">
      <c r="O1" s="401"/>
      <c r="P1" s="401"/>
      <c r="Q1" s="401"/>
      <c r="R1" s="388"/>
      <c r="AB1" s="402"/>
    </row>
    <row r="2" spans="1:29" ht="31.5" customHeight="1">
      <c r="H2" s="403"/>
      <c r="J2" s="1390" t="s">
        <v>1054</v>
      </c>
      <c r="K2" s="1390"/>
      <c r="L2" s="1390"/>
      <c r="M2" s="1390"/>
      <c r="N2" s="1390"/>
      <c r="O2" s="1390"/>
      <c r="P2" s="1390"/>
      <c r="Q2" s="1390"/>
      <c r="R2" s="1390"/>
      <c r="T2" s="73" t="s">
        <v>953</v>
      </c>
      <c r="U2" s="523" t="s">
        <v>951</v>
      </c>
      <c r="V2" s="73" t="s">
        <v>952</v>
      </c>
      <c r="AA2" s="421"/>
      <c r="AB2" s="402"/>
    </row>
    <row r="3" spans="1:29" ht="15.75" customHeight="1">
      <c r="A3" s="1401" t="s">
        <v>259</v>
      </c>
      <c r="B3" s="1401" t="s">
        <v>260</v>
      </c>
      <c r="C3" s="1403">
        <v>2013</v>
      </c>
      <c r="D3" s="1404"/>
      <c r="E3" s="1405"/>
      <c r="F3" s="1406" t="s">
        <v>754</v>
      </c>
      <c r="G3" s="1408" t="s">
        <v>629</v>
      </c>
      <c r="H3" s="403"/>
      <c r="J3" s="521">
        <v>41359</v>
      </c>
      <c r="K3" s="521">
        <v>41387</v>
      </c>
      <c r="L3" s="521">
        <v>41417</v>
      </c>
      <c r="M3" s="521">
        <v>41443</v>
      </c>
      <c r="N3" s="521">
        <v>41480</v>
      </c>
      <c r="O3" s="521">
        <v>41506</v>
      </c>
      <c r="P3" s="521">
        <v>41543</v>
      </c>
      <c r="Q3" s="521">
        <v>41570</v>
      </c>
      <c r="R3" s="521">
        <v>41599</v>
      </c>
      <c r="T3" s="1400" t="s">
        <v>778</v>
      </c>
      <c r="U3" s="1400"/>
      <c r="V3" s="1400"/>
    </row>
    <row r="4" spans="1:29">
      <c r="A4" s="1402"/>
      <c r="B4" s="1402"/>
      <c r="C4" s="457" t="s">
        <v>755</v>
      </c>
      <c r="D4" s="457" t="s">
        <v>645</v>
      </c>
      <c r="E4" s="457" t="s">
        <v>586</v>
      </c>
      <c r="F4" s="1407"/>
      <c r="G4" s="1409"/>
      <c r="H4" s="403"/>
      <c r="I4" s="72" t="s">
        <v>1164</v>
      </c>
      <c r="J4" s="525" t="s">
        <v>924</v>
      </c>
      <c r="K4" s="526"/>
      <c r="L4" s="526"/>
      <c r="M4" s="526"/>
      <c r="N4" s="526"/>
      <c r="O4" s="526"/>
      <c r="P4" s="526"/>
      <c r="Q4" s="526"/>
      <c r="R4" s="527"/>
      <c r="T4" s="454" t="s">
        <v>759</v>
      </c>
      <c r="U4" s="517"/>
      <c r="V4" s="524" t="s">
        <v>979</v>
      </c>
    </row>
    <row r="5" spans="1:29">
      <c r="A5" s="1391" t="s">
        <v>663</v>
      </c>
      <c r="B5" s="1392"/>
      <c r="C5" s="1392"/>
      <c r="D5" s="1392"/>
      <c r="E5" s="1392"/>
      <c r="F5" s="1392"/>
      <c r="G5" s="1393"/>
      <c r="H5" s="420"/>
      <c r="I5" s="724" t="s">
        <v>683</v>
      </c>
      <c r="J5" s="391" t="s">
        <v>681</v>
      </c>
      <c r="K5" s="73" t="s">
        <v>186</v>
      </c>
      <c r="L5" s="73" t="s">
        <v>538</v>
      </c>
      <c r="M5" s="73" t="s">
        <v>538</v>
      </c>
      <c r="N5" s="73" t="s">
        <v>538</v>
      </c>
      <c r="O5" s="73" t="s">
        <v>538</v>
      </c>
      <c r="P5" s="73" t="s">
        <v>538</v>
      </c>
      <c r="Q5" s="73" t="s">
        <v>538</v>
      </c>
      <c r="R5" s="73" t="s">
        <v>538</v>
      </c>
      <c r="T5" s="522" t="s">
        <v>689</v>
      </c>
      <c r="U5" s="517"/>
      <c r="V5" s="524" t="s">
        <v>979</v>
      </c>
    </row>
    <row r="6" spans="1:29">
      <c r="A6" s="391" t="s">
        <v>947</v>
      </c>
      <c r="B6" s="391" t="s">
        <v>807</v>
      </c>
      <c r="C6" s="416"/>
      <c r="D6" s="416"/>
      <c r="E6" s="416" t="s">
        <v>443</v>
      </c>
      <c r="F6" s="416"/>
      <c r="G6" s="386" t="s">
        <v>925</v>
      </c>
      <c r="H6" s="402"/>
      <c r="I6" s="724" t="s">
        <v>600</v>
      </c>
      <c r="J6" s="73" t="s">
        <v>186</v>
      </c>
      <c r="K6" s="73" t="s">
        <v>249</v>
      </c>
      <c r="L6" s="73" t="s">
        <v>520</v>
      </c>
      <c r="M6" s="73" t="s">
        <v>520</v>
      </c>
      <c r="N6" s="73" t="s">
        <v>520</v>
      </c>
      <c r="O6" s="73" t="s">
        <v>520</v>
      </c>
      <c r="P6" s="73" t="s">
        <v>520</v>
      </c>
      <c r="Q6" s="73" t="s">
        <v>520</v>
      </c>
      <c r="R6" s="73" t="s">
        <v>520</v>
      </c>
      <c r="T6" s="522" t="s">
        <v>795</v>
      </c>
      <c r="U6" s="517"/>
      <c r="V6" s="517" t="s">
        <v>443</v>
      </c>
    </row>
    <row r="7" spans="1:29">
      <c r="A7" s="625" t="s">
        <v>538</v>
      </c>
      <c r="B7" s="625" t="s">
        <v>587</v>
      </c>
      <c r="C7" s="384" t="s">
        <v>443</v>
      </c>
      <c r="D7" s="384" t="s">
        <v>443</v>
      </c>
      <c r="E7" s="384" t="s">
        <v>443</v>
      </c>
      <c r="F7" s="384" t="s">
        <v>588</v>
      </c>
      <c r="G7" s="386" t="s">
        <v>630</v>
      </c>
      <c r="H7" s="402"/>
      <c r="I7" s="724" t="s">
        <v>266</v>
      </c>
      <c r="J7" s="73" t="s">
        <v>249</v>
      </c>
      <c r="K7" s="73" t="s">
        <v>250</v>
      </c>
      <c r="L7" s="73" t="s">
        <v>262</v>
      </c>
      <c r="M7" s="73" t="s">
        <v>262</v>
      </c>
      <c r="N7" s="73" t="s">
        <v>262</v>
      </c>
      <c r="O7" s="73" t="s">
        <v>262</v>
      </c>
      <c r="P7" s="73" t="s">
        <v>262</v>
      </c>
      <c r="Q7" s="73" t="s">
        <v>262</v>
      </c>
      <c r="R7" s="73" t="s">
        <v>262</v>
      </c>
      <c r="T7" s="522" t="s">
        <v>758</v>
      </c>
      <c r="U7" s="517" t="s">
        <v>443</v>
      </c>
      <c r="V7" s="517"/>
      <c r="Y7" s="73" t="s">
        <v>850</v>
      </c>
      <c r="Z7" s="73" t="s">
        <v>987</v>
      </c>
      <c r="AA7" s="73" t="s">
        <v>988</v>
      </c>
      <c r="AB7" s="73" t="s">
        <v>1001</v>
      </c>
      <c r="AC7" s="73" t="s">
        <v>1002</v>
      </c>
    </row>
    <row r="8" spans="1:29">
      <c r="A8" s="625" t="s">
        <v>797</v>
      </c>
      <c r="B8" s="625" t="s">
        <v>798</v>
      </c>
      <c r="C8" s="384" t="s">
        <v>443</v>
      </c>
      <c r="D8" s="384"/>
      <c r="E8" s="384"/>
      <c r="F8" s="384"/>
      <c r="G8" s="386"/>
      <c r="H8" s="402"/>
      <c r="I8" s="724" t="s">
        <v>682</v>
      </c>
      <c r="J8" s="73" t="s">
        <v>680</v>
      </c>
      <c r="K8" s="73" t="s">
        <v>251</v>
      </c>
      <c r="L8" s="73" t="s">
        <v>595</v>
      </c>
      <c r="M8" s="73" t="s">
        <v>1023</v>
      </c>
      <c r="N8" s="73" t="s">
        <v>595</v>
      </c>
      <c r="O8" s="73" t="s">
        <v>595</v>
      </c>
      <c r="P8" s="73" t="s">
        <v>595</v>
      </c>
      <c r="Q8" s="73" t="s">
        <v>595</v>
      </c>
      <c r="R8" s="73" t="s">
        <v>258</v>
      </c>
      <c r="T8" s="522" t="s">
        <v>369</v>
      </c>
      <c r="U8" s="517"/>
      <c r="V8" s="517" t="s">
        <v>443</v>
      </c>
      <c r="Y8" s="73" t="s">
        <v>989</v>
      </c>
      <c r="Z8" s="73" t="s">
        <v>990</v>
      </c>
      <c r="AA8" s="73" t="s">
        <v>991</v>
      </c>
      <c r="AB8" s="578">
        <v>5</v>
      </c>
      <c r="AC8" s="578">
        <v>35</v>
      </c>
    </row>
    <row r="9" spans="1:29">
      <c r="A9" s="625" t="s">
        <v>520</v>
      </c>
      <c r="B9" s="625" t="s">
        <v>589</v>
      </c>
      <c r="C9" s="384" t="s">
        <v>443</v>
      </c>
      <c r="D9" s="384" t="s">
        <v>443</v>
      </c>
      <c r="E9" s="384" t="s">
        <v>443</v>
      </c>
      <c r="F9" s="384" t="s">
        <v>588</v>
      </c>
      <c r="G9" s="386" t="s">
        <v>630</v>
      </c>
      <c r="H9" s="402"/>
      <c r="I9" s="724" t="s">
        <v>267</v>
      </c>
      <c r="J9" s="73" t="s">
        <v>250</v>
      </c>
      <c r="K9" s="73" t="s">
        <v>252</v>
      </c>
      <c r="L9" s="73" t="s">
        <v>258</v>
      </c>
      <c r="M9" s="73" t="s">
        <v>258</v>
      </c>
      <c r="N9" s="73" t="s">
        <v>258</v>
      </c>
      <c r="O9" s="73" t="s">
        <v>258</v>
      </c>
      <c r="P9" s="73" t="s">
        <v>258</v>
      </c>
      <c r="Q9" s="73" t="s">
        <v>258</v>
      </c>
      <c r="R9" s="73" t="s">
        <v>257</v>
      </c>
      <c r="T9" s="522" t="s">
        <v>760</v>
      </c>
      <c r="U9" s="517" t="s">
        <v>443</v>
      </c>
      <c r="V9" s="517"/>
      <c r="Y9" s="73" t="s">
        <v>992</v>
      </c>
      <c r="Z9" s="73" t="s">
        <v>563</v>
      </c>
      <c r="AA9" s="73" t="s">
        <v>563</v>
      </c>
      <c r="AB9" s="578">
        <v>2</v>
      </c>
      <c r="AC9" s="578">
        <v>14</v>
      </c>
    </row>
    <row r="10" spans="1:29">
      <c r="A10" s="625" t="s">
        <v>799</v>
      </c>
      <c r="B10" s="625" t="s">
        <v>800</v>
      </c>
      <c r="C10" s="384" t="s">
        <v>443</v>
      </c>
      <c r="D10" s="384"/>
      <c r="E10" s="384"/>
      <c r="F10" s="384"/>
      <c r="G10" s="386"/>
      <c r="H10" s="402"/>
      <c r="I10" s="724" t="s">
        <v>268</v>
      </c>
      <c r="J10" s="73" t="s">
        <v>251</v>
      </c>
      <c r="K10" s="73" t="s">
        <v>253</v>
      </c>
      <c r="L10" s="73" t="s">
        <v>257</v>
      </c>
      <c r="M10" s="73" t="s">
        <v>257</v>
      </c>
      <c r="N10" s="73" t="s">
        <v>257</v>
      </c>
      <c r="O10" s="73" t="s">
        <v>257</v>
      </c>
      <c r="P10" s="73" t="s">
        <v>257</v>
      </c>
      <c r="Q10" s="73" t="s">
        <v>257</v>
      </c>
      <c r="R10" s="73" t="s">
        <v>186</v>
      </c>
      <c r="T10" s="522" t="s">
        <v>761</v>
      </c>
      <c r="U10" s="517" t="s">
        <v>443</v>
      </c>
      <c r="V10" s="517"/>
      <c r="Y10" s="73" t="s">
        <v>993</v>
      </c>
      <c r="Z10" s="73" t="s">
        <v>563</v>
      </c>
      <c r="AA10" s="73" t="s">
        <v>563</v>
      </c>
      <c r="AB10" s="578">
        <v>2</v>
      </c>
      <c r="AC10" s="578">
        <v>14</v>
      </c>
    </row>
    <row r="11" spans="1:29">
      <c r="A11" s="625" t="s">
        <v>262</v>
      </c>
      <c r="B11" s="625" t="s">
        <v>263</v>
      </c>
      <c r="C11" s="384" t="s">
        <v>443</v>
      </c>
      <c r="D11" s="384" t="s">
        <v>647</v>
      </c>
      <c r="E11" s="384" t="s">
        <v>443</v>
      </c>
      <c r="F11" s="384"/>
      <c r="G11" s="386" t="s">
        <v>630</v>
      </c>
      <c r="H11" s="402"/>
      <c r="I11" s="724" t="s">
        <v>601</v>
      </c>
      <c r="J11" s="73" t="s">
        <v>252</v>
      </c>
      <c r="K11" s="226" t="s">
        <v>684</v>
      </c>
      <c r="L11" s="73" t="s">
        <v>186</v>
      </c>
      <c r="M11" s="73" t="s">
        <v>186</v>
      </c>
      <c r="N11" s="73" t="s">
        <v>186</v>
      </c>
      <c r="O11" s="73" t="s">
        <v>186</v>
      </c>
      <c r="P11" s="73" t="s">
        <v>186</v>
      </c>
      <c r="Q11" s="73" t="s">
        <v>186</v>
      </c>
      <c r="R11" s="73" t="s">
        <v>249</v>
      </c>
      <c r="T11" s="522" t="s">
        <v>762</v>
      </c>
      <c r="U11" s="517" t="s">
        <v>443</v>
      </c>
      <c r="V11" s="517"/>
      <c r="Y11" s="73" t="s">
        <v>994</v>
      </c>
      <c r="Z11" s="73" t="s">
        <v>995</v>
      </c>
      <c r="AA11" s="73" t="s">
        <v>996</v>
      </c>
      <c r="AB11" s="578">
        <v>6</v>
      </c>
      <c r="AC11" s="578">
        <v>42</v>
      </c>
    </row>
    <row r="12" spans="1:29">
      <c r="A12" s="1391" t="s">
        <v>664</v>
      </c>
      <c r="B12" s="1392"/>
      <c r="C12" s="1392"/>
      <c r="D12" s="1392"/>
      <c r="E12" s="1392"/>
      <c r="F12" s="1392"/>
      <c r="G12" s="1393"/>
      <c r="H12" s="420"/>
      <c r="I12" s="724" t="s">
        <v>602</v>
      </c>
      <c r="J12" s="73" t="s">
        <v>253</v>
      </c>
      <c r="K12" s="73" t="s">
        <v>680</v>
      </c>
      <c r="L12" s="73" t="s">
        <v>249</v>
      </c>
      <c r="M12" s="73" t="s">
        <v>249</v>
      </c>
      <c r="N12" s="73" t="s">
        <v>249</v>
      </c>
      <c r="O12" s="73" t="s">
        <v>249</v>
      </c>
      <c r="P12" s="73" t="s">
        <v>249</v>
      </c>
      <c r="Q12" s="73" t="s">
        <v>249</v>
      </c>
      <c r="R12" s="73" t="s">
        <v>250</v>
      </c>
      <c r="T12" s="522" t="s">
        <v>763</v>
      </c>
      <c r="U12" s="517" t="s">
        <v>443</v>
      </c>
      <c r="V12" s="517"/>
      <c r="Y12" s="73" t="s">
        <v>997</v>
      </c>
      <c r="Z12" s="73" t="s">
        <v>998</v>
      </c>
      <c r="AA12" s="73" t="s">
        <v>998</v>
      </c>
      <c r="AB12" s="578">
        <v>2</v>
      </c>
      <c r="AC12" s="578">
        <v>14</v>
      </c>
    </row>
    <row r="13" spans="1:29">
      <c r="A13" s="625" t="s">
        <v>590</v>
      </c>
      <c r="B13" s="625" t="s">
        <v>631</v>
      </c>
      <c r="C13" s="384" t="s">
        <v>443</v>
      </c>
      <c r="D13" s="384" t="s">
        <v>647</v>
      </c>
      <c r="E13" s="384" t="s">
        <v>443</v>
      </c>
      <c r="F13" s="384" t="s">
        <v>588</v>
      </c>
      <c r="G13" s="386" t="s">
        <v>632</v>
      </c>
      <c r="H13" s="402"/>
      <c r="I13" s="724" t="s">
        <v>685</v>
      </c>
      <c r="J13" s="226" t="s">
        <v>684</v>
      </c>
      <c r="K13" s="391" t="s">
        <v>681</v>
      </c>
      <c r="L13" s="73" t="s">
        <v>250</v>
      </c>
      <c r="M13" s="73" t="s">
        <v>250</v>
      </c>
      <c r="N13" s="73" t="s">
        <v>250</v>
      </c>
      <c r="O13" s="73" t="s">
        <v>250</v>
      </c>
      <c r="P13" s="73" t="s">
        <v>250</v>
      </c>
      <c r="Q13" s="73" t="s">
        <v>250</v>
      </c>
      <c r="R13" s="73" t="s">
        <v>251</v>
      </c>
      <c r="T13" s="522" t="s">
        <v>370</v>
      </c>
      <c r="U13" s="517"/>
      <c r="V13" s="524" t="s">
        <v>443</v>
      </c>
      <c r="Y13" s="73" t="s">
        <v>999</v>
      </c>
      <c r="Z13" s="73" t="s">
        <v>564</v>
      </c>
      <c r="AA13" s="73" t="s">
        <v>1000</v>
      </c>
      <c r="AB13" s="578">
        <v>2</v>
      </c>
      <c r="AC13" s="578">
        <v>14</v>
      </c>
    </row>
    <row r="14" spans="1:29">
      <c r="A14" s="625" t="s">
        <v>591</v>
      </c>
      <c r="B14" s="625" t="s">
        <v>1024</v>
      </c>
      <c r="C14" s="384" t="s">
        <v>593</v>
      </c>
      <c r="D14" s="384"/>
      <c r="E14" s="384" t="s">
        <v>443</v>
      </c>
      <c r="F14" s="73"/>
      <c r="G14" s="386" t="s">
        <v>925</v>
      </c>
      <c r="H14" s="402"/>
      <c r="I14" s="724" t="s">
        <v>276</v>
      </c>
      <c r="J14" s="73" t="s">
        <v>254</v>
      </c>
      <c r="K14" s="73" t="s">
        <v>254</v>
      </c>
      <c r="L14" s="73" t="s">
        <v>251</v>
      </c>
      <c r="M14" s="73" t="s">
        <v>251</v>
      </c>
      <c r="N14" s="73" t="s">
        <v>251</v>
      </c>
      <c r="O14" s="73" t="s">
        <v>251</v>
      </c>
      <c r="P14" s="73" t="s">
        <v>251</v>
      </c>
      <c r="Q14" s="73" t="s">
        <v>251</v>
      </c>
      <c r="R14" s="73" t="s">
        <v>252</v>
      </c>
      <c r="T14" s="1194" t="s">
        <v>779</v>
      </c>
      <c r="U14" s="1195"/>
      <c r="V14" s="1196"/>
    </row>
    <row r="15" spans="1:29">
      <c r="A15" s="1391" t="s">
        <v>594</v>
      </c>
      <c r="B15" s="1392"/>
      <c r="C15" s="1392"/>
      <c r="D15" s="1392"/>
      <c r="E15" s="1392"/>
      <c r="F15" s="1392"/>
      <c r="G15" s="1393"/>
      <c r="H15" s="420"/>
      <c r="I15" s="724" t="s">
        <v>278</v>
      </c>
      <c r="J15" s="73" t="s">
        <v>255</v>
      </c>
      <c r="K15" s="73" t="s">
        <v>255</v>
      </c>
      <c r="L15" s="73" t="s">
        <v>252</v>
      </c>
      <c r="M15" s="73" t="s">
        <v>252</v>
      </c>
      <c r="N15" s="73" t="s">
        <v>252</v>
      </c>
      <c r="O15" s="73" t="s">
        <v>252</v>
      </c>
      <c r="P15" s="73" t="s">
        <v>252</v>
      </c>
      <c r="Q15" s="73" t="s">
        <v>252</v>
      </c>
      <c r="R15" s="73" t="s">
        <v>253</v>
      </c>
      <c r="T15" s="522" t="s">
        <v>796</v>
      </c>
      <c r="U15" s="73"/>
      <c r="V15" s="517" t="s">
        <v>443</v>
      </c>
    </row>
    <row r="16" spans="1:29">
      <c r="A16" s="625" t="s">
        <v>687</v>
      </c>
      <c r="B16" s="625" t="s">
        <v>651</v>
      </c>
      <c r="C16" s="384" t="s">
        <v>443</v>
      </c>
      <c r="D16" s="384"/>
      <c r="E16" s="384" t="s">
        <v>443</v>
      </c>
      <c r="F16" s="384" t="s">
        <v>588</v>
      </c>
      <c r="G16" s="386" t="s">
        <v>632</v>
      </c>
      <c r="H16" s="402"/>
      <c r="I16" s="724" t="s">
        <v>602</v>
      </c>
      <c r="L16" s="73" t="s">
        <v>253</v>
      </c>
      <c r="M16" s="73" t="s">
        <v>253</v>
      </c>
      <c r="N16" s="73" t="s">
        <v>253</v>
      </c>
      <c r="O16" s="73" t="s">
        <v>253</v>
      </c>
      <c r="P16" s="73" t="s">
        <v>253</v>
      </c>
      <c r="Q16" s="73" t="s">
        <v>253</v>
      </c>
      <c r="R16" s="226" t="s">
        <v>684</v>
      </c>
      <c r="T16" s="454" t="s">
        <v>766</v>
      </c>
      <c r="U16" s="73"/>
      <c r="V16" s="517" t="s">
        <v>443</v>
      </c>
    </row>
    <row r="17" spans="1:22" ht="15" customHeight="1">
      <c r="A17" s="625" t="s">
        <v>688</v>
      </c>
      <c r="B17" s="625" t="s">
        <v>651</v>
      </c>
      <c r="C17" s="384"/>
      <c r="D17" s="384"/>
      <c r="E17" s="384" t="s">
        <v>443</v>
      </c>
      <c r="F17" s="384" t="s">
        <v>588</v>
      </c>
      <c r="G17" s="386" t="s">
        <v>632</v>
      </c>
      <c r="H17" s="402"/>
      <c r="I17" s="724" t="s">
        <v>685</v>
      </c>
      <c r="L17" s="226" t="s">
        <v>684</v>
      </c>
      <c r="M17" s="226" t="s">
        <v>684</v>
      </c>
      <c r="N17" s="226" t="s">
        <v>684</v>
      </c>
      <c r="O17" s="226" t="s">
        <v>684</v>
      </c>
      <c r="P17" s="226" t="s">
        <v>684</v>
      </c>
      <c r="Q17" s="226" t="s">
        <v>684</v>
      </c>
      <c r="R17" s="73" t="s">
        <v>680</v>
      </c>
      <c r="T17" s="454" t="s">
        <v>767</v>
      </c>
      <c r="U17" s="73"/>
      <c r="V17" s="517" t="s">
        <v>443</v>
      </c>
    </row>
    <row r="18" spans="1:22">
      <c r="A18" s="625" t="s">
        <v>236</v>
      </c>
      <c r="B18" s="625" t="s">
        <v>653</v>
      </c>
      <c r="C18" s="384" t="s">
        <v>657</v>
      </c>
      <c r="D18" s="73"/>
      <c r="E18" s="73"/>
      <c r="F18" s="73"/>
      <c r="G18" s="386" t="s">
        <v>632</v>
      </c>
      <c r="H18" s="402"/>
      <c r="I18" s="724" t="s">
        <v>682</v>
      </c>
      <c r="L18" s="73" t="s">
        <v>680</v>
      </c>
      <c r="M18" s="73" t="s">
        <v>680</v>
      </c>
      <c r="N18" s="73" t="s">
        <v>680</v>
      </c>
      <c r="O18" s="73" t="s">
        <v>680</v>
      </c>
      <c r="P18" s="73" t="s">
        <v>680</v>
      </c>
      <c r="Q18" s="73" t="s">
        <v>680</v>
      </c>
      <c r="R18" s="391" t="s">
        <v>681</v>
      </c>
      <c r="T18" s="522" t="s">
        <v>764</v>
      </c>
      <c r="U18" s="73"/>
      <c r="V18" s="517" t="s">
        <v>443</v>
      </c>
    </row>
    <row r="19" spans="1:22">
      <c r="A19" s="625" t="s">
        <v>652</v>
      </c>
      <c r="B19" s="625" t="s">
        <v>654</v>
      </c>
      <c r="C19" s="384" t="s">
        <v>657</v>
      </c>
      <c r="D19" s="73"/>
      <c r="E19" s="73"/>
      <c r="F19" s="73"/>
      <c r="G19" s="386" t="s">
        <v>632</v>
      </c>
      <c r="H19" s="402"/>
      <c r="I19" s="724" t="s">
        <v>683</v>
      </c>
      <c r="L19" s="391" t="s">
        <v>681</v>
      </c>
      <c r="M19" s="391" t="s">
        <v>681</v>
      </c>
      <c r="N19" s="391" t="s">
        <v>681</v>
      </c>
      <c r="O19" s="391" t="s">
        <v>681</v>
      </c>
      <c r="P19" s="391" t="s">
        <v>681</v>
      </c>
      <c r="Q19" s="391" t="s">
        <v>681</v>
      </c>
      <c r="R19" s="73" t="s">
        <v>254</v>
      </c>
      <c r="T19" s="522" t="s">
        <v>774</v>
      </c>
      <c r="U19" s="73"/>
      <c r="V19" s="517" t="s">
        <v>443</v>
      </c>
    </row>
    <row r="20" spans="1:22">
      <c r="A20" s="625" t="s">
        <v>238</v>
      </c>
      <c r="B20" s="625" t="s">
        <v>655</v>
      </c>
      <c r="C20" s="384" t="s">
        <v>657</v>
      </c>
      <c r="D20" s="73"/>
      <c r="E20" s="73"/>
      <c r="F20" s="73"/>
      <c r="G20" s="386" t="s">
        <v>632</v>
      </c>
      <c r="H20" s="402"/>
      <c r="I20" s="724" t="s">
        <v>276</v>
      </c>
      <c r="L20" s="73" t="s">
        <v>254</v>
      </c>
      <c r="M20" s="73" t="s">
        <v>254</v>
      </c>
      <c r="N20" s="73" t="s">
        <v>254</v>
      </c>
      <c r="O20" s="73" t="s">
        <v>254</v>
      </c>
      <c r="P20" s="73" t="s">
        <v>254</v>
      </c>
      <c r="Q20" s="73" t="s">
        <v>254</v>
      </c>
      <c r="R20" s="73" t="s">
        <v>255</v>
      </c>
      <c r="T20" s="522" t="s">
        <v>765</v>
      </c>
      <c r="U20" s="73"/>
      <c r="V20" s="517" t="s">
        <v>443</v>
      </c>
    </row>
    <row r="21" spans="1:22">
      <c r="A21" s="625" t="s">
        <v>239</v>
      </c>
      <c r="B21" s="625" t="s">
        <v>656</v>
      </c>
      <c r="C21" s="384" t="s">
        <v>657</v>
      </c>
      <c r="D21" s="384"/>
      <c r="E21" s="384"/>
      <c r="F21" s="384"/>
      <c r="G21" s="386" t="s">
        <v>632</v>
      </c>
      <c r="H21" s="402"/>
      <c r="I21" s="724" t="s">
        <v>278</v>
      </c>
      <c r="L21" s="73" t="s">
        <v>255</v>
      </c>
      <c r="M21" s="73" t="s">
        <v>255</v>
      </c>
      <c r="N21" s="73" t="s">
        <v>255</v>
      </c>
      <c r="O21" s="73" t="s">
        <v>255</v>
      </c>
      <c r="P21" s="73" t="s">
        <v>255</v>
      </c>
      <c r="Q21" s="73" t="s">
        <v>255</v>
      </c>
    </row>
    <row r="22" spans="1:22">
      <c r="A22" s="1391" t="s">
        <v>665</v>
      </c>
      <c r="B22" s="1392"/>
      <c r="C22" s="1392"/>
      <c r="D22" s="1392"/>
      <c r="E22" s="1392"/>
      <c r="F22" s="1392"/>
      <c r="G22" s="1393"/>
      <c r="H22" s="420"/>
    </row>
    <row r="23" spans="1:22">
      <c r="A23" s="625" t="s">
        <v>595</v>
      </c>
      <c r="B23" s="625" t="s">
        <v>596</v>
      </c>
      <c r="C23" s="384" t="s">
        <v>443</v>
      </c>
      <c r="D23" s="384"/>
      <c r="E23" s="384"/>
      <c r="F23" s="384" t="s">
        <v>597</v>
      </c>
      <c r="G23" s="386" t="s">
        <v>644</v>
      </c>
      <c r="H23" s="402"/>
      <c r="J23" s="521">
        <v>41359</v>
      </c>
      <c r="K23" s="521">
        <v>41387</v>
      </c>
      <c r="L23" s="521">
        <v>41417</v>
      </c>
      <c r="M23" s="521">
        <v>41443</v>
      </c>
      <c r="N23" s="521">
        <v>41480</v>
      </c>
      <c r="O23" s="521">
        <v>41506</v>
      </c>
      <c r="P23" s="521">
        <v>41543</v>
      </c>
      <c r="Q23" s="521">
        <v>41569</v>
      </c>
      <c r="R23" s="521">
        <v>41599</v>
      </c>
    </row>
    <row r="24" spans="1:22">
      <c r="A24" s="625" t="s">
        <v>247</v>
      </c>
      <c r="B24" s="625" t="s">
        <v>598</v>
      </c>
      <c r="C24" s="384"/>
      <c r="D24" s="384"/>
      <c r="E24" s="384" t="s">
        <v>443</v>
      </c>
      <c r="F24" s="384"/>
      <c r="G24" s="386" t="s">
        <v>644</v>
      </c>
      <c r="H24" s="402"/>
      <c r="J24" s="1394" t="s">
        <v>940</v>
      </c>
      <c r="K24" s="1394"/>
      <c r="L24" s="1394"/>
      <c r="M24" s="1394"/>
      <c r="N24" s="1394"/>
      <c r="O24" s="1394"/>
      <c r="P24" s="1394"/>
      <c r="Q24" s="1394"/>
      <c r="R24" s="1394"/>
    </row>
    <row r="25" spans="1:22">
      <c r="A25" s="625" t="s">
        <v>686</v>
      </c>
      <c r="B25" s="625" t="s">
        <v>599</v>
      </c>
      <c r="C25" s="384"/>
      <c r="D25" s="384"/>
      <c r="E25" s="384" t="s">
        <v>443</v>
      </c>
      <c r="F25" s="384"/>
      <c r="G25" s="386" t="s">
        <v>644</v>
      </c>
      <c r="H25" s="402"/>
      <c r="J25" s="520" t="s">
        <v>929</v>
      </c>
      <c r="L25" s="520" t="s">
        <v>929</v>
      </c>
      <c r="N25" s="520" t="s">
        <v>929</v>
      </c>
      <c r="O25" s="388"/>
      <c r="P25" s="73" t="s">
        <v>929</v>
      </c>
      <c r="R25" s="520" t="s">
        <v>929</v>
      </c>
    </row>
    <row r="26" spans="1:22">
      <c r="A26" s="1391" t="s">
        <v>666</v>
      </c>
      <c r="B26" s="1392"/>
      <c r="C26" s="1392"/>
      <c r="D26" s="1392"/>
      <c r="E26" s="1392"/>
      <c r="F26" s="1392"/>
      <c r="G26" s="1393"/>
      <c r="H26" s="388"/>
      <c r="J26" s="73" t="s">
        <v>934</v>
      </c>
      <c r="L26" s="73" t="s">
        <v>934</v>
      </c>
      <c r="N26" s="73" t="s">
        <v>934</v>
      </c>
      <c r="O26" s="388"/>
      <c r="P26" s="73" t="s">
        <v>934</v>
      </c>
      <c r="R26" s="73" t="s">
        <v>934</v>
      </c>
    </row>
    <row r="27" spans="1:22">
      <c r="A27" s="625" t="s">
        <v>186</v>
      </c>
      <c r="B27" s="625" t="s">
        <v>600</v>
      </c>
      <c r="C27" s="384" t="s">
        <v>443</v>
      </c>
      <c r="D27" s="384" t="s">
        <v>443</v>
      </c>
      <c r="E27" s="384" t="s">
        <v>443</v>
      </c>
      <c r="F27" s="384" t="s">
        <v>588</v>
      </c>
      <c r="G27" s="386" t="s">
        <v>337</v>
      </c>
      <c r="H27" s="402"/>
      <c r="J27" s="73" t="s">
        <v>935</v>
      </c>
      <c r="L27" s="73" t="s">
        <v>935</v>
      </c>
      <c r="N27" s="73" t="s">
        <v>935</v>
      </c>
      <c r="O27" s="388"/>
      <c r="P27" s="73" t="s">
        <v>935</v>
      </c>
      <c r="R27" s="73" t="s">
        <v>935</v>
      </c>
    </row>
    <row r="28" spans="1:22">
      <c r="A28" s="625" t="s">
        <v>249</v>
      </c>
      <c r="B28" s="625" t="s">
        <v>266</v>
      </c>
      <c r="C28" s="384" t="s">
        <v>443</v>
      </c>
      <c r="D28" s="384" t="s">
        <v>649</v>
      </c>
      <c r="E28" s="384" t="s">
        <v>443</v>
      </c>
      <c r="F28" s="384"/>
      <c r="G28" s="386" t="s">
        <v>337</v>
      </c>
      <c r="H28" s="402"/>
      <c r="J28" s="73" t="s">
        <v>936</v>
      </c>
      <c r="L28" s="73" t="s">
        <v>936</v>
      </c>
      <c r="N28" s="73" t="s">
        <v>936</v>
      </c>
      <c r="O28" s="388"/>
      <c r="P28" s="73" t="s">
        <v>936</v>
      </c>
      <c r="R28" s="73" t="s">
        <v>936</v>
      </c>
    </row>
    <row r="29" spans="1:22">
      <c r="A29" s="625" t="s">
        <v>801</v>
      </c>
      <c r="B29" s="625" t="s">
        <v>266</v>
      </c>
      <c r="C29" s="384" t="s">
        <v>443</v>
      </c>
      <c r="D29" s="384"/>
      <c r="E29" s="384"/>
      <c r="F29" s="384"/>
      <c r="G29" s="386" t="s">
        <v>337</v>
      </c>
      <c r="H29" s="402"/>
      <c r="J29" s="73" t="s">
        <v>938</v>
      </c>
      <c r="L29" s="73" t="s">
        <v>938</v>
      </c>
      <c r="N29" s="73" t="s">
        <v>938</v>
      </c>
      <c r="O29" s="388"/>
      <c r="P29" s="73" t="s">
        <v>938</v>
      </c>
      <c r="R29" s="73" t="s">
        <v>938</v>
      </c>
    </row>
    <row r="30" spans="1:22">
      <c r="A30" s="625" t="s">
        <v>250</v>
      </c>
      <c r="B30" s="625" t="s">
        <v>267</v>
      </c>
      <c r="C30" s="384" t="s">
        <v>443</v>
      </c>
      <c r="D30" s="384" t="s">
        <v>443</v>
      </c>
      <c r="E30" s="384" t="s">
        <v>443</v>
      </c>
      <c r="F30" s="384"/>
      <c r="G30" s="386" t="s">
        <v>337</v>
      </c>
      <c r="H30" s="402"/>
    </row>
    <row r="31" spans="1:22">
      <c r="A31" s="625" t="s">
        <v>251</v>
      </c>
      <c r="B31" s="625" t="s">
        <v>268</v>
      </c>
      <c r="C31" s="384" t="s">
        <v>443</v>
      </c>
      <c r="D31" s="384" t="s">
        <v>443</v>
      </c>
      <c r="E31" s="384" t="s">
        <v>443</v>
      </c>
      <c r="F31" s="384"/>
      <c r="G31" s="386" t="s">
        <v>337</v>
      </c>
      <c r="H31" s="402"/>
      <c r="J31" s="1396" t="s">
        <v>950</v>
      </c>
      <c r="K31" s="1396"/>
      <c r="L31" s="1396"/>
      <c r="M31" s="1396"/>
      <c r="N31" s="1396"/>
      <c r="O31" s="1396"/>
      <c r="P31" s="1396"/>
      <c r="Q31" s="1396"/>
      <c r="R31" s="1396"/>
    </row>
    <row r="32" spans="1:22">
      <c r="A32" s="625" t="s">
        <v>252</v>
      </c>
      <c r="B32" s="625" t="s">
        <v>601</v>
      </c>
      <c r="C32" s="384" t="s">
        <v>443</v>
      </c>
      <c r="D32" s="384" t="s">
        <v>443</v>
      </c>
      <c r="E32" s="384" t="s">
        <v>593</v>
      </c>
      <c r="F32" s="384"/>
      <c r="G32" s="386" t="s">
        <v>337</v>
      </c>
      <c r="H32" s="402"/>
      <c r="J32" s="520" t="s">
        <v>939</v>
      </c>
      <c r="K32" s="388"/>
      <c r="L32" s="520" t="s">
        <v>939</v>
      </c>
      <c r="M32" s="388"/>
      <c r="N32" s="73" t="s">
        <v>939</v>
      </c>
      <c r="O32" s="388"/>
      <c r="P32" s="73" t="s">
        <v>939</v>
      </c>
      <c r="Q32" s="388"/>
      <c r="R32" s="73" t="s">
        <v>939</v>
      </c>
    </row>
    <row r="33" spans="1:18">
      <c r="A33" s="625" t="s">
        <v>253</v>
      </c>
      <c r="B33" s="625" t="s">
        <v>602</v>
      </c>
      <c r="C33" s="384" t="s">
        <v>443</v>
      </c>
      <c r="D33" s="384" t="s">
        <v>648</v>
      </c>
      <c r="E33" s="384" t="s">
        <v>443</v>
      </c>
      <c r="F33" s="384" t="s">
        <v>588</v>
      </c>
      <c r="G33" s="386" t="s">
        <v>337</v>
      </c>
      <c r="H33" s="402"/>
      <c r="J33" s="73" t="s">
        <v>927</v>
      </c>
      <c r="K33" s="388"/>
      <c r="L33" s="73" t="s">
        <v>927</v>
      </c>
      <c r="M33" s="388"/>
      <c r="N33" s="73" t="s">
        <v>927</v>
      </c>
      <c r="O33" s="388"/>
      <c r="P33" s="73" t="s">
        <v>927</v>
      </c>
      <c r="Q33" s="388"/>
      <c r="R33" s="73" t="s">
        <v>927</v>
      </c>
    </row>
    <row r="34" spans="1:18">
      <c r="A34" s="625" t="s">
        <v>946</v>
      </c>
      <c r="B34" s="625" t="s">
        <v>369</v>
      </c>
      <c r="C34" s="384"/>
      <c r="D34" s="384"/>
      <c r="E34" s="384" t="s">
        <v>443</v>
      </c>
      <c r="F34" s="384"/>
      <c r="G34" s="386" t="s">
        <v>925</v>
      </c>
      <c r="H34" s="402"/>
      <c r="J34" s="73" t="s">
        <v>930</v>
      </c>
      <c r="L34" s="520" t="s">
        <v>930</v>
      </c>
      <c r="N34" s="73" t="s">
        <v>930</v>
      </c>
      <c r="O34" s="388"/>
      <c r="P34" s="73" t="s">
        <v>930</v>
      </c>
      <c r="R34" s="73" t="s">
        <v>930</v>
      </c>
    </row>
    <row r="35" spans="1:18">
      <c r="A35" s="625" t="s">
        <v>943</v>
      </c>
      <c r="B35" s="625" t="s">
        <v>806</v>
      </c>
      <c r="C35" s="384" t="s">
        <v>443</v>
      </c>
      <c r="D35" s="384"/>
      <c r="E35" s="384" t="s">
        <v>604</v>
      </c>
      <c r="F35" s="384"/>
      <c r="G35" s="386" t="s">
        <v>925</v>
      </c>
      <c r="H35" s="402"/>
      <c r="J35" s="73" t="s">
        <v>931</v>
      </c>
      <c r="L35" s="73" t="s">
        <v>931</v>
      </c>
      <c r="N35" s="73" t="s">
        <v>931</v>
      </c>
      <c r="O35" s="388"/>
      <c r="P35" s="73" t="s">
        <v>931</v>
      </c>
      <c r="R35" s="73" t="s">
        <v>931</v>
      </c>
    </row>
    <row r="36" spans="1:18">
      <c r="A36" s="625" t="s">
        <v>944</v>
      </c>
      <c r="B36" s="625" t="s">
        <v>805</v>
      </c>
      <c r="C36" s="384" t="s">
        <v>443</v>
      </c>
      <c r="D36" s="384"/>
      <c r="E36" s="384" t="s">
        <v>604</v>
      </c>
      <c r="F36" s="384"/>
      <c r="G36" s="386" t="s">
        <v>925</v>
      </c>
      <c r="H36" s="388"/>
      <c r="J36" s="73" t="s">
        <v>932</v>
      </c>
      <c r="L36" s="73" t="s">
        <v>932</v>
      </c>
      <c r="N36" s="73" t="s">
        <v>932</v>
      </c>
      <c r="O36" s="388"/>
      <c r="P36" s="73" t="s">
        <v>932</v>
      </c>
      <c r="R36" s="73" t="s">
        <v>932</v>
      </c>
    </row>
    <row r="37" spans="1:18">
      <c r="A37" s="625" t="s">
        <v>945</v>
      </c>
      <c r="B37" s="625" t="s">
        <v>804</v>
      </c>
      <c r="C37" s="384" t="s">
        <v>443</v>
      </c>
      <c r="D37" s="384"/>
      <c r="E37" s="384" t="s">
        <v>604</v>
      </c>
      <c r="F37" s="384"/>
      <c r="G37" s="386" t="s">
        <v>925</v>
      </c>
      <c r="H37" s="402"/>
      <c r="J37" s="73" t="s">
        <v>933</v>
      </c>
      <c r="L37" s="73" t="s">
        <v>933</v>
      </c>
      <c r="N37" s="73" t="s">
        <v>933</v>
      </c>
      <c r="O37" s="388"/>
      <c r="P37" s="73" t="s">
        <v>933</v>
      </c>
      <c r="R37" s="73" t="s">
        <v>933</v>
      </c>
    </row>
    <row r="38" spans="1:18">
      <c r="A38" s="1391" t="s">
        <v>667</v>
      </c>
      <c r="B38" s="1392"/>
      <c r="C38" s="1392"/>
      <c r="D38" s="1392"/>
      <c r="E38" s="1392"/>
      <c r="F38" s="1392"/>
      <c r="G38" s="1393"/>
      <c r="H38" s="402"/>
      <c r="J38" s="519" t="s">
        <v>937</v>
      </c>
      <c r="L38" s="519" t="s">
        <v>937</v>
      </c>
      <c r="N38" s="519" t="s">
        <v>937</v>
      </c>
      <c r="O38" s="388"/>
      <c r="P38" s="519" t="s">
        <v>937</v>
      </c>
      <c r="R38" s="519" t="s">
        <v>937</v>
      </c>
    </row>
    <row r="39" spans="1:18">
      <c r="A39" s="625" t="s">
        <v>609</v>
      </c>
      <c r="B39" s="625" t="s">
        <v>641</v>
      </c>
      <c r="C39" s="384" t="s">
        <v>443</v>
      </c>
      <c r="D39" s="384" t="s">
        <v>649</v>
      </c>
      <c r="E39" s="384" t="s">
        <v>443</v>
      </c>
      <c r="F39" s="384" t="s">
        <v>588</v>
      </c>
      <c r="G39" s="386" t="s">
        <v>632</v>
      </c>
      <c r="H39" s="388"/>
      <c r="J39" s="1395" t="s">
        <v>984</v>
      </c>
      <c r="K39" s="1395"/>
      <c r="L39" s="1395"/>
      <c r="M39" s="1395"/>
      <c r="N39" s="1395"/>
      <c r="O39" s="1395"/>
      <c r="P39" s="1395"/>
      <c r="Q39" s="1395"/>
      <c r="R39" s="1395"/>
    </row>
    <row r="40" spans="1:18">
      <c r="A40" s="1391" t="s">
        <v>668</v>
      </c>
      <c r="B40" s="1392"/>
      <c r="C40" s="1392"/>
      <c r="D40" s="1392"/>
      <c r="E40" s="1392"/>
      <c r="F40" s="1392"/>
      <c r="G40" s="1393"/>
      <c r="H40" s="402"/>
      <c r="J40" s="518" t="s">
        <v>926</v>
      </c>
      <c r="L40" s="518" t="s">
        <v>926</v>
      </c>
      <c r="M40" s="388"/>
      <c r="N40" s="518" t="s">
        <v>926</v>
      </c>
      <c r="O40" s="531"/>
      <c r="P40" s="518" t="s">
        <v>926</v>
      </c>
      <c r="Q40" s="388"/>
      <c r="R40" s="518" t="s">
        <v>926</v>
      </c>
    </row>
    <row r="41" spans="1:18">
      <c r="A41" s="625" t="s">
        <v>256</v>
      </c>
      <c r="B41" s="625" t="s">
        <v>610</v>
      </c>
      <c r="C41" s="384" t="s">
        <v>443</v>
      </c>
      <c r="D41" s="384" t="s">
        <v>443</v>
      </c>
      <c r="E41" s="384" t="s">
        <v>443</v>
      </c>
      <c r="F41" s="384" t="s">
        <v>588</v>
      </c>
      <c r="G41" s="386" t="s">
        <v>328</v>
      </c>
      <c r="H41" s="388"/>
      <c r="J41" s="73" t="s">
        <v>985</v>
      </c>
      <c r="L41" s="73" t="s">
        <v>985</v>
      </c>
      <c r="N41" s="73" t="s">
        <v>985</v>
      </c>
      <c r="P41" s="73" t="s">
        <v>985</v>
      </c>
      <c r="R41" s="73" t="s">
        <v>985</v>
      </c>
    </row>
    <row r="42" spans="1:18">
      <c r="A42" s="625" t="s">
        <v>752</v>
      </c>
      <c r="B42" s="625" t="s">
        <v>689</v>
      </c>
      <c r="C42" s="73"/>
      <c r="D42" s="73"/>
      <c r="E42" s="384" t="s">
        <v>443</v>
      </c>
      <c r="F42" s="73"/>
      <c r="G42" s="386" t="s">
        <v>925</v>
      </c>
      <c r="H42" s="402"/>
      <c r="J42" s="73" t="s">
        <v>986</v>
      </c>
      <c r="L42" s="73" t="s">
        <v>986</v>
      </c>
      <c r="N42" s="73" t="s">
        <v>986</v>
      </c>
      <c r="P42" s="73" t="s">
        <v>986</v>
      </c>
      <c r="R42" s="73" t="s">
        <v>986</v>
      </c>
    </row>
    <row r="43" spans="1:18">
      <c r="A43" s="1391" t="s">
        <v>669</v>
      </c>
      <c r="B43" s="1392"/>
      <c r="C43" s="1392"/>
      <c r="D43" s="1392"/>
      <c r="E43" s="1392"/>
      <c r="F43" s="1392"/>
      <c r="G43" s="1393"/>
      <c r="H43" s="402"/>
      <c r="J43" s="73" t="s">
        <v>933</v>
      </c>
      <c r="L43" s="73" t="s">
        <v>933</v>
      </c>
      <c r="N43" s="73" t="s">
        <v>933</v>
      </c>
      <c r="P43" s="73" t="s">
        <v>933</v>
      </c>
      <c r="R43" s="73" t="s">
        <v>933</v>
      </c>
    </row>
    <row r="44" spans="1:18" ht="15.75" customHeight="1">
      <c r="A44" s="625" t="s">
        <v>611</v>
      </c>
      <c r="B44" s="625" t="s">
        <v>612</v>
      </c>
      <c r="C44" s="384"/>
      <c r="D44" s="384" t="s">
        <v>443</v>
      </c>
      <c r="E44" s="384" t="s">
        <v>443</v>
      </c>
      <c r="F44" s="384"/>
      <c r="G44" s="384" t="s">
        <v>643</v>
      </c>
      <c r="H44" s="388"/>
      <c r="J44" s="73" t="s">
        <v>928</v>
      </c>
      <c r="L44" s="73" t="s">
        <v>928</v>
      </c>
      <c r="N44" s="73" t="s">
        <v>928</v>
      </c>
      <c r="P44" s="73" t="s">
        <v>928</v>
      </c>
      <c r="R44" s="73" t="s">
        <v>928</v>
      </c>
    </row>
    <row r="45" spans="1:18">
      <c r="A45" s="625" t="s">
        <v>613</v>
      </c>
      <c r="B45" s="625" t="s">
        <v>614</v>
      </c>
      <c r="C45" s="384"/>
      <c r="D45" s="384" t="s">
        <v>443</v>
      </c>
      <c r="E45" s="384" t="s">
        <v>443</v>
      </c>
      <c r="F45" s="384" t="s">
        <v>588</v>
      </c>
      <c r="G45" s="384" t="s">
        <v>643</v>
      </c>
      <c r="H45" s="415"/>
    </row>
    <row r="46" spans="1:18">
      <c r="A46" s="625" t="s">
        <v>949</v>
      </c>
      <c r="B46" s="625" t="s">
        <v>763</v>
      </c>
      <c r="C46" s="384"/>
      <c r="D46" s="384"/>
      <c r="E46" s="384" t="s">
        <v>443</v>
      </c>
      <c r="F46" s="384"/>
      <c r="G46" s="386" t="s">
        <v>925</v>
      </c>
      <c r="H46" s="415"/>
    </row>
    <row r="47" spans="1:18">
      <c r="A47" s="628" t="s">
        <v>684</v>
      </c>
      <c r="B47" s="625" t="s">
        <v>685</v>
      </c>
      <c r="C47" s="384" t="s">
        <v>443</v>
      </c>
      <c r="D47" s="384" t="s">
        <v>443</v>
      </c>
      <c r="E47" s="384" t="s">
        <v>443</v>
      </c>
      <c r="F47" s="73"/>
      <c r="G47" s="386" t="s">
        <v>337</v>
      </c>
      <c r="H47" s="402"/>
    </row>
    <row r="48" spans="1:18">
      <c r="A48" s="1391" t="s">
        <v>670</v>
      </c>
      <c r="B48" s="1392"/>
      <c r="C48" s="1392"/>
      <c r="D48" s="1392"/>
      <c r="E48" s="1392"/>
      <c r="F48" s="1392"/>
      <c r="G48" s="1393"/>
      <c r="H48" s="402"/>
    </row>
    <row r="49" spans="1:8">
      <c r="A49" s="625" t="s">
        <v>258</v>
      </c>
      <c r="B49" s="625" t="s">
        <v>615</v>
      </c>
      <c r="C49" s="384" t="s">
        <v>443</v>
      </c>
      <c r="D49" s="384"/>
      <c r="E49" s="384" t="s">
        <v>443</v>
      </c>
      <c r="F49" s="384" t="s">
        <v>588</v>
      </c>
      <c r="G49" s="386" t="s">
        <v>630</v>
      </c>
      <c r="H49" s="388"/>
    </row>
    <row r="50" spans="1:8">
      <c r="A50" s="625" t="s">
        <v>257</v>
      </c>
      <c r="B50" s="625" t="s">
        <v>616</v>
      </c>
      <c r="C50" s="384" t="s">
        <v>443</v>
      </c>
      <c r="D50" s="384" t="s">
        <v>649</v>
      </c>
      <c r="E50" s="384" t="s">
        <v>443</v>
      </c>
      <c r="F50" s="384" t="s">
        <v>588</v>
      </c>
      <c r="G50" s="386" t="s">
        <v>630</v>
      </c>
      <c r="H50" s="402"/>
    </row>
    <row r="51" spans="1:8">
      <c r="A51" s="625" t="s">
        <v>948</v>
      </c>
      <c r="B51" s="625" t="s">
        <v>795</v>
      </c>
      <c r="C51" s="384"/>
      <c r="D51" s="384"/>
      <c r="E51" s="384" t="s">
        <v>443</v>
      </c>
      <c r="F51" s="384"/>
      <c r="G51" s="386" t="s">
        <v>925</v>
      </c>
      <c r="H51" s="402"/>
    </row>
    <row r="52" spans="1:8">
      <c r="A52" s="625" t="s">
        <v>633</v>
      </c>
      <c r="B52" s="625" t="s">
        <v>638</v>
      </c>
      <c r="C52" s="384"/>
      <c r="D52" s="384" t="s">
        <v>443</v>
      </c>
      <c r="E52" s="384" t="s">
        <v>443</v>
      </c>
      <c r="F52" s="384"/>
      <c r="G52" s="386" t="s">
        <v>632</v>
      </c>
      <c r="H52" s="402"/>
    </row>
    <row r="53" spans="1:8">
      <c r="A53" s="625" t="s">
        <v>802</v>
      </c>
      <c r="B53" s="625" t="s">
        <v>638</v>
      </c>
      <c r="C53" s="384" t="s">
        <v>443</v>
      </c>
      <c r="D53" s="384"/>
      <c r="E53" s="384"/>
      <c r="F53" s="384"/>
      <c r="G53" s="386"/>
      <c r="H53" s="402"/>
    </row>
    <row r="54" spans="1:8">
      <c r="A54" s="625" t="s">
        <v>634</v>
      </c>
      <c r="B54" s="625" t="s">
        <v>635</v>
      </c>
      <c r="C54" s="384"/>
      <c r="D54" s="384" t="s">
        <v>443</v>
      </c>
      <c r="E54" s="384" t="s">
        <v>443</v>
      </c>
      <c r="F54" s="384"/>
      <c r="G54" s="386" t="s">
        <v>632</v>
      </c>
      <c r="H54" s="402"/>
    </row>
    <row r="55" spans="1:8">
      <c r="A55" s="625" t="s">
        <v>636</v>
      </c>
      <c r="B55" s="625" t="s">
        <v>637</v>
      </c>
      <c r="C55" s="384"/>
      <c r="D55" s="384" t="s">
        <v>443</v>
      </c>
      <c r="E55" s="384" t="s">
        <v>443</v>
      </c>
      <c r="F55" s="384"/>
      <c r="G55" s="386" t="s">
        <v>632</v>
      </c>
      <c r="H55" s="402"/>
    </row>
    <row r="56" spans="1:8">
      <c r="A56" s="626" t="s">
        <v>639</v>
      </c>
      <c r="B56" s="626" t="s">
        <v>640</v>
      </c>
      <c r="C56" s="73"/>
      <c r="D56" s="384" t="s">
        <v>443</v>
      </c>
      <c r="E56" s="384" t="s">
        <v>443</v>
      </c>
      <c r="F56" s="73"/>
      <c r="G56" s="386" t="s">
        <v>632</v>
      </c>
      <c r="H56" s="402"/>
    </row>
    <row r="57" spans="1:8">
      <c r="A57" s="625" t="s">
        <v>680</v>
      </c>
      <c r="B57" s="625" t="s">
        <v>682</v>
      </c>
      <c r="C57" s="384" t="s">
        <v>443</v>
      </c>
      <c r="D57" s="384" t="s">
        <v>443</v>
      </c>
      <c r="E57" s="384" t="s">
        <v>443</v>
      </c>
      <c r="F57" s="73"/>
      <c r="G57" s="386" t="s">
        <v>337</v>
      </c>
      <c r="H57" s="402"/>
    </row>
    <row r="58" spans="1:8">
      <c r="A58" s="391" t="s">
        <v>681</v>
      </c>
      <c r="B58" s="391" t="s">
        <v>683</v>
      </c>
      <c r="C58" s="384" t="s">
        <v>443</v>
      </c>
      <c r="D58" s="384" t="s">
        <v>443</v>
      </c>
      <c r="E58" s="384" t="s">
        <v>443</v>
      </c>
      <c r="F58" s="384"/>
      <c r="G58" s="386" t="s">
        <v>337</v>
      </c>
      <c r="H58" s="402"/>
    </row>
    <row r="59" spans="1:8">
      <c r="A59" s="625" t="s">
        <v>605</v>
      </c>
      <c r="B59" s="625" t="s">
        <v>606</v>
      </c>
      <c r="C59" s="384" t="s">
        <v>443</v>
      </c>
      <c r="D59" s="384"/>
      <c r="E59" s="384" t="s">
        <v>604</v>
      </c>
      <c r="F59" s="384"/>
      <c r="G59" s="386" t="s">
        <v>925</v>
      </c>
      <c r="H59" s="402"/>
    </row>
    <row r="60" spans="1:8">
      <c r="A60" s="1397" t="s">
        <v>275</v>
      </c>
      <c r="B60" s="1398"/>
      <c r="C60" s="1398"/>
      <c r="D60" s="1398"/>
      <c r="E60" s="1398"/>
      <c r="F60" s="1398"/>
      <c r="G60" s="1399"/>
      <c r="H60" s="402"/>
    </row>
    <row r="61" spans="1:8">
      <c r="A61" s="625" t="s">
        <v>617</v>
      </c>
      <c r="B61" s="625" t="s">
        <v>650</v>
      </c>
      <c r="C61" s="384" t="s">
        <v>443</v>
      </c>
      <c r="D61" s="384" t="s">
        <v>649</v>
      </c>
      <c r="E61" s="384" t="s">
        <v>443</v>
      </c>
      <c r="F61" s="384" t="s">
        <v>588</v>
      </c>
      <c r="G61" s="386" t="s">
        <v>632</v>
      </c>
      <c r="H61" s="402"/>
    </row>
    <row r="62" spans="1:8">
      <c r="A62" s="625" t="s">
        <v>752</v>
      </c>
      <c r="B62" s="625" t="s">
        <v>796</v>
      </c>
      <c r="C62" s="384"/>
      <c r="D62" s="384"/>
      <c r="E62" s="384" t="s">
        <v>443</v>
      </c>
      <c r="F62" s="384"/>
      <c r="G62" s="386" t="s">
        <v>925</v>
      </c>
      <c r="H62" s="402"/>
    </row>
    <row r="63" spans="1:8">
      <c r="A63" s="625" t="s">
        <v>752</v>
      </c>
      <c r="B63" s="625" t="s">
        <v>803</v>
      </c>
      <c r="C63" s="384"/>
      <c r="D63" s="384"/>
      <c r="E63" s="384" t="s">
        <v>443</v>
      </c>
      <c r="F63" s="384"/>
      <c r="G63" s="386" t="s">
        <v>925</v>
      </c>
      <c r="H63" s="402"/>
    </row>
    <row r="64" spans="1:8">
      <c r="A64" s="625" t="s">
        <v>752</v>
      </c>
      <c r="B64" s="625" t="s">
        <v>765</v>
      </c>
      <c r="C64" s="384"/>
      <c r="D64" s="384"/>
      <c r="E64" s="384" t="s">
        <v>443</v>
      </c>
      <c r="F64" s="384"/>
      <c r="G64" s="386" t="s">
        <v>925</v>
      </c>
      <c r="H64" s="402"/>
    </row>
    <row r="65" spans="1:18">
      <c r="A65" s="625" t="s">
        <v>752</v>
      </c>
      <c r="B65" s="625" t="s">
        <v>774</v>
      </c>
      <c r="C65" s="384"/>
      <c r="D65" s="384"/>
      <c r="E65" s="384" t="s">
        <v>443</v>
      </c>
      <c r="F65" s="384"/>
      <c r="G65" s="386" t="s">
        <v>925</v>
      </c>
      <c r="H65" s="402"/>
    </row>
    <row r="66" spans="1:18">
      <c r="A66" s="625" t="s">
        <v>254</v>
      </c>
      <c r="B66" s="625" t="s">
        <v>276</v>
      </c>
      <c r="C66" s="384" t="s">
        <v>443</v>
      </c>
      <c r="D66" s="384" t="s">
        <v>443</v>
      </c>
      <c r="E66" s="384" t="s">
        <v>443</v>
      </c>
      <c r="F66" s="73"/>
      <c r="G66" s="386" t="s">
        <v>337</v>
      </c>
      <c r="H66" s="402"/>
    </row>
    <row r="67" spans="1:18">
      <c r="A67" s="1391" t="s">
        <v>671</v>
      </c>
      <c r="B67" s="1392"/>
      <c r="C67" s="1392"/>
      <c r="D67" s="1392"/>
      <c r="E67" s="1392"/>
      <c r="F67" s="1392"/>
      <c r="G67" s="1393"/>
      <c r="H67" s="402"/>
    </row>
    <row r="68" spans="1:18">
      <c r="A68" s="391" t="s">
        <v>752</v>
      </c>
      <c r="B68" s="391" t="s">
        <v>766</v>
      </c>
      <c r="C68" s="540"/>
      <c r="D68" s="540"/>
      <c r="E68" s="540" t="s">
        <v>443</v>
      </c>
      <c r="F68" s="540"/>
      <c r="G68" s="386" t="s">
        <v>925</v>
      </c>
      <c r="H68" s="388"/>
    </row>
    <row r="69" spans="1:18">
      <c r="A69" s="391" t="s">
        <v>752</v>
      </c>
      <c r="B69" s="391" t="s">
        <v>767</v>
      </c>
      <c r="C69" s="540"/>
      <c r="D69" s="540"/>
      <c r="E69" s="540"/>
      <c r="F69" s="540"/>
      <c r="G69" s="386" t="s">
        <v>925</v>
      </c>
      <c r="H69" s="402"/>
    </row>
    <row r="70" spans="1:18">
      <c r="A70" s="625" t="s">
        <v>255</v>
      </c>
      <c r="B70" s="625" t="s">
        <v>278</v>
      </c>
      <c r="C70" s="384" t="s">
        <v>443</v>
      </c>
      <c r="D70" s="384" t="s">
        <v>443</v>
      </c>
      <c r="E70" s="384" t="s">
        <v>443</v>
      </c>
      <c r="F70" s="384" t="s">
        <v>588</v>
      </c>
      <c r="G70" s="386" t="s">
        <v>337</v>
      </c>
      <c r="H70" s="402"/>
    </row>
    <row r="71" spans="1:18">
      <c r="A71" s="1391" t="s">
        <v>672</v>
      </c>
      <c r="B71" s="1392"/>
      <c r="C71" s="1392"/>
      <c r="D71" s="1392"/>
      <c r="E71" s="1392"/>
      <c r="F71" s="1392"/>
      <c r="G71" s="1393"/>
      <c r="H71" s="402"/>
    </row>
    <row r="72" spans="1:18">
      <c r="A72" s="625" t="s">
        <v>244</v>
      </c>
      <c r="B72" s="625" t="s">
        <v>618</v>
      </c>
      <c r="C72" s="384"/>
      <c r="D72" s="384" t="s">
        <v>443</v>
      </c>
      <c r="E72" s="384" t="s">
        <v>443</v>
      </c>
      <c r="F72" s="384" t="s">
        <v>588</v>
      </c>
      <c r="G72" s="386" t="s">
        <v>328</v>
      </c>
      <c r="H72" s="388"/>
    </row>
    <row r="73" spans="1:18">
      <c r="A73" s="625" t="s">
        <v>246</v>
      </c>
      <c r="B73" s="625" t="s">
        <v>619</v>
      </c>
      <c r="C73" s="384"/>
      <c r="D73" s="384" t="s">
        <v>443</v>
      </c>
      <c r="E73" s="384" t="s">
        <v>443</v>
      </c>
      <c r="F73" s="384" t="s">
        <v>588</v>
      </c>
      <c r="G73" s="386" t="s">
        <v>328</v>
      </c>
      <c r="H73" s="402"/>
    </row>
    <row r="74" spans="1:18">
      <c r="A74" s="629" t="s">
        <v>1081</v>
      </c>
      <c r="B74" s="629" t="s">
        <v>1082</v>
      </c>
      <c r="C74" s="571"/>
      <c r="D74" s="571"/>
      <c r="E74" s="571" t="s">
        <v>443</v>
      </c>
      <c r="F74" s="571"/>
      <c r="G74" s="571" t="s">
        <v>1083</v>
      </c>
      <c r="H74" s="402"/>
    </row>
    <row r="75" spans="1:18">
      <c r="A75" s="629" t="s">
        <v>1084</v>
      </c>
      <c r="B75" s="629" t="s">
        <v>1085</v>
      </c>
      <c r="C75" s="571"/>
      <c r="D75" s="571"/>
      <c r="E75" s="571" t="s">
        <v>443</v>
      </c>
      <c r="F75" s="571"/>
      <c r="G75" s="571" t="s">
        <v>1083</v>
      </c>
      <c r="H75" s="402"/>
    </row>
    <row r="76" spans="1:18">
      <c r="A76" s="629" t="s">
        <v>1086</v>
      </c>
      <c r="B76" s="629" t="s">
        <v>1087</v>
      </c>
      <c r="C76" s="571"/>
      <c r="D76" s="571"/>
      <c r="E76" s="571" t="s">
        <v>443</v>
      </c>
      <c r="F76" s="571"/>
      <c r="G76" s="571" t="s">
        <v>1083</v>
      </c>
      <c r="H76" s="402"/>
    </row>
    <row r="77" spans="1:18">
      <c r="A77" s="629" t="s">
        <v>1088</v>
      </c>
      <c r="B77" s="630" t="s">
        <v>1089</v>
      </c>
      <c r="C77" s="571"/>
      <c r="D77" s="571" t="s">
        <v>443</v>
      </c>
      <c r="E77" s="571" t="s">
        <v>443</v>
      </c>
      <c r="F77" s="571"/>
      <c r="G77" s="571" t="s">
        <v>1083</v>
      </c>
      <c r="H77" s="402"/>
    </row>
    <row r="78" spans="1:18">
      <c r="A78" s="630" t="s">
        <v>1090</v>
      </c>
      <c r="B78" s="630" t="s">
        <v>1091</v>
      </c>
      <c r="C78" s="623"/>
      <c r="D78" s="623" t="s">
        <v>443</v>
      </c>
      <c r="E78" s="623" t="s">
        <v>443</v>
      </c>
      <c r="F78" s="623"/>
      <c r="G78" s="571" t="s">
        <v>1083</v>
      </c>
      <c r="H78" s="402"/>
    </row>
    <row r="79" spans="1:18">
      <c r="A79" s="1391" t="s">
        <v>941</v>
      </c>
      <c r="B79" s="1392"/>
      <c r="C79" s="1392"/>
      <c r="D79" s="1392"/>
      <c r="E79" s="1392"/>
      <c r="F79" s="1392"/>
      <c r="G79" s="1393"/>
      <c r="H79" s="402"/>
    </row>
    <row r="80" spans="1:18">
      <c r="A80" s="625"/>
      <c r="B80" s="625" t="s">
        <v>942</v>
      </c>
      <c r="C80" s="384"/>
      <c r="D80" s="384"/>
      <c r="E80" s="384"/>
      <c r="F80" s="384"/>
      <c r="G80" s="386"/>
      <c r="H80" s="388"/>
      <c r="I80" s="388"/>
      <c r="J80" s="388"/>
      <c r="K80" s="388"/>
      <c r="L80" s="388"/>
      <c r="M80" s="388"/>
      <c r="N80" s="388"/>
      <c r="O80" s="388"/>
      <c r="P80" s="388"/>
      <c r="Q80" s="388"/>
      <c r="R80" s="388"/>
    </row>
    <row r="81" spans="1:18">
      <c r="H81" s="402"/>
      <c r="I81" s="402"/>
      <c r="J81" s="402"/>
      <c r="K81" s="402"/>
      <c r="L81" s="402"/>
      <c r="M81" s="402"/>
      <c r="N81" s="402"/>
      <c r="O81" s="402"/>
      <c r="P81" s="402"/>
      <c r="Q81" s="402"/>
      <c r="R81" s="402"/>
    </row>
    <row r="82" spans="1:18">
      <c r="J82" s="532"/>
      <c r="K82" s="532"/>
      <c r="L82" s="532"/>
      <c r="M82" s="532"/>
      <c r="N82" s="532"/>
      <c r="O82" s="532"/>
      <c r="P82" s="533"/>
    </row>
    <row r="83" spans="1:18">
      <c r="A83" s="1246" t="s">
        <v>259</v>
      </c>
      <c r="B83" s="1246" t="s">
        <v>260</v>
      </c>
      <c r="C83" s="1413"/>
      <c r="D83" s="1413"/>
      <c r="E83" s="1413"/>
      <c r="F83" s="1414"/>
      <c r="G83" s="1410"/>
      <c r="J83" s="533"/>
      <c r="K83" s="534"/>
      <c r="L83" s="534"/>
      <c r="M83" s="534"/>
      <c r="N83" s="534"/>
      <c r="O83" s="534"/>
      <c r="P83" s="534"/>
    </row>
    <row r="84" spans="1:18">
      <c r="A84" s="1246"/>
      <c r="B84" s="1246"/>
      <c r="C84" s="889"/>
      <c r="D84" s="889"/>
      <c r="E84" s="889"/>
      <c r="F84" s="1414"/>
      <c r="G84" s="1410"/>
      <c r="J84" s="533"/>
      <c r="K84" s="534"/>
      <c r="L84" s="534"/>
      <c r="M84" s="534"/>
      <c r="N84" s="534"/>
      <c r="O84" s="534"/>
      <c r="P84" s="534"/>
    </row>
    <row r="85" spans="1:18">
      <c r="A85" s="893" t="s">
        <v>1821</v>
      </c>
      <c r="B85" s="893"/>
      <c r="C85" s="890"/>
      <c r="D85" s="890"/>
      <c r="E85" s="890"/>
      <c r="F85" s="890"/>
      <c r="G85" s="890"/>
      <c r="J85" s="533"/>
      <c r="K85" s="534"/>
      <c r="L85" s="534"/>
      <c r="M85" s="534"/>
      <c r="N85" s="534"/>
      <c r="O85" s="534"/>
      <c r="P85" s="534"/>
    </row>
    <row r="86" spans="1:18">
      <c r="A86" s="894" t="s">
        <v>538</v>
      </c>
      <c r="B86" s="894" t="s">
        <v>587</v>
      </c>
      <c r="C86" s="402"/>
      <c r="D86" s="402"/>
      <c r="E86" s="402"/>
      <c r="F86" s="402"/>
      <c r="G86" s="402"/>
      <c r="J86" s="533"/>
      <c r="K86" s="534"/>
      <c r="L86" s="534"/>
      <c r="M86" s="534"/>
      <c r="N86" s="534"/>
      <c r="O86" s="534"/>
      <c r="P86" s="534"/>
    </row>
    <row r="87" spans="1:18">
      <c r="A87" s="894" t="s">
        <v>520</v>
      </c>
      <c r="B87" s="894" t="s">
        <v>589</v>
      </c>
      <c r="C87" s="402"/>
      <c r="D87" s="402"/>
      <c r="E87" s="402"/>
      <c r="F87" s="402"/>
      <c r="G87" s="402"/>
      <c r="J87" s="533"/>
      <c r="K87" s="535"/>
      <c r="L87" s="534"/>
      <c r="M87" s="534"/>
      <c r="N87" s="534"/>
      <c r="O87" s="534"/>
      <c r="P87" s="534"/>
    </row>
    <row r="88" spans="1:18">
      <c r="A88" s="894" t="s">
        <v>262</v>
      </c>
      <c r="B88" s="894" t="s">
        <v>263</v>
      </c>
      <c r="C88" s="402"/>
      <c r="D88" s="402"/>
      <c r="E88" s="402"/>
      <c r="F88" s="402"/>
      <c r="G88" s="402"/>
      <c r="J88" s="533"/>
      <c r="K88" s="535"/>
      <c r="L88" s="534"/>
      <c r="M88" s="534"/>
      <c r="N88" s="534"/>
      <c r="O88" s="534"/>
      <c r="P88" s="534"/>
    </row>
    <row r="89" spans="1:18">
      <c r="A89" s="893" t="s">
        <v>1822</v>
      </c>
      <c r="B89" s="893"/>
      <c r="C89" s="890"/>
      <c r="D89" s="890"/>
      <c r="E89" s="890"/>
      <c r="F89" s="890"/>
      <c r="G89" s="890"/>
      <c r="J89" s="533"/>
      <c r="K89" s="534"/>
      <c r="L89" s="534"/>
      <c r="M89" s="534"/>
      <c r="N89" s="534"/>
      <c r="O89" s="534"/>
      <c r="P89" s="534"/>
    </row>
    <row r="90" spans="1:18">
      <c r="A90" s="894" t="s">
        <v>590</v>
      </c>
      <c r="B90" s="894" t="s">
        <v>631</v>
      </c>
      <c r="C90" s="402"/>
      <c r="D90" s="402"/>
      <c r="E90" s="402"/>
      <c r="F90" s="402"/>
      <c r="G90" s="402"/>
      <c r="J90" s="533"/>
      <c r="K90" s="534"/>
      <c r="L90" s="534"/>
      <c r="M90" s="536"/>
      <c r="N90" s="534"/>
      <c r="O90" s="534"/>
      <c r="P90" s="534"/>
    </row>
    <row r="91" spans="1:18">
      <c r="A91" s="893" t="s">
        <v>594</v>
      </c>
      <c r="B91" s="893"/>
      <c r="C91" s="890"/>
      <c r="D91" s="890"/>
      <c r="E91" s="890"/>
      <c r="F91" s="890"/>
      <c r="G91" s="890"/>
      <c r="J91" s="420"/>
      <c r="K91" s="420"/>
      <c r="L91" s="420"/>
      <c r="M91" s="420"/>
      <c r="N91" s="420"/>
      <c r="O91" s="420"/>
      <c r="P91" s="420"/>
    </row>
    <row r="92" spans="1:18">
      <c r="A92" s="894" t="s">
        <v>687</v>
      </c>
      <c r="B92" s="894" t="s">
        <v>651</v>
      </c>
      <c r="C92" s="402"/>
      <c r="D92" s="402"/>
      <c r="E92" s="402"/>
      <c r="F92" s="402"/>
      <c r="G92" s="402"/>
    </row>
    <row r="93" spans="1:18">
      <c r="A93" s="893" t="s">
        <v>1823</v>
      </c>
      <c r="B93" s="893"/>
      <c r="C93" s="890"/>
      <c r="D93" s="890"/>
      <c r="E93" s="890"/>
      <c r="F93" s="890"/>
      <c r="G93" s="890"/>
    </row>
    <row r="94" spans="1:18">
      <c r="A94" s="894" t="s">
        <v>595</v>
      </c>
      <c r="B94" s="894" t="s">
        <v>596</v>
      </c>
      <c r="C94" s="402"/>
      <c r="D94" s="402"/>
      <c r="E94" s="402"/>
      <c r="F94" s="402"/>
      <c r="G94" s="402"/>
    </row>
    <row r="95" spans="1:18">
      <c r="A95" s="894" t="s">
        <v>686</v>
      </c>
      <c r="B95" s="894" t="s">
        <v>599</v>
      </c>
      <c r="C95" s="402"/>
      <c r="D95" s="402"/>
      <c r="E95" s="402"/>
      <c r="F95" s="402"/>
      <c r="G95" s="402"/>
    </row>
    <row r="96" spans="1:18">
      <c r="A96" s="893" t="s">
        <v>1824</v>
      </c>
      <c r="B96" s="893"/>
      <c r="C96" s="890"/>
      <c r="D96" s="890"/>
      <c r="E96" s="890"/>
      <c r="F96" s="890"/>
      <c r="G96" s="890"/>
    </row>
    <row r="97" spans="1:7">
      <c r="A97" s="894" t="s">
        <v>186</v>
      </c>
      <c r="B97" s="894" t="s">
        <v>600</v>
      </c>
      <c r="C97" s="402"/>
      <c r="D97" s="402"/>
      <c r="E97" s="402"/>
      <c r="F97" s="402"/>
      <c r="G97" s="402"/>
    </row>
    <row r="98" spans="1:7">
      <c r="A98" s="894" t="s">
        <v>249</v>
      </c>
      <c r="B98" s="894" t="s">
        <v>266</v>
      </c>
      <c r="C98" s="402"/>
      <c r="D98" s="402"/>
      <c r="E98" s="402"/>
      <c r="F98" s="402"/>
      <c r="G98" s="402"/>
    </row>
    <row r="99" spans="1:7">
      <c r="A99" s="894" t="s">
        <v>250</v>
      </c>
      <c r="B99" s="894" t="s">
        <v>267</v>
      </c>
      <c r="C99" s="402"/>
      <c r="D99" s="402"/>
      <c r="E99" s="402"/>
      <c r="F99" s="402"/>
      <c r="G99" s="402"/>
    </row>
    <row r="100" spans="1:7">
      <c r="A100" s="894" t="s">
        <v>251</v>
      </c>
      <c r="B100" s="894" t="s">
        <v>268</v>
      </c>
      <c r="C100" s="402"/>
      <c r="D100" s="402"/>
      <c r="E100" s="402"/>
      <c r="F100" s="402"/>
      <c r="G100" s="402"/>
    </row>
    <row r="101" spans="1:7">
      <c r="A101" s="894" t="s">
        <v>252</v>
      </c>
      <c r="B101" s="894" t="s">
        <v>601</v>
      </c>
      <c r="C101" s="402"/>
      <c r="D101" s="402"/>
      <c r="E101" s="402"/>
      <c r="F101" s="402"/>
      <c r="G101" s="402"/>
    </row>
    <row r="102" spans="1:7">
      <c r="A102" s="894" t="s">
        <v>253</v>
      </c>
      <c r="B102" s="894" t="s">
        <v>602</v>
      </c>
      <c r="C102" s="402"/>
      <c r="D102" s="402"/>
      <c r="E102" s="402"/>
      <c r="F102" s="402"/>
      <c r="G102" s="402"/>
    </row>
    <row r="103" spans="1:7">
      <c r="A103" s="893" t="s">
        <v>1825</v>
      </c>
      <c r="B103" s="893"/>
      <c r="C103" s="890"/>
      <c r="D103" s="890"/>
      <c r="E103" s="890"/>
      <c r="F103" s="890"/>
      <c r="G103" s="890"/>
    </row>
    <row r="104" spans="1:7">
      <c r="A104" s="894" t="s">
        <v>609</v>
      </c>
      <c r="B104" s="894" t="s">
        <v>641</v>
      </c>
      <c r="C104" s="402"/>
      <c r="D104" s="402"/>
      <c r="E104" s="402"/>
      <c r="F104" s="402"/>
      <c r="G104" s="402"/>
    </row>
    <row r="105" spans="1:7">
      <c r="A105" s="893" t="s">
        <v>1826</v>
      </c>
      <c r="B105" s="893"/>
      <c r="C105" s="890"/>
      <c r="D105" s="890"/>
      <c r="E105" s="890"/>
      <c r="F105" s="890"/>
      <c r="G105" s="890"/>
    </row>
    <row r="106" spans="1:7">
      <c r="A106" s="894" t="s">
        <v>256</v>
      </c>
      <c r="B106" s="894" t="s">
        <v>610</v>
      </c>
      <c r="C106" s="402"/>
      <c r="D106" s="402"/>
      <c r="E106" s="402"/>
      <c r="F106" s="402"/>
      <c r="G106" s="402"/>
    </row>
    <row r="107" spans="1:7">
      <c r="A107" s="893" t="s">
        <v>1827</v>
      </c>
      <c r="B107" s="893"/>
      <c r="C107" s="890"/>
      <c r="D107" s="890"/>
      <c r="E107" s="890"/>
      <c r="F107" s="890"/>
      <c r="G107" s="890"/>
    </row>
    <row r="108" spans="1:7">
      <c r="A108" s="894" t="s">
        <v>611</v>
      </c>
      <c r="B108" s="894" t="s">
        <v>612</v>
      </c>
      <c r="C108" s="402"/>
      <c r="D108" s="402"/>
      <c r="E108" s="402"/>
      <c r="F108" s="402"/>
      <c r="G108" s="402"/>
    </row>
    <row r="109" spans="1:7">
      <c r="A109" s="894" t="s">
        <v>613</v>
      </c>
      <c r="B109" s="894" t="s">
        <v>614</v>
      </c>
      <c r="C109" s="402"/>
      <c r="D109" s="402"/>
      <c r="E109" s="402"/>
      <c r="F109" s="402"/>
      <c r="G109" s="402"/>
    </row>
    <row r="110" spans="1:7">
      <c r="A110" s="895" t="s">
        <v>684</v>
      </c>
      <c r="B110" s="894" t="s">
        <v>685</v>
      </c>
      <c r="C110" s="402"/>
      <c r="D110" s="402"/>
      <c r="E110" s="402"/>
      <c r="F110" s="420"/>
      <c r="G110" s="402"/>
    </row>
    <row r="111" spans="1:7">
      <c r="A111" s="893" t="s">
        <v>1828</v>
      </c>
      <c r="B111" s="893"/>
      <c r="C111" s="890"/>
      <c r="D111" s="890"/>
      <c r="E111" s="890"/>
      <c r="F111" s="890"/>
      <c r="G111" s="890"/>
    </row>
    <row r="112" spans="1:7">
      <c r="A112" s="894" t="s">
        <v>258</v>
      </c>
      <c r="B112" s="894" t="s">
        <v>615</v>
      </c>
      <c r="C112" s="402"/>
      <c r="D112" s="402"/>
      <c r="E112" s="402"/>
      <c r="F112" s="402"/>
      <c r="G112" s="402"/>
    </row>
    <row r="113" spans="1:7">
      <c r="A113" s="894" t="s">
        <v>257</v>
      </c>
      <c r="B113" s="894" t="s">
        <v>616</v>
      </c>
      <c r="C113" s="402"/>
      <c r="D113" s="402"/>
      <c r="E113" s="402"/>
      <c r="F113" s="402"/>
      <c r="G113" s="402"/>
    </row>
    <row r="114" spans="1:7">
      <c r="A114" s="896" t="s">
        <v>681</v>
      </c>
      <c r="B114" s="896" t="s">
        <v>683</v>
      </c>
      <c r="C114" s="402"/>
      <c r="D114" s="402"/>
      <c r="E114" s="402"/>
      <c r="F114" s="402"/>
      <c r="G114" s="402"/>
    </row>
    <row r="115" spans="1:7">
      <c r="A115" s="894" t="s">
        <v>605</v>
      </c>
      <c r="B115" s="894" t="s">
        <v>606</v>
      </c>
      <c r="C115" s="402"/>
      <c r="D115" s="402"/>
      <c r="E115" s="402"/>
      <c r="F115" s="402"/>
      <c r="G115" s="402"/>
    </row>
    <row r="116" spans="1:7">
      <c r="A116" s="1411" t="s">
        <v>275</v>
      </c>
      <c r="B116" s="1412"/>
      <c r="C116" s="402"/>
      <c r="D116" s="402"/>
      <c r="E116" s="402"/>
      <c r="F116" s="402"/>
      <c r="G116" s="402"/>
    </row>
    <row r="117" spans="1:7">
      <c r="A117" s="894" t="s">
        <v>617</v>
      </c>
      <c r="B117" s="894" t="s">
        <v>650</v>
      </c>
      <c r="C117" s="402"/>
      <c r="D117" s="402"/>
      <c r="E117" s="402"/>
      <c r="F117" s="402"/>
      <c r="G117" s="402"/>
    </row>
    <row r="118" spans="1:7">
      <c r="A118" s="894" t="s">
        <v>254</v>
      </c>
      <c r="B118" s="894" t="s">
        <v>276</v>
      </c>
      <c r="C118" s="402"/>
      <c r="D118" s="402"/>
      <c r="E118" s="402"/>
      <c r="F118" s="420"/>
      <c r="G118" s="402"/>
    </row>
    <row r="119" spans="1:7">
      <c r="A119" s="893" t="s">
        <v>1829</v>
      </c>
      <c r="B119" s="893"/>
      <c r="C119" s="890"/>
      <c r="D119" s="890"/>
      <c r="E119" s="890"/>
      <c r="F119" s="890"/>
      <c r="G119" s="890"/>
    </row>
    <row r="120" spans="1:7">
      <c r="A120" s="894" t="s">
        <v>255</v>
      </c>
      <c r="B120" s="894" t="s">
        <v>278</v>
      </c>
      <c r="C120" s="402"/>
      <c r="D120" s="402"/>
      <c r="E120" s="402"/>
      <c r="F120" s="402"/>
      <c r="G120" s="402"/>
    </row>
    <row r="121" spans="1:7">
      <c r="A121" s="893" t="s">
        <v>1830</v>
      </c>
      <c r="B121" s="893"/>
      <c r="C121" s="890"/>
      <c r="D121" s="890"/>
      <c r="E121" s="890"/>
      <c r="F121" s="890"/>
      <c r="G121" s="890"/>
    </row>
    <row r="122" spans="1:7">
      <c r="A122" s="894" t="s">
        <v>244</v>
      </c>
      <c r="B122" s="894" t="s">
        <v>618</v>
      </c>
      <c r="C122" s="402"/>
      <c r="D122" s="402"/>
      <c r="E122" s="402"/>
      <c r="F122" s="402"/>
      <c r="G122" s="402"/>
    </row>
    <row r="123" spans="1:7">
      <c r="A123" s="894" t="s">
        <v>246</v>
      </c>
      <c r="B123" s="894" t="s">
        <v>619</v>
      </c>
      <c r="C123" s="402"/>
      <c r="D123" s="402"/>
      <c r="E123" s="402"/>
      <c r="F123" s="402"/>
      <c r="G123" s="402"/>
    </row>
    <row r="124" spans="1:7">
      <c r="A124" s="897" t="s">
        <v>1088</v>
      </c>
      <c r="B124" s="898" t="s">
        <v>1089</v>
      </c>
      <c r="C124" s="891"/>
      <c r="D124" s="891"/>
      <c r="E124" s="891"/>
      <c r="F124" s="891"/>
      <c r="G124" s="891"/>
    </row>
    <row r="125" spans="1:7">
      <c r="A125" s="898" t="s">
        <v>1090</v>
      </c>
      <c r="B125" s="898" t="s">
        <v>1091</v>
      </c>
      <c r="C125" s="892"/>
      <c r="D125" s="892"/>
      <c r="E125" s="892"/>
      <c r="F125" s="892"/>
      <c r="G125" s="891"/>
    </row>
    <row r="126" spans="1:7">
      <c r="A126" s="893" t="s">
        <v>941</v>
      </c>
      <c r="B126" s="893"/>
      <c r="C126" s="890"/>
      <c r="D126" s="890"/>
      <c r="E126" s="890"/>
      <c r="F126" s="890"/>
      <c r="G126" s="890"/>
    </row>
    <row r="127" spans="1:7">
      <c r="A127" s="894"/>
      <c r="B127" s="894" t="s">
        <v>942</v>
      </c>
      <c r="C127" s="402"/>
      <c r="D127" s="402"/>
      <c r="E127" s="402"/>
      <c r="F127" s="402"/>
      <c r="G127" s="402"/>
    </row>
  </sheetData>
  <mergeCells count="30">
    <mergeCell ref="G83:G84"/>
    <mergeCell ref="A116:B116"/>
    <mergeCell ref="A83:A84"/>
    <mergeCell ref="B83:B84"/>
    <mergeCell ref="C83:E83"/>
    <mergeCell ref="F83:F84"/>
    <mergeCell ref="T3:V3"/>
    <mergeCell ref="T14:V14"/>
    <mergeCell ref="B3:B4"/>
    <mergeCell ref="A3:A4"/>
    <mergeCell ref="A5:G5"/>
    <mergeCell ref="A12:G12"/>
    <mergeCell ref="C3:E3"/>
    <mergeCell ref="F3:F4"/>
    <mergeCell ref="G3:G4"/>
    <mergeCell ref="J2:R2"/>
    <mergeCell ref="A48:G48"/>
    <mergeCell ref="A67:G67"/>
    <mergeCell ref="A71:G71"/>
    <mergeCell ref="A79:G79"/>
    <mergeCell ref="A22:G22"/>
    <mergeCell ref="J24:R24"/>
    <mergeCell ref="J39:R39"/>
    <mergeCell ref="A38:G38"/>
    <mergeCell ref="A43:G43"/>
    <mergeCell ref="A40:G40"/>
    <mergeCell ref="A15:G15"/>
    <mergeCell ref="J31:R31"/>
    <mergeCell ref="A26:G26"/>
    <mergeCell ref="A60:G60"/>
  </mergeCells>
  <pageMargins left="0.7" right="0.7" top="0.75" bottom="0.75" header="0.3" footer="0.3"/>
  <pageSetup scale="6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92D050"/>
  </sheetPr>
  <dimension ref="A2:U77"/>
  <sheetViews>
    <sheetView topLeftCell="A4" workbookViewId="0">
      <selection activeCell="J44" sqref="J44:T44"/>
    </sheetView>
  </sheetViews>
  <sheetFormatPr defaultColWidth="9.08984375" defaultRowHeight="13"/>
  <cols>
    <col min="1" max="1" width="15.6328125" style="235" bestFit="1" customWidth="1"/>
    <col min="2" max="2" width="52.08984375" style="235" bestFit="1" customWidth="1"/>
    <col min="3" max="3" width="13.90625" style="235" bestFit="1" customWidth="1"/>
    <col min="4" max="4" width="16.36328125" style="235" bestFit="1" customWidth="1"/>
    <col min="5" max="5" width="10.90625" style="235" bestFit="1" customWidth="1"/>
    <col min="6" max="6" width="11.08984375" style="235" customWidth="1"/>
    <col min="7" max="8" width="9.08984375" style="235"/>
    <col min="9" max="9" width="40" style="235" bestFit="1" customWidth="1"/>
    <col min="10" max="10" width="9" style="235" bestFit="1" customWidth="1"/>
    <col min="11" max="15" width="10.08984375" style="235" bestFit="1" customWidth="1"/>
    <col min="16" max="16" width="6.6328125" style="235" bestFit="1" customWidth="1"/>
    <col min="17" max="18" width="7.90625" style="235" bestFit="1" customWidth="1"/>
    <col min="19" max="20" width="10.08984375" style="235" bestFit="1" customWidth="1"/>
    <col min="21" max="21" width="9" style="235" bestFit="1" customWidth="1"/>
    <col min="22" max="16384" width="9.08984375" style="235"/>
  </cols>
  <sheetData>
    <row r="2" spans="1:21" ht="26.25" customHeight="1">
      <c r="A2" s="788" t="s">
        <v>259</v>
      </c>
      <c r="B2" s="788" t="s">
        <v>260</v>
      </c>
      <c r="C2" s="1426">
        <v>2014</v>
      </c>
      <c r="D2" s="1427"/>
      <c r="E2" s="1428"/>
      <c r="F2" s="1429" t="s">
        <v>754</v>
      </c>
      <c r="I2" s="334"/>
      <c r="K2" s="794"/>
      <c r="L2" s="794"/>
      <c r="M2" s="794"/>
      <c r="N2" s="794"/>
      <c r="O2" s="794"/>
    </row>
    <row r="3" spans="1:21" ht="15.5">
      <c r="A3" s="692"/>
      <c r="B3" s="692"/>
      <c r="C3" s="785" t="s">
        <v>755</v>
      </c>
      <c r="D3" s="785" t="s">
        <v>645</v>
      </c>
      <c r="E3" s="785" t="s">
        <v>586</v>
      </c>
      <c r="F3" s="1430"/>
      <c r="I3" s="334"/>
      <c r="J3" s="797">
        <v>41640</v>
      </c>
      <c r="K3" s="797">
        <v>41671</v>
      </c>
      <c r="L3" s="797">
        <v>41699</v>
      </c>
      <c r="M3" s="797">
        <v>41730</v>
      </c>
      <c r="N3" s="797">
        <v>41760</v>
      </c>
      <c r="O3" s="797">
        <v>41791</v>
      </c>
      <c r="P3" s="797">
        <v>41821</v>
      </c>
      <c r="Q3" s="797">
        <v>41852</v>
      </c>
      <c r="R3" s="797">
        <v>41883</v>
      </c>
      <c r="S3" s="797">
        <v>41913</v>
      </c>
      <c r="T3" s="797">
        <v>41944</v>
      </c>
      <c r="U3" s="797">
        <v>41974</v>
      </c>
    </row>
    <row r="4" spans="1:21" ht="15.5">
      <c r="A4" s="1275" t="s">
        <v>1145</v>
      </c>
      <c r="B4" s="1276"/>
      <c r="C4" s="1276"/>
      <c r="D4" s="1276"/>
      <c r="E4" s="1276"/>
      <c r="F4" s="1277"/>
      <c r="H4" s="1420" t="s">
        <v>1054</v>
      </c>
      <c r="I4" s="1421"/>
      <c r="J4" s="1421"/>
      <c r="K4" s="1421"/>
      <c r="L4" s="1421"/>
      <c r="M4" s="1421"/>
      <c r="N4" s="1421"/>
      <c r="O4" s="1421"/>
      <c r="P4" s="1421"/>
      <c r="Q4" s="1421"/>
      <c r="R4" s="1421"/>
      <c r="S4" s="1421"/>
      <c r="T4" s="1421"/>
      <c r="U4" s="1422"/>
    </row>
    <row r="5" spans="1:21" ht="15.5">
      <c r="A5" s="790" t="s">
        <v>947</v>
      </c>
      <c r="B5" s="398" t="s">
        <v>807</v>
      </c>
      <c r="C5" s="789"/>
      <c r="D5" s="789"/>
      <c r="E5" s="789" t="s">
        <v>1341</v>
      </c>
      <c r="F5" s="789"/>
      <c r="H5" s="795">
        <v>58</v>
      </c>
      <c r="I5" s="631" t="s">
        <v>587</v>
      </c>
      <c r="J5" s="398"/>
      <c r="K5" s="152"/>
      <c r="L5" s="152"/>
      <c r="M5" s="152"/>
      <c r="N5" s="1114">
        <v>8</v>
      </c>
      <c r="O5" s="1114">
        <v>12</v>
      </c>
      <c r="P5" s="1114">
        <v>10</v>
      </c>
      <c r="Q5" s="1114">
        <v>14</v>
      </c>
      <c r="R5" s="1114">
        <v>11</v>
      </c>
      <c r="S5" s="1114">
        <v>9</v>
      </c>
      <c r="T5" s="256"/>
      <c r="U5" s="256"/>
    </row>
    <row r="6" spans="1:21" ht="15.5">
      <c r="A6" s="631" t="s">
        <v>538</v>
      </c>
      <c r="B6" s="631" t="s">
        <v>587</v>
      </c>
      <c r="C6" s="399" t="s">
        <v>443</v>
      </c>
      <c r="D6" s="399" t="s">
        <v>443</v>
      </c>
      <c r="E6" s="399" t="s">
        <v>443</v>
      </c>
      <c r="F6" s="399" t="s">
        <v>588</v>
      </c>
      <c r="H6" s="795" t="s">
        <v>1136</v>
      </c>
      <c r="I6" s="631" t="s">
        <v>589</v>
      </c>
      <c r="J6" s="152"/>
      <c r="K6" s="152"/>
      <c r="L6" s="152"/>
      <c r="M6" s="152"/>
      <c r="N6" s="1114">
        <v>8</v>
      </c>
      <c r="O6" s="1114">
        <v>12</v>
      </c>
      <c r="P6" s="1114">
        <v>10</v>
      </c>
      <c r="Q6" s="1114">
        <v>14</v>
      </c>
      <c r="R6" s="1114">
        <v>11</v>
      </c>
      <c r="S6" s="1114">
        <v>9</v>
      </c>
      <c r="T6" s="256"/>
      <c r="U6" s="256"/>
    </row>
    <row r="7" spans="1:21" ht="15.5">
      <c r="A7" s="793" t="s">
        <v>797</v>
      </c>
      <c r="B7" s="631" t="s">
        <v>798</v>
      </c>
      <c r="C7" s="399" t="s">
        <v>443</v>
      </c>
      <c r="D7" s="399"/>
      <c r="E7" s="399"/>
      <c r="F7" s="399"/>
      <c r="H7" s="795" t="s">
        <v>1135</v>
      </c>
      <c r="I7" s="631" t="s">
        <v>263</v>
      </c>
      <c r="J7" s="152"/>
      <c r="K7" s="152"/>
      <c r="L7" s="152"/>
      <c r="M7" s="152"/>
      <c r="N7" s="1114">
        <v>8</v>
      </c>
      <c r="O7" s="1114">
        <v>12</v>
      </c>
      <c r="P7" s="1114">
        <v>10</v>
      </c>
      <c r="Q7" s="1114">
        <v>14</v>
      </c>
      <c r="R7" s="1114">
        <v>11</v>
      </c>
      <c r="S7" s="1114">
        <v>9</v>
      </c>
      <c r="T7" s="256"/>
      <c r="U7" s="256"/>
    </row>
    <row r="8" spans="1:21" ht="15.5">
      <c r="A8" s="631" t="s">
        <v>520</v>
      </c>
      <c r="B8" s="631" t="s">
        <v>589</v>
      </c>
      <c r="C8" s="399" t="s">
        <v>443</v>
      </c>
      <c r="D8" s="399" t="s">
        <v>443</v>
      </c>
      <c r="E8" s="399" t="s">
        <v>443</v>
      </c>
      <c r="F8" s="399" t="s">
        <v>588</v>
      </c>
      <c r="H8" s="795">
        <v>5</v>
      </c>
      <c r="I8" s="338" t="s">
        <v>600</v>
      </c>
      <c r="J8" s="152"/>
      <c r="K8" s="152"/>
      <c r="L8" s="152"/>
      <c r="M8" s="152"/>
      <c r="N8" s="1114">
        <v>8</v>
      </c>
      <c r="O8" s="1114">
        <v>12</v>
      </c>
      <c r="P8" s="1114">
        <v>10</v>
      </c>
      <c r="Q8" s="1114">
        <v>14</v>
      </c>
      <c r="R8" s="1114">
        <v>11</v>
      </c>
      <c r="S8" s="1114">
        <v>9</v>
      </c>
      <c r="T8" s="256"/>
      <c r="U8" s="256"/>
    </row>
    <row r="9" spans="1:21" ht="15.5">
      <c r="A9" s="793" t="s">
        <v>799</v>
      </c>
      <c r="B9" s="631" t="s">
        <v>800</v>
      </c>
      <c r="C9" s="399" t="s">
        <v>443</v>
      </c>
      <c r="D9" s="399"/>
      <c r="E9" s="399"/>
      <c r="F9" s="399"/>
      <c r="H9" s="795" t="s">
        <v>439</v>
      </c>
      <c r="I9" s="338" t="s">
        <v>266</v>
      </c>
      <c r="J9" s="152"/>
      <c r="K9" s="152"/>
      <c r="L9" s="152"/>
      <c r="M9" s="152"/>
      <c r="N9" s="1114">
        <v>8</v>
      </c>
      <c r="O9" s="1114">
        <v>12</v>
      </c>
      <c r="P9" s="1114">
        <v>10</v>
      </c>
      <c r="Q9" s="1114">
        <v>14</v>
      </c>
      <c r="R9" s="1114">
        <v>11</v>
      </c>
      <c r="S9" s="1114">
        <v>9</v>
      </c>
      <c r="T9" s="256"/>
      <c r="U9" s="256"/>
    </row>
    <row r="10" spans="1:21" ht="15.5">
      <c r="A10" s="631" t="s">
        <v>262</v>
      </c>
      <c r="B10" s="631" t="s">
        <v>263</v>
      </c>
      <c r="C10" s="399" t="s">
        <v>443</v>
      </c>
      <c r="D10" s="399" t="s">
        <v>647</v>
      </c>
      <c r="E10" s="399" t="s">
        <v>443</v>
      </c>
      <c r="F10" s="399"/>
      <c r="H10" s="795">
        <v>64</v>
      </c>
      <c r="I10" s="338" t="s">
        <v>683</v>
      </c>
      <c r="J10" s="152"/>
      <c r="K10" s="152"/>
      <c r="L10" s="152"/>
      <c r="M10" s="152"/>
      <c r="N10" s="1114">
        <v>8</v>
      </c>
      <c r="O10" s="1114">
        <v>12</v>
      </c>
      <c r="P10" s="1114">
        <v>10</v>
      </c>
      <c r="Q10" s="1114">
        <v>14</v>
      </c>
      <c r="R10" s="1114">
        <v>11</v>
      </c>
      <c r="S10" s="1114">
        <v>9</v>
      </c>
      <c r="T10" s="256"/>
      <c r="U10" s="256"/>
    </row>
    <row r="11" spans="1:21" ht="15.5">
      <c r="A11" s="1275" t="s">
        <v>1350</v>
      </c>
      <c r="B11" s="1276"/>
      <c r="C11" s="1276"/>
      <c r="D11" s="1276"/>
      <c r="E11" s="1276"/>
      <c r="F11" s="1277"/>
      <c r="H11" s="795">
        <v>32</v>
      </c>
      <c r="I11" s="338" t="s">
        <v>682</v>
      </c>
      <c r="J11" s="152"/>
      <c r="K11" s="226"/>
      <c r="L11" s="152"/>
      <c r="M11" s="152"/>
      <c r="N11" s="1114">
        <v>8</v>
      </c>
      <c r="O11" s="1114">
        <v>12</v>
      </c>
      <c r="P11" s="1114">
        <v>10</v>
      </c>
      <c r="Q11" s="1114">
        <v>14</v>
      </c>
      <c r="R11" s="1114">
        <v>11</v>
      </c>
      <c r="S11" s="1114">
        <v>9</v>
      </c>
      <c r="T11" s="256"/>
      <c r="U11" s="256"/>
    </row>
    <row r="12" spans="1:21" ht="15.5">
      <c r="A12" s="631" t="s">
        <v>590</v>
      </c>
      <c r="B12" s="631" t="s">
        <v>631</v>
      </c>
      <c r="C12" s="399" t="s">
        <v>443</v>
      </c>
      <c r="D12" s="399" t="s">
        <v>647</v>
      </c>
      <c r="E12" s="399" t="s">
        <v>443</v>
      </c>
      <c r="F12" s="399" t="s">
        <v>588</v>
      </c>
      <c r="H12" s="795">
        <v>9</v>
      </c>
      <c r="I12" s="338" t="s">
        <v>267</v>
      </c>
      <c r="J12" s="152"/>
      <c r="K12" s="152"/>
      <c r="L12" s="152"/>
      <c r="M12" s="152"/>
      <c r="N12" s="1114">
        <v>8</v>
      </c>
      <c r="O12" s="1114">
        <v>12</v>
      </c>
      <c r="P12" s="1114">
        <v>10</v>
      </c>
      <c r="Q12" s="1114">
        <v>14</v>
      </c>
      <c r="R12" s="1114">
        <v>11</v>
      </c>
      <c r="S12" s="1114">
        <v>9</v>
      </c>
      <c r="T12" s="256"/>
      <c r="U12" s="256"/>
    </row>
    <row r="13" spans="1:21" ht="15.5">
      <c r="A13" s="791" t="s">
        <v>1355</v>
      </c>
      <c r="B13" s="631" t="s">
        <v>1024</v>
      </c>
      <c r="C13" s="399" t="s">
        <v>593</v>
      </c>
      <c r="D13" s="399"/>
      <c r="E13" s="399" t="s">
        <v>443</v>
      </c>
      <c r="F13" s="152"/>
      <c r="H13" s="795">
        <v>12</v>
      </c>
      <c r="I13" s="338" t="s">
        <v>268</v>
      </c>
      <c r="J13" s="226"/>
      <c r="K13" s="398"/>
      <c r="L13" s="152"/>
      <c r="M13" s="152"/>
      <c r="N13" s="1114">
        <v>8</v>
      </c>
      <c r="O13" s="1114">
        <v>12</v>
      </c>
      <c r="P13" s="1114">
        <v>10</v>
      </c>
      <c r="Q13" s="1114">
        <v>14</v>
      </c>
      <c r="R13" s="1114">
        <v>11</v>
      </c>
      <c r="S13" s="1114">
        <v>9</v>
      </c>
      <c r="T13" s="256"/>
      <c r="U13" s="256"/>
    </row>
    <row r="14" spans="1:21" ht="15.5">
      <c r="A14" s="1286" t="s">
        <v>594</v>
      </c>
      <c r="B14" s="1286"/>
      <c r="C14" s="1286"/>
      <c r="D14" s="1286"/>
      <c r="E14" s="1286"/>
      <c r="F14" s="1286"/>
      <c r="H14" s="795" t="s">
        <v>440</v>
      </c>
      <c r="I14" s="338" t="s">
        <v>601</v>
      </c>
      <c r="J14" s="152"/>
      <c r="K14" s="152"/>
      <c r="L14" s="152"/>
      <c r="M14" s="152"/>
      <c r="N14" s="1114">
        <v>8</v>
      </c>
      <c r="O14" s="1114">
        <v>12</v>
      </c>
      <c r="P14" s="1114">
        <v>10</v>
      </c>
      <c r="Q14" s="1114">
        <v>14</v>
      </c>
      <c r="R14" s="1114">
        <v>11</v>
      </c>
      <c r="S14" s="1114">
        <v>9</v>
      </c>
      <c r="T14" s="256"/>
      <c r="U14" s="256"/>
    </row>
    <row r="15" spans="1:21" ht="15.5">
      <c r="A15" s="631" t="s">
        <v>687</v>
      </c>
      <c r="B15" s="631" t="s">
        <v>651</v>
      </c>
      <c r="C15" s="399" t="s">
        <v>443</v>
      </c>
      <c r="D15" s="399"/>
      <c r="E15" s="399" t="s">
        <v>443</v>
      </c>
      <c r="F15" s="399" t="s">
        <v>588</v>
      </c>
      <c r="H15" s="795" t="s">
        <v>1137</v>
      </c>
      <c r="I15" s="338" t="s">
        <v>602</v>
      </c>
      <c r="J15" s="152"/>
      <c r="K15" s="152"/>
      <c r="L15" s="152"/>
      <c r="M15" s="152"/>
      <c r="N15" s="1114">
        <v>8</v>
      </c>
      <c r="O15" s="1114">
        <v>12</v>
      </c>
      <c r="P15" s="1114">
        <v>10</v>
      </c>
      <c r="Q15" s="1114">
        <v>14</v>
      </c>
      <c r="R15" s="1114">
        <v>11</v>
      </c>
      <c r="S15" s="1114">
        <v>9</v>
      </c>
      <c r="T15" s="256"/>
      <c r="U15" s="256"/>
    </row>
    <row r="16" spans="1:21" ht="15.5">
      <c r="A16" s="631" t="s">
        <v>688</v>
      </c>
      <c r="B16" s="631" t="s">
        <v>651</v>
      </c>
      <c r="C16" s="399"/>
      <c r="D16" s="399"/>
      <c r="E16" s="399" t="s">
        <v>443</v>
      </c>
      <c r="F16" s="399" t="s">
        <v>588</v>
      </c>
      <c r="H16" s="795">
        <v>34</v>
      </c>
      <c r="I16" s="338" t="s">
        <v>685</v>
      </c>
      <c r="J16" s="152"/>
      <c r="K16" s="152"/>
      <c r="L16" s="152"/>
      <c r="M16" s="152"/>
      <c r="N16" s="1114">
        <v>8</v>
      </c>
      <c r="O16" s="1114">
        <v>12</v>
      </c>
      <c r="P16" s="1114">
        <v>10</v>
      </c>
      <c r="Q16" s="1114">
        <v>14</v>
      </c>
      <c r="R16" s="1114">
        <v>11</v>
      </c>
      <c r="S16" s="1114">
        <v>9</v>
      </c>
      <c r="T16" s="256"/>
      <c r="U16" s="256"/>
    </row>
    <row r="17" spans="1:21" ht="15.5">
      <c r="A17" s="631" t="s">
        <v>236</v>
      </c>
      <c r="B17" s="631" t="s">
        <v>653</v>
      </c>
      <c r="C17" s="399" t="s">
        <v>657</v>
      </c>
      <c r="D17" s="152"/>
      <c r="E17" s="152"/>
      <c r="F17" s="152"/>
      <c r="H17" s="795">
        <v>18</v>
      </c>
      <c r="I17" s="338" t="s">
        <v>539</v>
      </c>
      <c r="J17" s="152"/>
      <c r="K17" s="152"/>
      <c r="L17" s="226"/>
      <c r="M17" s="226"/>
      <c r="N17" s="1114">
        <v>8</v>
      </c>
      <c r="O17" s="1114">
        <v>12</v>
      </c>
      <c r="P17" s="1114">
        <v>10</v>
      </c>
      <c r="Q17" s="1114">
        <v>14</v>
      </c>
      <c r="R17" s="1114">
        <v>11</v>
      </c>
      <c r="S17" s="1114">
        <v>9</v>
      </c>
      <c r="T17" s="256"/>
      <c r="U17" s="256"/>
    </row>
    <row r="18" spans="1:21" ht="15.5">
      <c r="A18" s="631" t="s">
        <v>652</v>
      </c>
      <c r="B18" s="631" t="s">
        <v>654</v>
      </c>
      <c r="C18" s="399" t="s">
        <v>657</v>
      </c>
      <c r="D18" s="152"/>
      <c r="E18" s="152"/>
      <c r="F18" s="152"/>
      <c r="H18" s="795" t="s">
        <v>299</v>
      </c>
      <c r="I18" s="338" t="s">
        <v>278</v>
      </c>
      <c r="J18" s="152"/>
      <c r="K18" s="152"/>
      <c r="L18" s="152"/>
      <c r="M18" s="152"/>
      <c r="N18" s="1114">
        <v>8</v>
      </c>
      <c r="O18" s="1114">
        <v>12</v>
      </c>
      <c r="P18" s="1114">
        <v>10</v>
      </c>
      <c r="Q18" s="1114">
        <v>14</v>
      </c>
      <c r="R18" s="1114">
        <v>11</v>
      </c>
      <c r="S18" s="1114">
        <v>9</v>
      </c>
      <c r="T18" s="256"/>
      <c r="U18" s="256"/>
    </row>
    <row r="19" spans="1:21" ht="15.5">
      <c r="A19" s="631" t="s">
        <v>238</v>
      </c>
      <c r="B19" s="631" t="s">
        <v>655</v>
      </c>
      <c r="C19" s="399" t="s">
        <v>657</v>
      </c>
      <c r="D19" s="152"/>
      <c r="E19" s="152"/>
      <c r="F19" s="152"/>
      <c r="H19" s="795">
        <v>35</v>
      </c>
      <c r="I19" s="631" t="s">
        <v>616</v>
      </c>
      <c r="J19" s="152"/>
      <c r="K19" s="152"/>
      <c r="L19" s="398"/>
      <c r="M19" s="398"/>
      <c r="N19" s="1114">
        <v>8</v>
      </c>
      <c r="O19" s="1114">
        <v>12</v>
      </c>
      <c r="P19" s="1114">
        <v>10</v>
      </c>
      <c r="Q19" s="1114">
        <v>14</v>
      </c>
      <c r="R19" s="1114">
        <v>11</v>
      </c>
      <c r="S19" s="1114">
        <v>9</v>
      </c>
      <c r="T19" s="256"/>
      <c r="U19" s="256"/>
    </row>
    <row r="20" spans="1:21" ht="15.5">
      <c r="A20" s="631" t="s">
        <v>239</v>
      </c>
      <c r="B20" s="631" t="s">
        <v>656</v>
      </c>
      <c r="C20" s="399" t="s">
        <v>657</v>
      </c>
      <c r="D20" s="399"/>
      <c r="E20" s="399"/>
      <c r="F20" s="399"/>
      <c r="H20" s="795">
        <v>50</v>
      </c>
      <c r="I20" s="631" t="s">
        <v>615</v>
      </c>
      <c r="J20" s="152"/>
      <c r="K20" s="152"/>
      <c r="L20" s="152"/>
      <c r="M20" s="152"/>
      <c r="N20" s="1114">
        <v>8</v>
      </c>
      <c r="O20" s="1114">
        <v>12</v>
      </c>
      <c r="P20" s="1114">
        <v>10</v>
      </c>
      <c r="Q20" s="1114">
        <v>14</v>
      </c>
      <c r="R20" s="1114">
        <v>11</v>
      </c>
      <c r="S20" s="1114">
        <v>9</v>
      </c>
      <c r="T20" s="256"/>
      <c r="U20" s="256"/>
    </row>
    <row r="21" spans="1:21" ht="15.5">
      <c r="A21" s="1286" t="s">
        <v>1351</v>
      </c>
      <c r="B21" s="1286"/>
      <c r="C21" s="1286"/>
      <c r="D21" s="1286"/>
      <c r="E21" s="1286"/>
      <c r="F21" s="1286"/>
      <c r="H21" s="1423" t="s">
        <v>1373</v>
      </c>
      <c r="I21" s="1424"/>
      <c r="J21" s="1424"/>
      <c r="K21" s="1424"/>
      <c r="L21" s="1424"/>
      <c r="M21" s="1424"/>
      <c r="N21" s="1424"/>
      <c r="O21" s="1424"/>
      <c r="P21" s="1424"/>
      <c r="Q21" s="1424"/>
      <c r="R21" s="1424"/>
      <c r="S21" s="1424"/>
      <c r="T21" s="1424"/>
      <c r="U21" s="1425"/>
    </row>
    <row r="22" spans="1:21" ht="15.5">
      <c r="A22" s="631" t="s">
        <v>595</v>
      </c>
      <c r="B22" s="631" t="s">
        <v>596</v>
      </c>
      <c r="C22" s="399" t="s">
        <v>443</v>
      </c>
      <c r="D22" s="399"/>
      <c r="E22" s="399"/>
      <c r="F22" s="399" t="s">
        <v>597</v>
      </c>
      <c r="H22" s="631" t="s">
        <v>244</v>
      </c>
      <c r="I22" s="631" t="s">
        <v>618</v>
      </c>
      <c r="J22" s="798"/>
      <c r="K22" s="798"/>
      <c r="L22" s="798"/>
      <c r="M22" s="798"/>
      <c r="N22" s="798"/>
      <c r="O22" s="1113">
        <v>13</v>
      </c>
      <c r="P22" s="1114">
        <v>11</v>
      </c>
      <c r="Q22" s="1114">
        <v>15</v>
      </c>
      <c r="R22" s="1114">
        <v>12</v>
      </c>
      <c r="S22" s="256"/>
      <c r="T22" s="256"/>
      <c r="U22" s="256"/>
    </row>
    <row r="23" spans="1:21" ht="15.5">
      <c r="A23" s="631" t="s">
        <v>247</v>
      </c>
      <c r="B23" s="631" t="s">
        <v>598</v>
      </c>
      <c r="C23" s="399"/>
      <c r="D23" s="399"/>
      <c r="E23" s="399" t="s">
        <v>443</v>
      </c>
      <c r="F23" s="399"/>
      <c r="H23" s="631" t="s">
        <v>246</v>
      </c>
      <c r="I23" s="631" t="s">
        <v>619</v>
      </c>
      <c r="J23" s="799"/>
      <c r="K23" s="799"/>
      <c r="L23" s="799"/>
      <c r="M23" s="799"/>
      <c r="N23" s="799"/>
      <c r="O23" s="1113">
        <v>13</v>
      </c>
      <c r="P23" s="1114">
        <v>11</v>
      </c>
      <c r="Q23" s="1114">
        <v>15</v>
      </c>
      <c r="R23" s="1114">
        <v>12</v>
      </c>
      <c r="S23" s="256"/>
      <c r="T23" s="256"/>
      <c r="U23" s="256"/>
    </row>
    <row r="24" spans="1:21" ht="15.5">
      <c r="A24" s="631" t="s">
        <v>686</v>
      </c>
      <c r="B24" s="631" t="s">
        <v>599</v>
      </c>
      <c r="C24" s="399"/>
      <c r="D24" s="399"/>
      <c r="E24" s="399" t="s">
        <v>443</v>
      </c>
      <c r="F24" s="399"/>
      <c r="H24" s="629" t="s">
        <v>1088</v>
      </c>
      <c r="I24" s="630" t="s">
        <v>1370</v>
      </c>
      <c r="J24" s="800"/>
      <c r="K24" s="800"/>
      <c r="L24" s="800"/>
      <c r="M24" s="800"/>
      <c r="N24" s="800"/>
      <c r="O24" s="1113">
        <v>13</v>
      </c>
      <c r="P24" s="1114">
        <v>11</v>
      </c>
      <c r="Q24" s="1114">
        <v>15</v>
      </c>
      <c r="R24" s="1114">
        <v>12</v>
      </c>
      <c r="S24" s="256"/>
      <c r="T24" s="256"/>
      <c r="U24" s="256"/>
    </row>
    <row r="25" spans="1:21" ht="15.5">
      <c r="A25" s="786" t="s">
        <v>1146</v>
      </c>
      <c r="B25" s="787"/>
      <c r="C25" s="787"/>
      <c r="D25" s="787"/>
      <c r="E25" s="787"/>
      <c r="F25" s="787"/>
      <c r="H25" s="630" t="s">
        <v>1090</v>
      </c>
      <c r="I25" s="630" t="s">
        <v>1371</v>
      </c>
      <c r="J25" s="798"/>
      <c r="K25" s="798"/>
      <c r="L25" s="798"/>
      <c r="M25" s="798"/>
      <c r="N25" s="798"/>
      <c r="O25" s="1113">
        <v>13</v>
      </c>
      <c r="P25" s="1114">
        <v>11</v>
      </c>
      <c r="Q25" s="1114">
        <v>15</v>
      </c>
      <c r="R25" s="1114">
        <v>12</v>
      </c>
      <c r="S25" s="256"/>
      <c r="T25" s="256"/>
      <c r="U25" s="256"/>
    </row>
    <row r="26" spans="1:21" ht="15.5">
      <c r="A26" s="631" t="s">
        <v>1799</v>
      </c>
      <c r="B26" s="631" t="s">
        <v>1800</v>
      </c>
      <c r="C26" s="399" t="s">
        <v>443</v>
      </c>
      <c r="D26" s="399" t="s">
        <v>443</v>
      </c>
      <c r="E26" s="399" t="s">
        <v>443</v>
      </c>
      <c r="F26" s="399" t="s">
        <v>588</v>
      </c>
      <c r="H26" s="1415" t="s">
        <v>1372</v>
      </c>
      <c r="I26" s="1416"/>
      <c r="J26" s="1416"/>
      <c r="K26" s="1416"/>
      <c r="L26" s="1416"/>
      <c r="M26" s="1416"/>
      <c r="N26" s="1416"/>
      <c r="O26" s="1416"/>
      <c r="P26" s="1416"/>
      <c r="Q26" s="1416"/>
      <c r="R26" s="1416"/>
      <c r="S26" s="1416"/>
      <c r="T26" s="1416"/>
      <c r="U26" s="1417"/>
    </row>
    <row r="27" spans="1:21" ht="15.5">
      <c r="A27" s="631" t="s">
        <v>249</v>
      </c>
      <c r="B27" s="631" t="s">
        <v>266</v>
      </c>
      <c r="C27" s="399" t="s">
        <v>443</v>
      </c>
      <c r="D27" s="399" t="s">
        <v>443</v>
      </c>
      <c r="E27" s="399" t="s">
        <v>443</v>
      </c>
      <c r="F27" s="399"/>
      <c r="H27" s="631" t="s">
        <v>633</v>
      </c>
      <c r="I27" s="631" t="s">
        <v>638</v>
      </c>
      <c r="J27" s="1113">
        <v>8</v>
      </c>
      <c r="K27" s="1113">
        <v>10</v>
      </c>
      <c r="L27" s="1113">
        <v>24</v>
      </c>
      <c r="M27" s="1113">
        <v>21</v>
      </c>
      <c r="N27" s="1113">
        <v>19</v>
      </c>
      <c r="O27" s="1113">
        <v>16</v>
      </c>
      <c r="P27" s="1114">
        <v>21</v>
      </c>
      <c r="Q27" s="1114">
        <v>18</v>
      </c>
      <c r="R27" s="1114">
        <v>22</v>
      </c>
      <c r="S27" s="1114">
        <v>20</v>
      </c>
      <c r="T27" s="1114">
        <v>17</v>
      </c>
      <c r="U27" s="1114">
        <v>8</v>
      </c>
    </row>
    <row r="28" spans="1:21" ht="15.5">
      <c r="A28" s="793" t="s">
        <v>801</v>
      </c>
      <c r="B28" s="631" t="s">
        <v>266</v>
      </c>
      <c r="C28" s="399" t="s">
        <v>443</v>
      </c>
      <c r="D28" s="399"/>
      <c r="E28" s="399"/>
      <c r="F28" s="399"/>
      <c r="H28" s="631" t="s">
        <v>634</v>
      </c>
      <c r="I28" s="631" t="s">
        <v>635</v>
      </c>
      <c r="J28" s="1113">
        <v>8</v>
      </c>
      <c r="K28" s="1113">
        <v>10</v>
      </c>
      <c r="L28" s="1113">
        <v>24</v>
      </c>
      <c r="M28" s="1113">
        <v>21</v>
      </c>
      <c r="N28" s="1113">
        <v>19</v>
      </c>
      <c r="O28" s="1113">
        <v>16</v>
      </c>
      <c r="P28" s="1114">
        <v>21</v>
      </c>
      <c r="Q28" s="1114">
        <v>18</v>
      </c>
      <c r="R28" s="1114">
        <v>22</v>
      </c>
      <c r="S28" s="1114">
        <v>20</v>
      </c>
      <c r="T28" s="1114">
        <v>17</v>
      </c>
      <c r="U28" s="1114">
        <v>8</v>
      </c>
    </row>
    <row r="29" spans="1:21" ht="15.5">
      <c r="A29" s="631" t="s">
        <v>250</v>
      </c>
      <c r="B29" s="631" t="s">
        <v>267</v>
      </c>
      <c r="C29" s="399" t="s">
        <v>443</v>
      </c>
      <c r="D29" s="399" t="s">
        <v>443</v>
      </c>
      <c r="E29" s="399" t="s">
        <v>443</v>
      </c>
      <c r="F29" s="399"/>
      <c r="H29" s="631" t="s">
        <v>636</v>
      </c>
      <c r="I29" s="631" t="s">
        <v>637</v>
      </c>
      <c r="J29" s="1113">
        <v>8</v>
      </c>
      <c r="K29" s="1113">
        <v>10</v>
      </c>
      <c r="L29" s="1113">
        <v>24</v>
      </c>
      <c r="M29" s="1113">
        <v>21</v>
      </c>
      <c r="N29" s="1113">
        <v>19</v>
      </c>
      <c r="O29" s="1113">
        <v>16</v>
      </c>
      <c r="P29" s="1114">
        <v>21</v>
      </c>
      <c r="Q29" s="1114">
        <v>18</v>
      </c>
      <c r="R29" s="1114">
        <v>22</v>
      </c>
      <c r="S29" s="1114">
        <v>20</v>
      </c>
      <c r="T29" s="1114">
        <v>17</v>
      </c>
      <c r="U29" s="1114">
        <v>8</v>
      </c>
    </row>
    <row r="30" spans="1:21" ht="15.5">
      <c r="A30" s="631" t="s">
        <v>251</v>
      </c>
      <c r="B30" s="631" t="s">
        <v>268</v>
      </c>
      <c r="C30" s="399" t="s">
        <v>443</v>
      </c>
      <c r="D30" s="399" t="s">
        <v>443</v>
      </c>
      <c r="E30" s="399" t="s">
        <v>443</v>
      </c>
      <c r="F30" s="399"/>
      <c r="H30" s="711" t="s">
        <v>639</v>
      </c>
      <c r="I30" s="711" t="s">
        <v>640</v>
      </c>
      <c r="J30" s="1113">
        <v>8</v>
      </c>
      <c r="K30" s="1113">
        <v>10</v>
      </c>
      <c r="L30" s="1113">
        <v>24</v>
      </c>
      <c r="M30" s="1113">
        <v>21</v>
      </c>
      <c r="N30" s="1113">
        <v>19</v>
      </c>
      <c r="O30" s="1113">
        <v>16</v>
      </c>
      <c r="P30" s="1114">
        <v>21</v>
      </c>
      <c r="Q30" s="1114">
        <v>18</v>
      </c>
      <c r="R30" s="1114">
        <v>22</v>
      </c>
      <c r="S30" s="1114">
        <v>20</v>
      </c>
      <c r="T30" s="1114">
        <v>17</v>
      </c>
      <c r="U30" s="1114">
        <v>8</v>
      </c>
    </row>
    <row r="31" spans="1:21" ht="15.5">
      <c r="A31" s="631" t="s">
        <v>252</v>
      </c>
      <c r="B31" s="631" t="s">
        <v>601</v>
      </c>
      <c r="C31" s="399" t="s">
        <v>443</v>
      </c>
      <c r="D31" s="399" t="s">
        <v>443</v>
      </c>
      <c r="E31" s="399" t="s">
        <v>593</v>
      </c>
      <c r="F31" s="399"/>
      <c r="H31" s="1418" t="s">
        <v>1374</v>
      </c>
      <c r="I31" s="1418"/>
      <c r="J31" s="1418"/>
      <c r="K31" s="1418"/>
      <c r="L31" s="1418"/>
      <c r="M31" s="1418"/>
      <c r="N31" s="1418"/>
      <c r="O31" s="1418"/>
      <c r="P31" s="1418"/>
      <c r="Q31" s="1418"/>
      <c r="R31" s="1418"/>
      <c r="S31" s="1418"/>
      <c r="T31" s="1418"/>
      <c r="U31" s="1418"/>
    </row>
    <row r="32" spans="1:21" ht="15.5">
      <c r="A32" s="631" t="s">
        <v>1801</v>
      </c>
      <c r="B32" s="631" t="s">
        <v>1802</v>
      </c>
      <c r="C32" s="399" t="s">
        <v>443</v>
      </c>
      <c r="D32" s="399" t="s">
        <v>648</v>
      </c>
      <c r="E32" s="399" t="s">
        <v>443</v>
      </c>
      <c r="F32" s="399" t="s">
        <v>588</v>
      </c>
      <c r="H32" s="796" t="s">
        <v>611</v>
      </c>
      <c r="I32" s="796" t="s">
        <v>612</v>
      </c>
      <c r="J32" s="801"/>
      <c r="K32" s="1113">
        <v>10</v>
      </c>
      <c r="L32" s="1113"/>
      <c r="M32" s="1113">
        <v>21</v>
      </c>
      <c r="N32" s="1113"/>
      <c r="O32" s="1113">
        <v>16</v>
      </c>
      <c r="P32" s="1115"/>
      <c r="Q32" s="1115">
        <v>18</v>
      </c>
      <c r="R32" s="1115"/>
      <c r="S32" s="1115">
        <v>20</v>
      </c>
      <c r="T32" s="1115"/>
      <c r="U32" s="1115">
        <v>8</v>
      </c>
    </row>
    <row r="33" spans="1:21" ht="15.5">
      <c r="A33" s="791" t="s">
        <v>1363</v>
      </c>
      <c r="B33" s="631" t="s">
        <v>369</v>
      </c>
      <c r="C33" s="399"/>
      <c r="D33" s="399"/>
      <c r="E33" s="399" t="s">
        <v>443</v>
      </c>
      <c r="F33" s="399"/>
      <c r="H33" s="631" t="s">
        <v>613</v>
      </c>
      <c r="I33" s="631" t="s">
        <v>614</v>
      </c>
      <c r="J33" s="801"/>
      <c r="K33" s="1113">
        <v>10</v>
      </c>
      <c r="L33" s="1113"/>
      <c r="M33" s="1113">
        <v>21</v>
      </c>
      <c r="N33" s="1113"/>
      <c r="O33" s="1113">
        <v>16</v>
      </c>
      <c r="P33" s="1115"/>
      <c r="Q33" s="1115">
        <v>18</v>
      </c>
      <c r="R33" s="1115"/>
      <c r="S33" s="1115">
        <v>20</v>
      </c>
      <c r="T33" s="1115"/>
      <c r="U33" s="1115">
        <v>8</v>
      </c>
    </row>
    <row r="34" spans="1:21" ht="15.5">
      <c r="A34" s="791" t="s">
        <v>943</v>
      </c>
      <c r="B34" s="631" t="s">
        <v>1364</v>
      </c>
      <c r="C34" s="399" t="s">
        <v>443</v>
      </c>
      <c r="D34" s="399"/>
      <c r="E34" s="399" t="s">
        <v>604</v>
      </c>
      <c r="F34" s="399"/>
      <c r="H34" s="1418" t="s">
        <v>403</v>
      </c>
      <c r="I34" s="1418"/>
      <c r="J34" s="1418"/>
      <c r="K34" s="1418"/>
      <c r="L34" s="1418"/>
      <c r="M34" s="1418"/>
      <c r="N34" s="1418"/>
      <c r="O34" s="1418"/>
      <c r="P34" s="1418"/>
      <c r="Q34" s="1418"/>
      <c r="R34" s="1418"/>
      <c r="S34" s="1418"/>
      <c r="T34" s="1418"/>
      <c r="U34" s="1418"/>
    </row>
    <row r="35" spans="1:21" ht="15.5">
      <c r="A35" s="791" t="s">
        <v>944</v>
      </c>
      <c r="B35" s="631" t="s">
        <v>805</v>
      </c>
      <c r="C35" s="399" t="s">
        <v>443</v>
      </c>
      <c r="D35" s="399"/>
      <c r="E35" s="399" t="s">
        <v>604</v>
      </c>
      <c r="F35" s="399"/>
      <c r="H35" s="631" t="s">
        <v>247</v>
      </c>
      <c r="I35" s="631" t="s">
        <v>598</v>
      </c>
      <c r="J35" s="798"/>
      <c r="K35" s="798"/>
      <c r="L35" s="798"/>
      <c r="M35" s="798"/>
      <c r="N35" s="1113">
        <v>19</v>
      </c>
      <c r="O35" s="1113">
        <v>16</v>
      </c>
      <c r="P35" s="1114">
        <v>21</v>
      </c>
      <c r="Q35" s="1114">
        <v>18</v>
      </c>
      <c r="R35" s="1114">
        <v>22</v>
      </c>
      <c r="S35" s="1114">
        <v>20</v>
      </c>
      <c r="T35" s="256"/>
      <c r="U35" s="256"/>
    </row>
    <row r="36" spans="1:21" ht="15.5">
      <c r="A36" s="791" t="s">
        <v>945</v>
      </c>
      <c r="B36" s="631" t="s">
        <v>804</v>
      </c>
      <c r="C36" s="399" t="s">
        <v>443</v>
      </c>
      <c r="D36" s="399"/>
      <c r="E36" s="399" t="s">
        <v>604</v>
      </c>
      <c r="F36" s="399"/>
      <c r="H36" s="631" t="s">
        <v>686</v>
      </c>
      <c r="I36" s="631" t="s">
        <v>599</v>
      </c>
      <c r="J36" s="798"/>
      <c r="K36" s="798"/>
      <c r="L36" s="798"/>
      <c r="M36" s="798"/>
      <c r="N36" s="1113">
        <v>19</v>
      </c>
      <c r="O36" s="1113">
        <v>16</v>
      </c>
      <c r="P36" s="1114">
        <v>21</v>
      </c>
      <c r="Q36" s="1114">
        <v>18</v>
      </c>
      <c r="R36" s="1114">
        <v>22</v>
      </c>
      <c r="S36" s="1114">
        <v>20</v>
      </c>
      <c r="T36" s="256"/>
      <c r="U36" s="256"/>
    </row>
    <row r="37" spans="1:21" ht="15.5">
      <c r="A37" s="1286" t="s">
        <v>1352</v>
      </c>
      <c r="B37" s="1286"/>
      <c r="C37" s="1286"/>
      <c r="D37" s="1286"/>
      <c r="E37" s="1286"/>
      <c r="F37" s="1286"/>
      <c r="H37" s="1418" t="s">
        <v>1375</v>
      </c>
      <c r="I37" s="1418"/>
      <c r="J37" s="1418"/>
      <c r="K37" s="1418"/>
      <c r="L37" s="1418"/>
      <c r="M37" s="1418"/>
      <c r="N37" s="1418"/>
      <c r="O37" s="1418"/>
      <c r="P37" s="1418"/>
      <c r="Q37" s="1418"/>
      <c r="R37" s="1418"/>
      <c r="S37" s="1418"/>
      <c r="T37" s="1418"/>
      <c r="U37" s="1418"/>
    </row>
    <row r="38" spans="1:21" ht="15.5">
      <c r="A38" s="631" t="s">
        <v>609</v>
      </c>
      <c r="B38" s="631" t="s">
        <v>641</v>
      </c>
      <c r="C38" s="399" t="s">
        <v>443</v>
      </c>
      <c r="D38" s="399" t="s">
        <v>1356</v>
      </c>
      <c r="E38" s="399" t="s">
        <v>443</v>
      </c>
      <c r="F38" s="399" t="s">
        <v>588</v>
      </c>
      <c r="H38" s="631" t="s">
        <v>590</v>
      </c>
      <c r="I38" s="631" t="s">
        <v>631</v>
      </c>
      <c r="J38" s="1113">
        <v>8</v>
      </c>
      <c r="K38" s="1113">
        <v>10</v>
      </c>
      <c r="L38" s="1113">
        <v>24</v>
      </c>
      <c r="M38" s="1113">
        <v>21</v>
      </c>
      <c r="N38" s="1113">
        <v>19</v>
      </c>
      <c r="O38" s="1113">
        <v>16</v>
      </c>
      <c r="P38" s="1114" t="s">
        <v>1377</v>
      </c>
      <c r="Q38" s="1114" t="s">
        <v>1378</v>
      </c>
      <c r="R38" s="1114" t="s">
        <v>1379</v>
      </c>
      <c r="S38" s="1114">
        <v>20</v>
      </c>
      <c r="T38" s="1114">
        <v>17</v>
      </c>
      <c r="U38" s="1114">
        <v>8</v>
      </c>
    </row>
    <row r="39" spans="1:21" ht="15.5">
      <c r="A39" s="1275" t="s">
        <v>1147</v>
      </c>
      <c r="B39" s="1276"/>
      <c r="C39" s="1276"/>
      <c r="D39" s="1276"/>
      <c r="E39" s="1276"/>
      <c r="F39" s="1277"/>
      <c r="H39" s="631" t="s">
        <v>687</v>
      </c>
      <c r="I39" s="631" t="s">
        <v>651</v>
      </c>
      <c r="J39" s="1113">
        <v>8</v>
      </c>
      <c r="K39" s="1113">
        <v>10</v>
      </c>
      <c r="L39" s="1113">
        <v>24</v>
      </c>
      <c r="M39" s="1113">
        <v>21</v>
      </c>
      <c r="N39" s="1113">
        <v>19</v>
      </c>
      <c r="O39" s="1113">
        <v>16</v>
      </c>
      <c r="P39" s="1114" t="s">
        <v>1377</v>
      </c>
      <c r="Q39" s="1114" t="s">
        <v>1378</v>
      </c>
      <c r="R39" s="1114" t="s">
        <v>1379</v>
      </c>
      <c r="S39" s="1114">
        <v>20</v>
      </c>
      <c r="T39" s="1114">
        <v>17</v>
      </c>
      <c r="U39" s="1114">
        <v>8</v>
      </c>
    </row>
    <row r="40" spans="1:21" ht="15.5">
      <c r="A40" s="631" t="s">
        <v>256</v>
      </c>
      <c r="B40" s="631" t="s">
        <v>610</v>
      </c>
      <c r="C40" s="399" t="s">
        <v>443</v>
      </c>
      <c r="D40" s="399" t="s">
        <v>443</v>
      </c>
      <c r="E40" s="399" t="s">
        <v>443</v>
      </c>
      <c r="F40" s="399" t="s">
        <v>588</v>
      </c>
      <c r="H40" s="631" t="s">
        <v>688</v>
      </c>
      <c r="I40" s="631" t="s">
        <v>651</v>
      </c>
      <c r="J40" s="1113">
        <v>8</v>
      </c>
      <c r="K40" s="1113">
        <v>10</v>
      </c>
      <c r="L40" s="1113">
        <v>24</v>
      </c>
      <c r="M40" s="1113">
        <v>21</v>
      </c>
      <c r="N40" s="1113">
        <v>19</v>
      </c>
      <c r="O40" s="1113">
        <v>16</v>
      </c>
      <c r="P40" s="1114" t="s">
        <v>1377</v>
      </c>
      <c r="Q40" s="1114" t="s">
        <v>1378</v>
      </c>
      <c r="R40" s="1114" t="s">
        <v>1379</v>
      </c>
      <c r="S40" s="1114">
        <v>20</v>
      </c>
      <c r="T40" s="1114">
        <v>17</v>
      </c>
      <c r="U40" s="1114">
        <v>8</v>
      </c>
    </row>
    <row r="41" spans="1:21" ht="15.5">
      <c r="A41" s="791" t="s">
        <v>1361</v>
      </c>
      <c r="B41" s="631" t="s">
        <v>689</v>
      </c>
      <c r="C41" s="152"/>
      <c r="D41" s="152"/>
      <c r="E41" s="399" t="s">
        <v>1341</v>
      </c>
      <c r="F41" s="152"/>
      <c r="H41" s="631" t="s">
        <v>609</v>
      </c>
      <c r="I41" s="631" t="s">
        <v>1376</v>
      </c>
      <c r="J41" s="1113">
        <v>8</v>
      </c>
      <c r="K41" s="1113">
        <v>10</v>
      </c>
      <c r="L41" s="1113">
        <v>24</v>
      </c>
      <c r="M41" s="1113">
        <v>21</v>
      </c>
      <c r="N41" s="1113">
        <v>19</v>
      </c>
      <c r="O41" s="1113">
        <v>16</v>
      </c>
      <c r="P41" s="1114" t="s">
        <v>1377</v>
      </c>
      <c r="Q41" s="1114" t="s">
        <v>1378</v>
      </c>
      <c r="R41" s="1114" t="s">
        <v>1379</v>
      </c>
      <c r="S41" s="1114">
        <v>20</v>
      </c>
      <c r="T41" s="1114">
        <v>17</v>
      </c>
      <c r="U41" s="1114">
        <v>8</v>
      </c>
    </row>
    <row r="42" spans="1:21" ht="15.5">
      <c r="A42" s="1286" t="s">
        <v>1353</v>
      </c>
      <c r="B42" s="1286"/>
      <c r="C42" s="1286"/>
      <c r="D42" s="1286"/>
      <c r="E42" s="1286"/>
      <c r="F42" s="1286"/>
      <c r="H42" s="631" t="s">
        <v>617</v>
      </c>
      <c r="I42" s="631" t="s">
        <v>650</v>
      </c>
      <c r="J42" s="1113">
        <v>8</v>
      </c>
      <c r="K42" s="1113">
        <v>10</v>
      </c>
      <c r="L42" s="1113">
        <v>24</v>
      </c>
      <c r="M42" s="1113">
        <v>21</v>
      </c>
      <c r="N42" s="1113">
        <v>19</v>
      </c>
      <c r="O42" s="1113">
        <v>16</v>
      </c>
      <c r="P42" s="1114" t="s">
        <v>1377</v>
      </c>
      <c r="Q42" s="1114" t="s">
        <v>1378</v>
      </c>
      <c r="R42" s="1114" t="s">
        <v>1379</v>
      </c>
      <c r="S42" s="1114">
        <v>20</v>
      </c>
      <c r="T42" s="1114">
        <v>17</v>
      </c>
      <c r="U42" s="1114">
        <v>8</v>
      </c>
    </row>
    <row r="43" spans="1:21" ht="15.5">
      <c r="A43" s="631" t="s">
        <v>611</v>
      </c>
      <c r="B43" s="631" t="s">
        <v>612</v>
      </c>
      <c r="C43" s="399"/>
      <c r="D43" s="399" t="s">
        <v>443</v>
      </c>
      <c r="E43" s="399" t="s">
        <v>443</v>
      </c>
      <c r="F43" s="399"/>
      <c r="H43" s="1419" t="s">
        <v>1380</v>
      </c>
      <c r="I43" s="1419"/>
      <c r="J43" s="1419"/>
      <c r="K43" s="1419"/>
      <c r="L43" s="1419"/>
      <c r="M43" s="1419"/>
      <c r="N43" s="1419"/>
      <c r="O43" s="1419"/>
      <c r="P43" s="1419"/>
      <c r="Q43" s="1419"/>
      <c r="R43" s="1419"/>
      <c r="S43" s="1419"/>
      <c r="T43" s="1419"/>
      <c r="U43" s="1419"/>
    </row>
    <row r="44" spans="1:21" ht="15.5">
      <c r="A44" s="631" t="s">
        <v>613</v>
      </c>
      <c r="B44" s="631" t="s">
        <v>614</v>
      </c>
      <c r="C44" s="399"/>
      <c r="D44" s="399" t="s">
        <v>443</v>
      </c>
      <c r="E44" s="399" t="s">
        <v>443</v>
      </c>
      <c r="F44" s="399" t="s">
        <v>588</v>
      </c>
      <c r="H44" s="559"/>
      <c r="I44" s="795" t="s">
        <v>1381</v>
      </c>
      <c r="J44" s="1113">
        <v>9</v>
      </c>
      <c r="K44" s="1113"/>
      <c r="L44" s="1113">
        <v>13</v>
      </c>
      <c r="M44" s="1113"/>
      <c r="N44" s="1113">
        <v>8</v>
      </c>
      <c r="O44" s="1113"/>
      <c r="P44" s="1115">
        <v>10</v>
      </c>
      <c r="Q44" s="1115"/>
      <c r="R44" s="1115">
        <v>11</v>
      </c>
      <c r="S44" s="1115"/>
      <c r="T44" s="1115">
        <v>13</v>
      </c>
      <c r="U44" s="559"/>
    </row>
    <row r="45" spans="1:21" ht="15.5">
      <c r="A45" s="791" t="s">
        <v>949</v>
      </c>
      <c r="B45" s="631" t="s">
        <v>763</v>
      </c>
      <c r="C45" s="399"/>
      <c r="D45" s="399"/>
      <c r="E45" s="399" t="s">
        <v>443</v>
      </c>
      <c r="F45" s="399"/>
    </row>
    <row r="46" spans="1:21" ht="15.5">
      <c r="A46" s="628" t="s">
        <v>684</v>
      </c>
      <c r="B46" s="631" t="s">
        <v>685</v>
      </c>
      <c r="C46" s="399" t="s">
        <v>443</v>
      </c>
      <c r="D46" s="399" t="s">
        <v>443</v>
      </c>
      <c r="E46" s="399" t="s">
        <v>443</v>
      </c>
      <c r="F46" s="152"/>
    </row>
    <row r="47" spans="1:21" ht="15.5">
      <c r="A47" s="1286" t="s">
        <v>1354</v>
      </c>
      <c r="B47" s="1286"/>
      <c r="C47" s="1286"/>
      <c r="D47" s="1286"/>
      <c r="E47" s="1286"/>
      <c r="F47" s="1286"/>
    </row>
    <row r="48" spans="1:21" ht="15.5">
      <c r="A48" s="631" t="s">
        <v>258</v>
      </c>
      <c r="B48" s="631" t="s">
        <v>615</v>
      </c>
      <c r="C48" s="399" t="s">
        <v>443</v>
      </c>
      <c r="D48" s="399"/>
      <c r="E48" s="399" t="s">
        <v>443</v>
      </c>
      <c r="F48" s="399" t="s">
        <v>588</v>
      </c>
    </row>
    <row r="49" spans="1:6" ht="15.5">
      <c r="A49" s="631" t="s">
        <v>257</v>
      </c>
      <c r="B49" s="631" t="s">
        <v>616</v>
      </c>
      <c r="C49" s="399" t="s">
        <v>443</v>
      </c>
      <c r="D49" s="399" t="s">
        <v>649</v>
      </c>
      <c r="E49" s="399" t="s">
        <v>443</v>
      </c>
      <c r="F49" s="399" t="s">
        <v>588</v>
      </c>
    </row>
    <row r="50" spans="1:6" ht="15.5">
      <c r="A50" s="791" t="s">
        <v>1803</v>
      </c>
      <c r="B50" s="631" t="s">
        <v>795</v>
      </c>
      <c r="C50" s="399"/>
      <c r="D50" s="399"/>
      <c r="E50" s="399" t="s">
        <v>443</v>
      </c>
      <c r="F50" s="399"/>
    </row>
    <row r="51" spans="1:6" ht="15.5">
      <c r="A51" s="631" t="s">
        <v>633</v>
      </c>
      <c r="B51" s="631" t="s">
        <v>638</v>
      </c>
      <c r="C51" s="399"/>
      <c r="D51" s="399" t="s">
        <v>443</v>
      </c>
      <c r="E51" s="399" t="s">
        <v>443</v>
      </c>
      <c r="F51" s="399"/>
    </row>
    <row r="52" spans="1:6" ht="15.5">
      <c r="A52" s="793" t="s">
        <v>802</v>
      </c>
      <c r="B52" s="631" t="s">
        <v>638</v>
      </c>
      <c r="C52" s="399" t="s">
        <v>443</v>
      </c>
      <c r="D52" s="399"/>
      <c r="E52" s="399"/>
      <c r="F52" s="399"/>
    </row>
    <row r="53" spans="1:6" ht="15.5">
      <c r="A53" s="631" t="s">
        <v>634</v>
      </c>
      <c r="B53" s="631" t="s">
        <v>635</v>
      </c>
      <c r="C53" s="399"/>
      <c r="D53" s="399" t="s">
        <v>443</v>
      </c>
      <c r="E53" s="399" t="s">
        <v>443</v>
      </c>
      <c r="F53" s="399"/>
    </row>
    <row r="54" spans="1:6" ht="15.5">
      <c r="A54" s="631" t="s">
        <v>636</v>
      </c>
      <c r="B54" s="631" t="s">
        <v>637</v>
      </c>
      <c r="C54" s="399"/>
      <c r="D54" s="399" t="s">
        <v>443</v>
      </c>
      <c r="E54" s="399" t="s">
        <v>443</v>
      </c>
      <c r="F54" s="399"/>
    </row>
    <row r="55" spans="1:6" ht="15.5">
      <c r="A55" s="711" t="s">
        <v>639</v>
      </c>
      <c r="B55" s="711" t="s">
        <v>640</v>
      </c>
      <c r="C55" s="152"/>
      <c r="D55" s="399" t="s">
        <v>443</v>
      </c>
      <c r="E55" s="399" t="s">
        <v>443</v>
      </c>
      <c r="F55" s="152"/>
    </row>
    <row r="56" spans="1:6" ht="15.5">
      <c r="A56" s="631" t="s">
        <v>1349</v>
      </c>
      <c r="B56" s="631" t="s">
        <v>682</v>
      </c>
      <c r="C56" s="399" t="s">
        <v>443</v>
      </c>
      <c r="D56" s="399" t="s">
        <v>443</v>
      </c>
      <c r="E56" s="399" t="s">
        <v>443</v>
      </c>
      <c r="F56" s="152"/>
    </row>
    <row r="57" spans="1:6" ht="15.5">
      <c r="A57" s="398" t="s">
        <v>681</v>
      </c>
      <c r="B57" s="398" t="s">
        <v>683</v>
      </c>
      <c r="C57" s="399" t="s">
        <v>443</v>
      </c>
      <c r="D57" s="399" t="s">
        <v>443</v>
      </c>
      <c r="E57" s="399" t="s">
        <v>443</v>
      </c>
      <c r="F57" s="399"/>
    </row>
    <row r="58" spans="1:6" ht="15.5">
      <c r="A58" s="791" t="s">
        <v>1365</v>
      </c>
      <c r="B58" s="631" t="s">
        <v>1368</v>
      </c>
      <c r="C58" s="399" t="s">
        <v>443</v>
      </c>
      <c r="D58" s="399"/>
      <c r="E58" s="399" t="s">
        <v>604</v>
      </c>
      <c r="F58" s="399"/>
    </row>
    <row r="59" spans="1:6" ht="15">
      <c r="A59" s="1431" t="s">
        <v>275</v>
      </c>
      <c r="B59" s="1432"/>
      <c r="C59" s="1432"/>
      <c r="D59" s="1432"/>
      <c r="E59" s="1432"/>
      <c r="F59" s="1433"/>
    </row>
    <row r="60" spans="1:6" ht="15.5">
      <c r="A60" s="631" t="s">
        <v>617</v>
      </c>
      <c r="B60" s="631" t="s">
        <v>650</v>
      </c>
      <c r="C60" s="399" t="s">
        <v>443</v>
      </c>
      <c r="D60" s="399" t="s">
        <v>649</v>
      </c>
      <c r="E60" s="399" t="s">
        <v>443</v>
      </c>
      <c r="F60" s="399" t="s">
        <v>588</v>
      </c>
    </row>
    <row r="61" spans="1:6" ht="15.5">
      <c r="A61" s="792" t="s">
        <v>1357</v>
      </c>
      <c r="B61" s="631" t="s">
        <v>796</v>
      </c>
      <c r="C61" s="399"/>
      <c r="D61" s="399"/>
      <c r="E61" s="399" t="s">
        <v>443</v>
      </c>
      <c r="F61" s="399"/>
    </row>
    <row r="62" spans="1:6" ht="15.5">
      <c r="A62" s="792" t="s">
        <v>1358</v>
      </c>
      <c r="B62" s="631" t="s">
        <v>803</v>
      </c>
      <c r="C62" s="399"/>
      <c r="D62" s="399"/>
      <c r="E62" s="399" t="s">
        <v>443</v>
      </c>
      <c r="F62" s="399"/>
    </row>
    <row r="63" spans="1:6" ht="15.5">
      <c r="A63" s="792" t="s">
        <v>1359</v>
      </c>
      <c r="B63" s="631" t="s">
        <v>765</v>
      </c>
      <c r="C63" s="399"/>
      <c r="D63" s="399"/>
      <c r="E63" s="399" t="s">
        <v>1341</v>
      </c>
      <c r="F63" s="399"/>
    </row>
    <row r="64" spans="1:6" ht="15.5">
      <c r="A64" s="792" t="s">
        <v>1360</v>
      </c>
      <c r="B64" s="631" t="s">
        <v>774</v>
      </c>
      <c r="C64" s="399"/>
      <c r="D64" s="399"/>
      <c r="E64" s="399" t="s">
        <v>1341</v>
      </c>
      <c r="F64" s="399"/>
    </row>
    <row r="65" spans="1:6" ht="15.5">
      <c r="A65" s="631" t="s">
        <v>254</v>
      </c>
      <c r="B65" s="631" t="s">
        <v>539</v>
      </c>
      <c r="C65" s="399" t="s">
        <v>443</v>
      </c>
      <c r="D65" s="399" t="s">
        <v>443</v>
      </c>
      <c r="E65" s="399" t="s">
        <v>443</v>
      </c>
      <c r="F65" s="152"/>
    </row>
    <row r="66" spans="1:6" ht="15.5">
      <c r="A66" s="1286" t="s">
        <v>1148</v>
      </c>
      <c r="B66" s="1286"/>
      <c r="C66" s="1286"/>
      <c r="D66" s="1286"/>
      <c r="E66" s="1286"/>
      <c r="F66" s="1286"/>
    </row>
    <row r="67" spans="1:6" ht="15.5">
      <c r="A67" s="790" t="s">
        <v>1362</v>
      </c>
      <c r="B67" s="398" t="s">
        <v>766</v>
      </c>
      <c r="C67" s="789"/>
      <c r="D67" s="789"/>
      <c r="E67" s="789" t="s">
        <v>443</v>
      </c>
      <c r="F67" s="789"/>
    </row>
    <row r="68" spans="1:6" ht="15.5">
      <c r="A68" s="790" t="s">
        <v>1369</v>
      </c>
      <c r="B68" s="398" t="s">
        <v>1366</v>
      </c>
      <c r="C68" s="789"/>
      <c r="D68" s="789"/>
      <c r="E68" s="789" t="s">
        <v>443</v>
      </c>
      <c r="F68" s="789"/>
    </row>
    <row r="69" spans="1:6" ht="15.5">
      <c r="A69" s="790" t="s">
        <v>1367</v>
      </c>
      <c r="B69" s="398" t="s">
        <v>767</v>
      </c>
      <c r="C69" s="789"/>
      <c r="D69" s="789"/>
      <c r="E69" s="789" t="s">
        <v>443</v>
      </c>
      <c r="F69" s="789"/>
    </row>
    <row r="70" spans="1:6" ht="15.5">
      <c r="A70" s="631" t="s">
        <v>255</v>
      </c>
      <c r="B70" s="631" t="s">
        <v>278</v>
      </c>
      <c r="C70" s="399" t="s">
        <v>443</v>
      </c>
      <c r="D70" s="399" t="s">
        <v>443</v>
      </c>
      <c r="E70" s="399" t="s">
        <v>443</v>
      </c>
      <c r="F70" s="399" t="s">
        <v>588</v>
      </c>
    </row>
    <row r="71" spans="1:6" ht="15.5">
      <c r="A71" s="1286" t="s">
        <v>1149</v>
      </c>
      <c r="B71" s="1286"/>
      <c r="C71" s="1286"/>
      <c r="D71" s="1286"/>
      <c r="E71" s="1286"/>
      <c r="F71" s="1286"/>
    </row>
    <row r="72" spans="1:6" ht="15.5">
      <c r="A72" s="631" t="s">
        <v>244</v>
      </c>
      <c r="B72" s="631" t="s">
        <v>618</v>
      </c>
      <c r="C72" s="399"/>
      <c r="D72" s="399" t="s">
        <v>443</v>
      </c>
      <c r="E72" s="399" t="s">
        <v>443</v>
      </c>
      <c r="F72" s="399" t="s">
        <v>588</v>
      </c>
    </row>
    <row r="73" spans="1:6" ht="15.5">
      <c r="A73" s="631" t="s">
        <v>246</v>
      </c>
      <c r="B73" s="631" t="s">
        <v>619</v>
      </c>
      <c r="C73" s="399"/>
      <c r="D73" s="399" t="s">
        <v>443</v>
      </c>
      <c r="E73" s="399" t="s">
        <v>443</v>
      </c>
      <c r="F73" s="399" t="s">
        <v>588</v>
      </c>
    </row>
    <row r="74" spans="1:6" ht="15.5">
      <c r="A74" s="629" t="s">
        <v>1088</v>
      </c>
      <c r="B74" s="630" t="s">
        <v>1089</v>
      </c>
      <c r="C74" s="571"/>
      <c r="D74" s="571" t="s">
        <v>443</v>
      </c>
      <c r="E74" s="571" t="s">
        <v>443</v>
      </c>
      <c r="F74" s="571"/>
    </row>
    <row r="75" spans="1:6" ht="15.5">
      <c r="A75" s="630" t="s">
        <v>1090</v>
      </c>
      <c r="B75" s="630" t="s">
        <v>1091</v>
      </c>
      <c r="C75" s="782"/>
      <c r="D75" s="571" t="s">
        <v>443</v>
      </c>
      <c r="E75" s="571" t="s">
        <v>443</v>
      </c>
      <c r="F75" s="782"/>
    </row>
    <row r="76" spans="1:6" ht="15">
      <c r="A76" s="1286" t="s">
        <v>941</v>
      </c>
      <c r="B76" s="1286"/>
      <c r="C76" s="1286"/>
      <c r="D76" s="1286"/>
      <c r="E76" s="1286"/>
      <c r="F76" s="1286"/>
    </row>
    <row r="77" spans="1:6" ht="15.5">
      <c r="A77" s="631"/>
      <c r="B77" s="631" t="s">
        <v>942</v>
      </c>
      <c r="C77" s="399"/>
      <c r="D77" s="399"/>
      <c r="E77" s="399"/>
      <c r="F77" s="399"/>
    </row>
  </sheetData>
  <mergeCells count="21">
    <mergeCell ref="A76:F76"/>
    <mergeCell ref="C2:E2"/>
    <mergeCell ref="A42:F42"/>
    <mergeCell ref="A47:F47"/>
    <mergeCell ref="A66:F66"/>
    <mergeCell ref="A71:F71"/>
    <mergeCell ref="F2:F3"/>
    <mergeCell ref="A37:F37"/>
    <mergeCell ref="A39:F39"/>
    <mergeCell ref="A59:F59"/>
    <mergeCell ref="H4:U4"/>
    <mergeCell ref="H21:U21"/>
    <mergeCell ref="A4:F4"/>
    <mergeCell ref="A11:F11"/>
    <mergeCell ref="A14:F14"/>
    <mergeCell ref="A21:F21"/>
    <mergeCell ref="H26:U26"/>
    <mergeCell ref="H31:U31"/>
    <mergeCell ref="H34:U34"/>
    <mergeCell ref="H37:U37"/>
    <mergeCell ref="H43:U43"/>
  </mergeCells>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92D050"/>
  </sheetPr>
  <dimension ref="A2:K42"/>
  <sheetViews>
    <sheetView topLeftCell="C10" workbookViewId="0">
      <selection activeCell="F24" sqref="F24:I42"/>
    </sheetView>
  </sheetViews>
  <sheetFormatPr defaultRowHeight="12.5"/>
  <cols>
    <col min="1" max="1" width="34.54296875" bestFit="1" customWidth="1"/>
    <col min="2" max="2" width="39.90625" bestFit="1" customWidth="1"/>
    <col min="3" max="3" width="7.54296875" customWidth="1"/>
    <col min="4" max="4" width="15" bestFit="1" customWidth="1"/>
    <col min="6" max="6" width="34.54296875" bestFit="1" customWidth="1"/>
    <col min="7" max="7" width="11.6328125" bestFit="1" customWidth="1"/>
    <col min="8" max="8" width="15.6328125" bestFit="1" customWidth="1"/>
    <col min="9" max="9" width="17" bestFit="1" customWidth="1"/>
    <col min="10" max="10" width="12.453125" customWidth="1"/>
    <col min="11" max="11" width="22.453125" bestFit="1" customWidth="1"/>
  </cols>
  <sheetData>
    <row r="2" spans="1:11" ht="28">
      <c r="A2" s="455" t="s">
        <v>756</v>
      </c>
      <c r="B2" s="456" t="s">
        <v>780</v>
      </c>
      <c r="C2" s="455" t="s">
        <v>794</v>
      </c>
      <c r="D2" s="455" t="s">
        <v>776</v>
      </c>
      <c r="F2" s="455" t="s">
        <v>756</v>
      </c>
      <c r="G2" s="456" t="s">
        <v>895</v>
      </c>
      <c r="H2" s="455" t="s">
        <v>904</v>
      </c>
      <c r="I2" s="455" t="s">
        <v>903</v>
      </c>
      <c r="J2" s="455" t="s">
        <v>907</v>
      </c>
      <c r="K2" s="455" t="s">
        <v>908</v>
      </c>
    </row>
    <row r="3" spans="1:11" ht="15.75" customHeight="1">
      <c r="A3" s="1436" t="s">
        <v>778</v>
      </c>
      <c r="B3" s="1437"/>
      <c r="C3" s="1437"/>
      <c r="D3" s="1438"/>
      <c r="F3" s="1436" t="s">
        <v>778</v>
      </c>
      <c r="G3" s="1437"/>
      <c r="H3" s="1437"/>
      <c r="I3" s="1437"/>
      <c r="J3" s="1437"/>
      <c r="K3" s="1438"/>
    </row>
    <row r="4" spans="1:11" ht="14">
      <c r="A4" s="782" t="s">
        <v>759</v>
      </c>
      <c r="B4" s="569" t="s">
        <v>791</v>
      </c>
      <c r="C4" s="570" t="s">
        <v>775</v>
      </c>
      <c r="D4" s="571">
        <v>1.4E-2</v>
      </c>
      <c r="F4" s="452" t="s">
        <v>759</v>
      </c>
      <c r="G4" s="453" t="s">
        <v>918</v>
      </c>
      <c r="H4" s="226" t="s">
        <v>791</v>
      </c>
      <c r="I4" s="452" t="s">
        <v>896</v>
      </c>
      <c r="J4" s="242" t="s">
        <v>858</v>
      </c>
      <c r="K4" s="53" t="s">
        <v>917</v>
      </c>
    </row>
    <row r="5" spans="1:11" ht="14">
      <c r="A5" s="783" t="s">
        <v>689</v>
      </c>
      <c r="B5" s="569" t="s">
        <v>977</v>
      </c>
      <c r="C5" s="570" t="s">
        <v>775</v>
      </c>
      <c r="D5" s="571">
        <v>7.4999999999999997E-3</v>
      </c>
      <c r="F5" s="628" t="s">
        <v>689</v>
      </c>
      <c r="G5" s="453" t="s">
        <v>970</v>
      </c>
      <c r="H5" s="226" t="s">
        <v>901</v>
      </c>
      <c r="I5" s="452" t="s">
        <v>975</v>
      </c>
      <c r="J5" s="242" t="s">
        <v>968</v>
      </c>
      <c r="K5" s="91" t="s">
        <v>954</v>
      </c>
    </row>
    <row r="6" spans="1:11" ht="14">
      <c r="A6" s="783" t="s">
        <v>795</v>
      </c>
      <c r="B6" s="569" t="s">
        <v>757</v>
      </c>
      <c r="C6" s="570" t="s">
        <v>775</v>
      </c>
      <c r="D6" s="571">
        <v>8.9999999999999993E-3</v>
      </c>
      <c r="F6" s="628" t="s">
        <v>795</v>
      </c>
      <c r="G6" s="453" t="s">
        <v>959</v>
      </c>
      <c r="H6" s="226" t="s">
        <v>910</v>
      </c>
      <c r="I6" s="452" t="s">
        <v>896</v>
      </c>
      <c r="J6" s="242" t="s">
        <v>858</v>
      </c>
      <c r="K6" s="91" t="s">
        <v>960</v>
      </c>
    </row>
    <row r="7" spans="1:11" ht="14">
      <c r="A7" s="783" t="s">
        <v>758</v>
      </c>
      <c r="B7" s="569" t="s">
        <v>768</v>
      </c>
      <c r="C7" s="570" t="s">
        <v>775</v>
      </c>
      <c r="D7" s="571">
        <v>0.99</v>
      </c>
      <c r="F7" s="628" t="s">
        <v>758</v>
      </c>
      <c r="G7" s="453" t="s">
        <v>898</v>
      </c>
      <c r="H7" s="226" t="s">
        <v>897</v>
      </c>
      <c r="I7" s="452" t="s">
        <v>909</v>
      </c>
      <c r="J7" s="242" t="s">
        <v>858</v>
      </c>
      <c r="K7" s="53" t="s">
        <v>916</v>
      </c>
    </row>
    <row r="8" spans="1:11" ht="14">
      <c r="A8" s="783" t="s">
        <v>369</v>
      </c>
      <c r="B8" s="569" t="s">
        <v>757</v>
      </c>
      <c r="C8" s="570" t="s">
        <v>775</v>
      </c>
      <c r="D8" s="571">
        <v>1E-3</v>
      </c>
      <c r="F8" s="628" t="s">
        <v>369</v>
      </c>
      <c r="G8" s="453" t="s">
        <v>957</v>
      </c>
      <c r="H8" s="226" t="s">
        <v>910</v>
      </c>
      <c r="I8" s="452" t="s">
        <v>896</v>
      </c>
      <c r="J8" s="242" t="s">
        <v>858</v>
      </c>
      <c r="K8" s="91" t="s">
        <v>958</v>
      </c>
    </row>
    <row r="9" spans="1:11" ht="14">
      <c r="A9" s="783" t="s">
        <v>760</v>
      </c>
      <c r="B9" s="569" t="s">
        <v>768</v>
      </c>
      <c r="C9" s="570" t="s">
        <v>775</v>
      </c>
      <c r="D9" s="571">
        <v>0.7</v>
      </c>
      <c r="F9" s="628" t="s">
        <v>760</v>
      </c>
      <c r="G9" s="453" t="s">
        <v>900</v>
      </c>
      <c r="H9" s="226" t="s">
        <v>897</v>
      </c>
      <c r="I9" s="452" t="s">
        <v>909</v>
      </c>
      <c r="J9" s="242" t="s">
        <v>858</v>
      </c>
      <c r="K9" s="53" t="s">
        <v>914</v>
      </c>
    </row>
    <row r="10" spans="1:11" ht="14">
      <c r="A10" s="783" t="s">
        <v>761</v>
      </c>
      <c r="B10" s="569" t="s">
        <v>768</v>
      </c>
      <c r="C10" s="570" t="s">
        <v>775</v>
      </c>
      <c r="D10" s="571">
        <v>0.125</v>
      </c>
      <c r="F10" s="628" t="s">
        <v>761</v>
      </c>
      <c r="G10" s="453" t="s">
        <v>899</v>
      </c>
      <c r="H10" s="226" t="s">
        <v>897</v>
      </c>
      <c r="I10" s="452" t="s">
        <v>909</v>
      </c>
      <c r="J10" s="242" t="s">
        <v>858</v>
      </c>
      <c r="K10" s="53" t="s">
        <v>913</v>
      </c>
    </row>
    <row r="11" spans="1:11" ht="14.5">
      <c r="A11" s="783" t="s">
        <v>762</v>
      </c>
      <c r="B11" s="569" t="s">
        <v>404</v>
      </c>
      <c r="C11" s="570" t="s">
        <v>775</v>
      </c>
      <c r="D11" s="571">
        <v>0.8</v>
      </c>
      <c r="F11" s="628" t="s">
        <v>762</v>
      </c>
      <c r="G11" s="516" t="s">
        <v>906</v>
      </c>
      <c r="H11" s="515" t="s">
        <v>902</v>
      </c>
      <c r="I11" s="452" t="s">
        <v>905</v>
      </c>
      <c r="J11" s="242" t="s">
        <v>858</v>
      </c>
      <c r="K11" s="53" t="s">
        <v>915</v>
      </c>
    </row>
    <row r="12" spans="1:11" ht="14">
      <c r="A12" s="783" t="s">
        <v>763</v>
      </c>
      <c r="B12" s="572" t="s">
        <v>894</v>
      </c>
      <c r="C12" s="570" t="s">
        <v>775</v>
      </c>
      <c r="D12" s="571">
        <v>0.05</v>
      </c>
      <c r="F12" s="628" t="s">
        <v>763</v>
      </c>
      <c r="G12" s="454" t="s">
        <v>963</v>
      </c>
      <c r="H12" s="226" t="s">
        <v>919</v>
      </c>
      <c r="I12" s="452" t="s">
        <v>909</v>
      </c>
      <c r="J12" s="242" t="s">
        <v>858</v>
      </c>
      <c r="K12" s="91" t="s">
        <v>964</v>
      </c>
    </row>
    <row r="13" spans="1:11" ht="14">
      <c r="A13" s="783" t="s">
        <v>370</v>
      </c>
      <c r="B13" s="569" t="s">
        <v>777</v>
      </c>
      <c r="C13" s="570" t="s">
        <v>775</v>
      </c>
      <c r="D13" s="571">
        <v>0.35</v>
      </c>
      <c r="F13" s="628" t="s">
        <v>370</v>
      </c>
      <c r="G13" s="453" t="s">
        <v>965</v>
      </c>
      <c r="H13" s="226" t="s">
        <v>911</v>
      </c>
      <c r="I13" s="452" t="s">
        <v>909</v>
      </c>
      <c r="J13" s="242" t="s">
        <v>858</v>
      </c>
      <c r="K13" s="53" t="s">
        <v>966</v>
      </c>
    </row>
    <row r="14" spans="1:11" ht="14">
      <c r="A14" s="1434" t="s">
        <v>779</v>
      </c>
      <c r="B14" s="1434"/>
      <c r="C14" s="1434"/>
      <c r="D14" s="1435"/>
      <c r="F14" s="1439" t="s">
        <v>779</v>
      </c>
      <c r="G14" s="1440"/>
      <c r="H14" s="1440"/>
      <c r="I14" s="1440"/>
      <c r="J14" s="1440"/>
      <c r="K14" s="1441"/>
    </row>
    <row r="15" spans="1:11" ht="14">
      <c r="A15" s="784" t="s">
        <v>796</v>
      </c>
      <c r="B15" s="569" t="s">
        <v>757</v>
      </c>
      <c r="C15" s="570" t="s">
        <v>775</v>
      </c>
      <c r="D15" s="571">
        <v>2.5000000000000001E-2</v>
      </c>
      <c r="F15" s="628" t="s">
        <v>796</v>
      </c>
      <c r="G15" s="454" t="s">
        <v>955</v>
      </c>
      <c r="H15" s="226" t="s">
        <v>910</v>
      </c>
      <c r="I15" s="452" t="s">
        <v>909</v>
      </c>
      <c r="J15" s="242" t="s">
        <v>858</v>
      </c>
      <c r="K15" s="91" t="s">
        <v>956</v>
      </c>
    </row>
    <row r="16" spans="1:11" ht="14">
      <c r="A16" s="568" t="s">
        <v>766</v>
      </c>
      <c r="B16" s="572" t="s">
        <v>793</v>
      </c>
      <c r="C16" s="570" t="s">
        <v>775</v>
      </c>
      <c r="D16" s="571">
        <v>4.2999999999999997E-2</v>
      </c>
      <c r="F16" s="452" t="s">
        <v>766</v>
      </c>
      <c r="G16" s="454" t="s">
        <v>971</v>
      </c>
      <c r="H16" s="226" t="s">
        <v>793</v>
      </c>
      <c r="I16" s="452" t="s">
        <v>909</v>
      </c>
      <c r="J16" s="242" t="s">
        <v>858</v>
      </c>
      <c r="K16" s="53" t="s">
        <v>978</v>
      </c>
    </row>
    <row r="17" spans="1:11" ht="14">
      <c r="A17" s="568" t="s">
        <v>767</v>
      </c>
      <c r="B17" s="572" t="s">
        <v>977</v>
      </c>
      <c r="C17" s="570" t="s">
        <v>775</v>
      </c>
      <c r="D17" s="571">
        <v>5.1999999999999998E-2</v>
      </c>
      <c r="F17" s="452" t="s">
        <v>767</v>
      </c>
      <c r="G17" s="454" t="s">
        <v>967</v>
      </c>
      <c r="H17" s="226" t="s">
        <v>901</v>
      </c>
      <c r="I17" s="452" t="s">
        <v>909</v>
      </c>
      <c r="J17" s="242" t="s">
        <v>858</v>
      </c>
      <c r="K17" s="53" t="s">
        <v>969</v>
      </c>
    </row>
    <row r="18" spans="1:11" ht="14">
      <c r="A18" s="784" t="s">
        <v>764</v>
      </c>
      <c r="B18" s="569" t="s">
        <v>757</v>
      </c>
      <c r="C18" s="570" t="s">
        <v>775</v>
      </c>
      <c r="D18" s="571">
        <v>5.0000000000000001E-3</v>
      </c>
      <c r="F18" s="628" t="s">
        <v>764</v>
      </c>
      <c r="G18" s="453" t="s">
        <v>961</v>
      </c>
      <c r="H18" s="226" t="s">
        <v>910</v>
      </c>
      <c r="I18" s="452" t="s">
        <v>896</v>
      </c>
      <c r="J18" s="242" t="s">
        <v>858</v>
      </c>
      <c r="K18" s="91" t="s">
        <v>962</v>
      </c>
    </row>
    <row r="19" spans="1:11" ht="14">
      <c r="A19" s="784" t="s">
        <v>774</v>
      </c>
      <c r="B19" s="569" t="s">
        <v>976</v>
      </c>
      <c r="C19" s="570" t="s">
        <v>775</v>
      </c>
      <c r="D19" s="571">
        <v>1.0500000000000001E-2</v>
      </c>
      <c r="F19" s="628" t="s">
        <v>774</v>
      </c>
      <c r="G19" s="453" t="s">
        <v>972</v>
      </c>
      <c r="H19" s="226" t="s">
        <v>912</v>
      </c>
      <c r="I19" s="452" t="s">
        <v>975</v>
      </c>
      <c r="J19" s="242" t="s">
        <v>968</v>
      </c>
      <c r="K19" s="91" t="s">
        <v>954</v>
      </c>
    </row>
    <row r="20" spans="1:11" ht="14">
      <c r="A20" s="784" t="s">
        <v>765</v>
      </c>
      <c r="B20" s="569" t="s">
        <v>757</v>
      </c>
      <c r="C20" s="570" t="s">
        <v>775</v>
      </c>
      <c r="D20" s="571">
        <v>1.2E-2</v>
      </c>
      <c r="F20" s="628" t="s">
        <v>973</v>
      </c>
      <c r="G20" s="453" t="s">
        <v>974</v>
      </c>
      <c r="H20" s="226" t="s">
        <v>910</v>
      </c>
      <c r="I20" s="452" t="s">
        <v>975</v>
      </c>
      <c r="J20" s="242" t="s">
        <v>968</v>
      </c>
      <c r="K20" s="91" t="s">
        <v>954</v>
      </c>
    </row>
    <row r="24" spans="1:11" ht="28">
      <c r="F24" s="455" t="s">
        <v>756</v>
      </c>
      <c r="G24" s="456" t="s">
        <v>895</v>
      </c>
      <c r="H24" s="455" t="s">
        <v>907</v>
      </c>
      <c r="I24" s="455" t="s">
        <v>1383</v>
      </c>
    </row>
    <row r="25" spans="1:11">
      <c r="F25" s="1241" t="s">
        <v>778</v>
      </c>
      <c r="G25" s="1241"/>
      <c r="H25" s="1241"/>
      <c r="I25" s="1241"/>
    </row>
    <row r="26" spans="1:11" ht="14">
      <c r="F26" s="452" t="s">
        <v>759</v>
      </c>
      <c r="G26" s="453" t="s">
        <v>918</v>
      </c>
      <c r="H26" s="242" t="s">
        <v>858</v>
      </c>
      <c r="I26" s="53"/>
    </row>
    <row r="27" spans="1:11" ht="14">
      <c r="F27" s="628" t="s">
        <v>689</v>
      </c>
      <c r="G27" s="453" t="s">
        <v>970</v>
      </c>
      <c r="H27" s="242" t="s">
        <v>968</v>
      </c>
      <c r="I27" s="53"/>
    </row>
    <row r="28" spans="1:11" ht="14">
      <c r="F28" s="628" t="s">
        <v>795</v>
      </c>
      <c r="G28" s="453" t="s">
        <v>959</v>
      </c>
      <c r="H28" s="242" t="s">
        <v>858</v>
      </c>
      <c r="I28" s="53"/>
    </row>
    <row r="29" spans="1:11" ht="14">
      <c r="F29" s="628" t="s">
        <v>758</v>
      </c>
      <c r="G29" s="453" t="s">
        <v>898</v>
      </c>
      <c r="H29" s="242" t="s">
        <v>858</v>
      </c>
      <c r="I29" s="91" t="s">
        <v>858</v>
      </c>
    </row>
    <row r="30" spans="1:11" ht="14">
      <c r="F30" s="628" t="s">
        <v>369</v>
      </c>
      <c r="G30" s="453" t="s">
        <v>957</v>
      </c>
      <c r="H30" s="242" t="s">
        <v>858</v>
      </c>
      <c r="I30" s="53"/>
    </row>
    <row r="31" spans="1:11" ht="14">
      <c r="F31" s="628" t="s">
        <v>760</v>
      </c>
      <c r="G31" s="453" t="s">
        <v>900</v>
      </c>
      <c r="H31" s="242" t="s">
        <v>858</v>
      </c>
      <c r="I31" s="91" t="s">
        <v>858</v>
      </c>
    </row>
    <row r="32" spans="1:11" ht="14">
      <c r="F32" s="628" t="s">
        <v>761</v>
      </c>
      <c r="G32" s="453" t="s">
        <v>899</v>
      </c>
      <c r="H32" s="242" t="s">
        <v>858</v>
      </c>
      <c r="I32" s="91" t="s">
        <v>858</v>
      </c>
    </row>
    <row r="33" spans="6:9" ht="14">
      <c r="F33" s="628" t="s">
        <v>762</v>
      </c>
      <c r="G33" s="516" t="s">
        <v>906</v>
      </c>
      <c r="H33" s="242" t="s">
        <v>858</v>
      </c>
      <c r="I33" s="91" t="s">
        <v>858</v>
      </c>
    </row>
    <row r="34" spans="6:9" ht="14">
      <c r="F34" s="628" t="s">
        <v>763</v>
      </c>
      <c r="G34" s="454" t="s">
        <v>963</v>
      </c>
      <c r="H34" s="242" t="s">
        <v>858</v>
      </c>
      <c r="I34" s="91" t="s">
        <v>858</v>
      </c>
    </row>
    <row r="35" spans="6:9" ht="14">
      <c r="F35" s="628" t="s">
        <v>370</v>
      </c>
      <c r="G35" s="453" t="s">
        <v>965</v>
      </c>
      <c r="H35" s="242" t="s">
        <v>858</v>
      </c>
      <c r="I35" s="53"/>
    </row>
    <row r="36" spans="6:9">
      <c r="F36" s="1241" t="s">
        <v>779</v>
      </c>
      <c r="G36" s="1241"/>
      <c r="H36" s="1241"/>
      <c r="I36" s="1241"/>
    </row>
    <row r="37" spans="6:9" ht="14">
      <c r="F37" s="628" t="s">
        <v>796</v>
      </c>
      <c r="G37" s="454" t="s">
        <v>955</v>
      </c>
      <c r="H37" s="242" t="s">
        <v>858</v>
      </c>
      <c r="I37" s="53"/>
    </row>
    <row r="38" spans="6:9" ht="14">
      <c r="F38" s="452" t="s">
        <v>766</v>
      </c>
      <c r="G38" s="454" t="s">
        <v>971</v>
      </c>
      <c r="H38" s="242" t="s">
        <v>858</v>
      </c>
      <c r="I38" s="53"/>
    </row>
    <row r="39" spans="6:9" ht="14">
      <c r="F39" s="452" t="s">
        <v>767</v>
      </c>
      <c r="G39" s="454" t="s">
        <v>967</v>
      </c>
      <c r="H39" s="242" t="s">
        <v>858</v>
      </c>
      <c r="I39" s="91" t="s">
        <v>858</v>
      </c>
    </row>
    <row r="40" spans="6:9" ht="14">
      <c r="F40" s="628" t="s">
        <v>764</v>
      </c>
      <c r="G40" s="453" t="s">
        <v>961</v>
      </c>
      <c r="H40" s="242" t="s">
        <v>858</v>
      </c>
      <c r="I40" s="53"/>
    </row>
    <row r="41" spans="6:9" ht="14">
      <c r="F41" s="628" t="s">
        <v>774</v>
      </c>
      <c r="G41" s="453" t="s">
        <v>972</v>
      </c>
      <c r="H41" s="242" t="s">
        <v>968</v>
      </c>
      <c r="I41" s="53"/>
    </row>
    <row r="42" spans="6:9" ht="14">
      <c r="F42" s="628" t="s">
        <v>973</v>
      </c>
      <c r="G42" s="453" t="s">
        <v>974</v>
      </c>
      <c r="H42" s="242" t="s">
        <v>968</v>
      </c>
      <c r="I42" s="53"/>
    </row>
  </sheetData>
  <mergeCells count="6">
    <mergeCell ref="F36:I36"/>
    <mergeCell ref="A14:D14"/>
    <mergeCell ref="A3:D3"/>
    <mergeCell ref="F14:K14"/>
    <mergeCell ref="F3:K3"/>
    <mergeCell ref="F25:I25"/>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92D050"/>
  </sheetPr>
  <dimension ref="A1:S69"/>
  <sheetViews>
    <sheetView topLeftCell="C7" workbookViewId="0">
      <selection activeCell="H23" sqref="H23"/>
    </sheetView>
  </sheetViews>
  <sheetFormatPr defaultRowHeight="12.5"/>
  <cols>
    <col min="1" max="1" width="38.90625" bestFit="1" customWidth="1"/>
    <col min="2" max="2" width="9.6328125" bestFit="1" customWidth="1"/>
    <col min="3" max="3" width="11.36328125" bestFit="1" customWidth="1"/>
    <col min="4" max="4" width="12.08984375" bestFit="1" customWidth="1"/>
    <col min="5" max="5" width="9.6328125" bestFit="1" customWidth="1"/>
    <col min="6" max="6" width="9.6328125" customWidth="1"/>
    <col min="7" max="7" width="21" bestFit="1" customWidth="1"/>
    <col min="8" max="8" width="15.54296875" bestFit="1" customWidth="1"/>
    <col min="9" max="9" width="12.90625" bestFit="1" customWidth="1"/>
    <col min="11" max="11" width="16" bestFit="1" customWidth="1"/>
    <col min="12" max="12" width="11" bestFit="1" customWidth="1"/>
    <col min="13" max="18" width="9.6328125" bestFit="1" customWidth="1"/>
    <col min="19" max="19" width="11.36328125" bestFit="1" customWidth="1"/>
  </cols>
  <sheetData>
    <row r="1" spans="1:19" ht="31">
      <c r="A1" s="1442" t="s">
        <v>756</v>
      </c>
      <c r="B1" s="423"/>
      <c r="C1" s="423"/>
      <c r="D1" s="423"/>
      <c r="E1" s="423"/>
      <c r="F1" s="767"/>
      <c r="G1" s="1406" t="s">
        <v>1348</v>
      </c>
      <c r="H1" s="1406" t="s">
        <v>789</v>
      </c>
      <c r="I1" s="1444" t="s">
        <v>790</v>
      </c>
      <c r="J1" s="403"/>
      <c r="K1" s="403"/>
      <c r="L1" s="413" t="s">
        <v>30</v>
      </c>
      <c r="M1" s="413" t="s">
        <v>745</v>
      </c>
      <c r="N1" s="413" t="s">
        <v>451</v>
      </c>
      <c r="O1" s="413" t="s">
        <v>29</v>
      </c>
      <c r="P1" s="414" t="s">
        <v>744</v>
      </c>
      <c r="Q1" s="413" t="s">
        <v>31</v>
      </c>
      <c r="R1" s="414" t="s">
        <v>743</v>
      </c>
      <c r="S1" s="410" t="s">
        <v>751</v>
      </c>
    </row>
    <row r="2" spans="1:19" ht="15.5">
      <c r="A2" s="1442"/>
      <c r="B2" s="424">
        <v>24</v>
      </c>
      <c r="C2" s="424">
        <v>24</v>
      </c>
      <c r="D2" s="424">
        <v>18</v>
      </c>
      <c r="E2" s="424">
        <v>24</v>
      </c>
      <c r="F2" s="779">
        <v>10</v>
      </c>
      <c r="G2" s="1443"/>
      <c r="H2" s="1443"/>
      <c r="I2" s="1444"/>
      <c r="J2" s="403"/>
      <c r="K2" s="406" t="s">
        <v>742</v>
      </c>
      <c r="L2" s="404">
        <v>24</v>
      </c>
      <c r="M2" s="404">
        <v>24</v>
      </c>
      <c r="N2" s="404">
        <v>18</v>
      </c>
      <c r="O2" s="404">
        <v>24</v>
      </c>
      <c r="P2" s="404">
        <v>23</v>
      </c>
      <c r="Q2" s="404">
        <v>40</v>
      </c>
      <c r="R2" s="404">
        <v>20</v>
      </c>
      <c r="S2" s="411">
        <v>10</v>
      </c>
    </row>
    <row r="3" spans="1:19" ht="15.5">
      <c r="A3" s="1442"/>
      <c r="B3" s="423" t="s">
        <v>30</v>
      </c>
      <c r="C3" s="423" t="s">
        <v>749</v>
      </c>
      <c r="D3" s="423" t="s">
        <v>750</v>
      </c>
      <c r="E3" s="423" t="s">
        <v>29</v>
      </c>
      <c r="F3" s="768" t="s">
        <v>1347</v>
      </c>
      <c r="G3" s="1407"/>
      <c r="H3" s="1407"/>
      <c r="I3" s="1444"/>
      <c r="J3" s="403"/>
      <c r="K3" s="386" t="s">
        <v>746</v>
      </c>
      <c r="L3" s="73">
        <f t="shared" ref="L3:R3" si="0">SUM(L6:L69)</f>
        <v>265</v>
      </c>
      <c r="M3" s="73">
        <f t="shared" si="0"/>
        <v>265</v>
      </c>
      <c r="N3" s="73">
        <f t="shared" si="0"/>
        <v>235</v>
      </c>
      <c r="O3" s="73">
        <f t="shared" si="0"/>
        <v>265</v>
      </c>
      <c r="P3" s="73">
        <f t="shared" si="0"/>
        <v>60</v>
      </c>
      <c r="Q3" s="73">
        <f t="shared" si="0"/>
        <v>30</v>
      </c>
      <c r="R3" s="73">
        <f t="shared" si="0"/>
        <v>60</v>
      </c>
      <c r="S3" s="384">
        <v>200</v>
      </c>
    </row>
    <row r="4" spans="1:19" ht="15.5">
      <c r="A4" s="391" t="s">
        <v>753</v>
      </c>
      <c r="B4" s="386"/>
      <c r="C4" s="386"/>
      <c r="D4" s="386"/>
      <c r="E4" s="386"/>
      <c r="F4" s="386"/>
      <c r="G4" s="425"/>
      <c r="H4" s="409">
        <f t="shared" ref="H4:H17" si="1">$B$2*B4+$C$2*C4+$D$2*D4+$E$2*E4</f>
        <v>0</v>
      </c>
      <c r="I4" s="410">
        <f t="shared" ref="I4:I19" si="2">G4+H4</f>
        <v>0</v>
      </c>
      <c r="J4" s="407"/>
      <c r="K4" s="387" t="s">
        <v>747</v>
      </c>
      <c r="L4" s="408">
        <f t="shared" ref="L4:S4" si="3">L2*L3</f>
        <v>6360</v>
      </c>
      <c r="M4" s="408">
        <f t="shared" si="3"/>
        <v>6360</v>
      </c>
      <c r="N4" s="408">
        <f t="shared" si="3"/>
        <v>4230</v>
      </c>
      <c r="O4" s="408">
        <f t="shared" si="3"/>
        <v>6360</v>
      </c>
      <c r="P4" s="408">
        <f t="shared" si="3"/>
        <v>1380</v>
      </c>
      <c r="Q4" s="408">
        <f t="shared" si="3"/>
        <v>1200</v>
      </c>
      <c r="R4" s="408">
        <f t="shared" si="3"/>
        <v>1200</v>
      </c>
      <c r="S4" s="412">
        <f t="shared" si="3"/>
        <v>2000</v>
      </c>
    </row>
    <row r="5" spans="1:19" ht="15.5">
      <c r="A5" s="73" t="s">
        <v>592</v>
      </c>
      <c r="B5" s="386"/>
      <c r="C5" s="386"/>
      <c r="D5" s="386"/>
      <c r="E5" s="386"/>
      <c r="F5" s="386"/>
      <c r="G5" s="425"/>
      <c r="H5" s="409">
        <f t="shared" si="1"/>
        <v>0</v>
      </c>
      <c r="I5" s="410">
        <f t="shared" si="2"/>
        <v>0</v>
      </c>
      <c r="J5" s="402"/>
      <c r="K5" s="73" t="s">
        <v>748</v>
      </c>
      <c r="L5" s="408">
        <f>SUM(L4:S4)</f>
        <v>29090</v>
      </c>
      <c r="M5" s="72"/>
      <c r="N5" s="72"/>
      <c r="O5" s="72"/>
      <c r="P5" s="72"/>
      <c r="Q5" s="72"/>
      <c r="R5" s="72"/>
      <c r="S5" s="388"/>
    </row>
    <row r="6" spans="1:19" ht="15.5">
      <c r="A6" s="73" t="s">
        <v>696</v>
      </c>
      <c r="B6" s="386"/>
      <c r="C6" s="386"/>
      <c r="D6" s="386"/>
      <c r="E6" s="386"/>
      <c r="F6" s="386"/>
      <c r="G6" s="425"/>
      <c r="H6" s="409">
        <f t="shared" si="1"/>
        <v>0</v>
      </c>
      <c r="I6" s="410">
        <f t="shared" si="2"/>
        <v>0</v>
      </c>
      <c r="J6" s="402"/>
      <c r="K6" s="402"/>
      <c r="L6" s="72">
        <v>7</v>
      </c>
      <c r="M6" s="72">
        <v>7</v>
      </c>
      <c r="N6" s="72">
        <v>7</v>
      </c>
      <c r="O6" s="72">
        <v>7</v>
      </c>
      <c r="P6" s="72"/>
      <c r="Q6" s="72"/>
      <c r="R6" s="72"/>
      <c r="S6" s="72"/>
    </row>
    <row r="7" spans="1:19" ht="15.5">
      <c r="A7" s="73" t="s">
        <v>603</v>
      </c>
      <c r="B7" s="780">
        <v>6</v>
      </c>
      <c r="C7" s="780">
        <v>6</v>
      </c>
      <c r="D7" s="780">
        <v>6</v>
      </c>
      <c r="E7" s="780">
        <v>6</v>
      </c>
      <c r="F7" s="780">
        <v>6</v>
      </c>
      <c r="G7" s="425">
        <v>30</v>
      </c>
      <c r="H7" s="409">
        <f>$B$2*B7+$C$2*C7+$D$2*D7+$E$2*E7+$F$2*F7</f>
        <v>600</v>
      </c>
      <c r="I7" s="410">
        <f t="shared" si="2"/>
        <v>630</v>
      </c>
      <c r="J7" s="402"/>
      <c r="K7" s="402"/>
      <c r="L7" s="72">
        <v>7</v>
      </c>
      <c r="M7" s="72">
        <v>7</v>
      </c>
      <c r="N7" s="72">
        <v>7</v>
      </c>
      <c r="O7" s="72">
        <v>7</v>
      </c>
      <c r="P7" s="72"/>
      <c r="Q7" s="72"/>
      <c r="R7" s="72"/>
      <c r="S7" s="72"/>
    </row>
    <row r="8" spans="1:19" ht="15.5">
      <c r="A8" s="73" t="s">
        <v>606</v>
      </c>
      <c r="B8" s="780">
        <v>6</v>
      </c>
      <c r="C8" s="780">
        <v>6</v>
      </c>
      <c r="D8" s="780">
        <v>6</v>
      </c>
      <c r="E8" s="780">
        <v>6</v>
      </c>
      <c r="F8" s="780">
        <v>6</v>
      </c>
      <c r="G8" s="425">
        <v>30</v>
      </c>
      <c r="H8" s="409">
        <f>$B$2*B8+$C$2*C8+$D$2*D8+$E$2*E8+$F$2*F8</f>
        <v>600</v>
      </c>
      <c r="I8" s="410">
        <f t="shared" si="2"/>
        <v>630</v>
      </c>
      <c r="J8" s="402"/>
      <c r="K8" s="402"/>
      <c r="L8" s="72">
        <v>7</v>
      </c>
      <c r="M8" s="72">
        <v>7</v>
      </c>
      <c r="N8" s="72">
        <v>7</v>
      </c>
      <c r="O8" s="72">
        <v>7</v>
      </c>
      <c r="P8" s="72"/>
      <c r="Q8" s="72"/>
      <c r="R8" s="72"/>
      <c r="S8" s="72"/>
    </row>
    <row r="9" spans="1:19" ht="15.5">
      <c r="A9" s="73" t="s">
        <v>607</v>
      </c>
      <c r="B9" s="780">
        <v>6</v>
      </c>
      <c r="C9" s="780">
        <v>6</v>
      </c>
      <c r="D9" s="780">
        <v>6</v>
      </c>
      <c r="E9" s="780">
        <v>6</v>
      </c>
      <c r="F9" s="780">
        <v>6</v>
      </c>
      <c r="G9" s="425">
        <v>30</v>
      </c>
      <c r="H9" s="409">
        <f>$B$2*B9+$C$2*C9+$D$2*D9+$E$2*E9+$F$2*F9</f>
        <v>600</v>
      </c>
      <c r="I9" s="410">
        <f t="shared" si="2"/>
        <v>630</v>
      </c>
      <c r="J9" s="388"/>
      <c r="K9" s="388"/>
      <c r="L9" s="72"/>
      <c r="M9" s="72"/>
      <c r="N9" s="72"/>
      <c r="O9" s="72"/>
      <c r="P9" s="72"/>
      <c r="Q9" s="72"/>
      <c r="R9" s="72"/>
      <c r="S9" s="72"/>
    </row>
    <row r="10" spans="1:19" ht="15.5">
      <c r="A10" s="73" t="s">
        <v>608</v>
      </c>
      <c r="B10" s="780">
        <v>6</v>
      </c>
      <c r="C10" s="780">
        <v>6</v>
      </c>
      <c r="D10" s="780">
        <v>6</v>
      </c>
      <c r="E10" s="780">
        <v>6</v>
      </c>
      <c r="F10" s="780">
        <v>6</v>
      </c>
      <c r="G10" s="425">
        <v>30</v>
      </c>
      <c r="H10" s="409">
        <f>$B$2*B10+$C$2*C10+$D$2*D10+$E$2*E10+$F$2*F10</f>
        <v>600</v>
      </c>
      <c r="I10" s="410">
        <f t="shared" si="2"/>
        <v>630</v>
      </c>
      <c r="J10" s="402"/>
      <c r="K10" s="402"/>
      <c r="L10" s="72">
        <v>12</v>
      </c>
      <c r="M10" s="72">
        <v>12</v>
      </c>
      <c r="N10" s="72">
        <v>12</v>
      </c>
      <c r="O10" s="72">
        <v>12</v>
      </c>
      <c r="P10" s="72">
        <v>12</v>
      </c>
      <c r="Q10" s="72"/>
      <c r="R10" s="72">
        <v>12</v>
      </c>
      <c r="S10" s="72"/>
    </row>
    <row r="11" spans="1:19" ht="15.5">
      <c r="A11" s="73" t="s">
        <v>689</v>
      </c>
      <c r="B11" s="781"/>
      <c r="C11" s="781"/>
      <c r="D11" s="781"/>
      <c r="E11" s="781"/>
      <c r="F11" s="781"/>
      <c r="G11" s="425"/>
      <c r="H11" s="409">
        <f t="shared" si="1"/>
        <v>0</v>
      </c>
      <c r="I11" s="410">
        <f t="shared" si="2"/>
        <v>0</v>
      </c>
      <c r="J11" s="402"/>
      <c r="K11" s="402"/>
      <c r="L11" s="72"/>
      <c r="M11" s="72"/>
      <c r="N11" s="72"/>
      <c r="O11" s="72"/>
      <c r="P11" s="72"/>
      <c r="Q11" s="72"/>
      <c r="R11" s="72"/>
      <c r="S11" s="72"/>
    </row>
    <row r="12" spans="1:19" ht="15.5">
      <c r="A12" s="73" t="s">
        <v>690</v>
      </c>
      <c r="B12" s="781">
        <v>6</v>
      </c>
      <c r="C12" s="781">
        <v>6</v>
      </c>
      <c r="D12" s="781">
        <v>6</v>
      </c>
      <c r="E12" s="781">
        <v>6</v>
      </c>
      <c r="F12" s="781">
        <v>6</v>
      </c>
      <c r="G12" s="425">
        <v>30</v>
      </c>
      <c r="H12" s="409">
        <f>$B$2*B12+$C$2*C12+$D$2*D12+$E$2*E12+$F$2*F12</f>
        <v>600</v>
      </c>
      <c r="I12" s="410">
        <f t="shared" si="2"/>
        <v>630</v>
      </c>
      <c r="J12" s="388"/>
      <c r="K12" s="388"/>
      <c r="L12" s="72"/>
      <c r="M12" s="72"/>
      <c r="N12" s="72"/>
      <c r="O12" s="72"/>
      <c r="P12" s="72"/>
      <c r="Q12" s="72"/>
      <c r="R12" s="72"/>
      <c r="S12" s="72"/>
    </row>
    <row r="13" spans="1:19" ht="15.5">
      <c r="A13" s="73" t="s">
        <v>691</v>
      </c>
      <c r="B13" s="781"/>
      <c r="C13" s="781"/>
      <c r="D13" s="781"/>
      <c r="E13" s="781"/>
      <c r="F13" s="781"/>
      <c r="G13" s="425"/>
      <c r="H13" s="409">
        <f t="shared" si="1"/>
        <v>0</v>
      </c>
      <c r="I13" s="410">
        <f t="shared" si="2"/>
        <v>0</v>
      </c>
      <c r="J13" s="402"/>
      <c r="K13" s="402"/>
      <c r="L13" s="72">
        <v>12</v>
      </c>
      <c r="M13" s="72">
        <v>12</v>
      </c>
      <c r="N13" s="72"/>
      <c r="O13" s="72">
        <v>12</v>
      </c>
      <c r="P13" s="72">
        <v>12</v>
      </c>
      <c r="Q13" s="405">
        <v>12</v>
      </c>
      <c r="R13" s="405">
        <v>12</v>
      </c>
      <c r="S13" s="72"/>
    </row>
    <row r="14" spans="1:19" ht="15.5">
      <c r="A14" s="73" t="s">
        <v>692</v>
      </c>
      <c r="B14" s="781"/>
      <c r="C14" s="781"/>
      <c r="D14" s="781"/>
      <c r="E14" s="781"/>
      <c r="F14" s="781"/>
      <c r="G14" s="425"/>
      <c r="H14" s="409">
        <f t="shared" si="1"/>
        <v>0</v>
      </c>
      <c r="I14" s="410">
        <f t="shared" si="2"/>
        <v>0</v>
      </c>
      <c r="J14" s="402"/>
      <c r="K14" s="402"/>
      <c r="L14" s="72">
        <v>12</v>
      </c>
      <c r="M14" s="72">
        <v>12</v>
      </c>
      <c r="N14" s="72"/>
      <c r="O14" s="72">
        <v>12</v>
      </c>
      <c r="P14" s="72">
        <v>12</v>
      </c>
      <c r="Q14" s="72"/>
      <c r="R14" s="72">
        <v>12</v>
      </c>
      <c r="S14" s="72"/>
    </row>
    <row r="15" spans="1:19" ht="15.5">
      <c r="A15" s="73" t="s">
        <v>694</v>
      </c>
      <c r="B15" s="781"/>
      <c r="C15" s="781"/>
      <c r="D15" s="781"/>
      <c r="E15" s="781"/>
      <c r="F15" s="781"/>
      <c r="G15" s="425"/>
      <c r="H15" s="409">
        <f t="shared" si="1"/>
        <v>0</v>
      </c>
      <c r="I15" s="410">
        <f t="shared" si="2"/>
        <v>0</v>
      </c>
      <c r="J15" s="402"/>
      <c r="K15" s="402"/>
      <c r="L15" s="72"/>
      <c r="M15" s="72"/>
      <c r="N15" s="72"/>
      <c r="O15" s="72"/>
      <c r="P15" s="72"/>
      <c r="Q15" s="72"/>
      <c r="R15" s="72"/>
      <c r="S15" s="72"/>
    </row>
    <row r="16" spans="1:19" ht="15.5">
      <c r="A16" s="73" t="s">
        <v>738</v>
      </c>
      <c r="B16" s="781"/>
      <c r="C16" s="781"/>
      <c r="D16" s="781"/>
      <c r="E16" s="781"/>
      <c r="F16" s="781"/>
      <c r="G16" s="425"/>
      <c r="H16" s="409">
        <f t="shared" si="1"/>
        <v>0</v>
      </c>
      <c r="I16" s="410">
        <f t="shared" si="2"/>
        <v>0</v>
      </c>
      <c r="J16" s="402"/>
      <c r="K16" s="402"/>
      <c r="L16" s="72"/>
      <c r="M16" s="72"/>
      <c r="N16" s="72"/>
      <c r="O16" s="72"/>
      <c r="P16" s="72"/>
      <c r="Q16" s="72"/>
      <c r="R16" s="72"/>
      <c r="S16" s="72"/>
    </row>
    <row r="17" spans="1:19" ht="15.5">
      <c r="A17" s="73" t="s">
        <v>693</v>
      </c>
      <c r="B17" s="781"/>
      <c r="C17" s="781"/>
      <c r="D17" s="781"/>
      <c r="E17" s="781"/>
      <c r="F17" s="781"/>
      <c r="G17" s="425"/>
      <c r="H17" s="409">
        <f t="shared" si="1"/>
        <v>0</v>
      </c>
      <c r="I17" s="410">
        <f t="shared" si="2"/>
        <v>0</v>
      </c>
      <c r="J17" s="402"/>
      <c r="K17" s="402"/>
      <c r="L17" s="72"/>
      <c r="M17" s="72"/>
      <c r="N17" s="72"/>
      <c r="O17" s="72"/>
      <c r="P17" s="72"/>
      <c r="Q17" s="72"/>
      <c r="R17" s="72"/>
      <c r="S17" s="72"/>
    </row>
    <row r="18" spans="1:19" ht="15.5">
      <c r="A18" s="391" t="s">
        <v>695</v>
      </c>
      <c r="B18" s="781">
        <v>6</v>
      </c>
      <c r="C18" s="781">
        <v>6</v>
      </c>
      <c r="D18" s="781">
        <v>6</v>
      </c>
      <c r="E18" s="781">
        <v>6</v>
      </c>
      <c r="F18" s="781">
        <v>6</v>
      </c>
      <c r="G18" s="425">
        <v>30</v>
      </c>
      <c r="H18" s="409">
        <f>$B$2*B18+$C$2*C18+$D$2*D18+$E$2*E18+$F$2*F18</f>
        <v>600</v>
      </c>
      <c r="I18" s="410">
        <f t="shared" si="2"/>
        <v>630</v>
      </c>
      <c r="J18" s="402"/>
      <c r="K18" s="402"/>
      <c r="L18" s="72"/>
      <c r="M18" s="72"/>
      <c r="N18" s="72"/>
      <c r="O18" s="72"/>
      <c r="P18" s="72"/>
      <c r="Q18" s="72"/>
      <c r="R18" s="72"/>
      <c r="S18" s="72"/>
    </row>
    <row r="19" spans="1:19" ht="15.5">
      <c r="A19" s="391" t="s">
        <v>737</v>
      </c>
      <c r="B19" s="781">
        <v>6</v>
      </c>
      <c r="C19" s="781">
        <v>6</v>
      </c>
      <c r="D19" s="781">
        <v>6</v>
      </c>
      <c r="E19" s="781">
        <v>6</v>
      </c>
      <c r="F19" s="781">
        <v>6</v>
      </c>
      <c r="G19" s="425">
        <v>30</v>
      </c>
      <c r="H19" s="409">
        <f>$B$2*B19+$C$2*C19+$D$2*D19+$E$2*E19+$F$2*F19</f>
        <v>600</v>
      </c>
      <c r="I19" s="410">
        <f t="shared" si="2"/>
        <v>630</v>
      </c>
      <c r="J19" s="388"/>
      <c r="K19" s="388"/>
      <c r="L19" s="72"/>
      <c r="M19" s="72"/>
      <c r="N19" s="72"/>
      <c r="O19" s="72"/>
      <c r="P19" s="72"/>
      <c r="Q19" s="72"/>
      <c r="R19" s="72"/>
      <c r="S19" s="72"/>
    </row>
    <row r="20" spans="1:19" ht="15.5">
      <c r="A20" s="386"/>
      <c r="B20" s="386"/>
      <c r="C20" s="386"/>
      <c r="D20" s="386"/>
      <c r="E20" s="386"/>
      <c r="F20" s="386"/>
      <c r="G20" s="386"/>
      <c r="H20" s="409">
        <f>SUM(H4:H19)</f>
        <v>4200</v>
      </c>
      <c r="I20" s="409">
        <f>SUM(I4:I19)</f>
        <v>4410</v>
      </c>
      <c r="J20" s="402"/>
      <c r="K20" s="402"/>
      <c r="L20" s="72">
        <v>6</v>
      </c>
      <c r="M20" s="72">
        <v>6</v>
      </c>
      <c r="N20" s="72"/>
      <c r="O20" s="72">
        <v>6</v>
      </c>
      <c r="P20" s="72">
        <v>6</v>
      </c>
      <c r="Q20" s="72">
        <v>6</v>
      </c>
      <c r="R20" s="72">
        <v>6</v>
      </c>
      <c r="S20" s="72"/>
    </row>
    <row r="21" spans="1:19" ht="15.5">
      <c r="A21" s="72"/>
      <c r="B21" s="72"/>
      <c r="C21" s="72"/>
      <c r="D21" s="72"/>
      <c r="E21" s="72"/>
      <c r="F21" s="72"/>
      <c r="G21" s="72"/>
      <c r="H21" s="72"/>
      <c r="I21" s="402"/>
      <c r="J21" s="402"/>
      <c r="K21" s="402"/>
      <c r="L21" s="72"/>
      <c r="M21" s="72"/>
      <c r="N21" s="72"/>
      <c r="O21" s="72"/>
      <c r="P21" s="72"/>
      <c r="Q21" s="72"/>
      <c r="R21" s="72"/>
      <c r="S21" s="72"/>
    </row>
    <row r="22" spans="1:19" ht="15.5">
      <c r="A22" s="402"/>
      <c r="B22" s="402"/>
      <c r="C22" s="402"/>
      <c r="D22" s="402"/>
      <c r="E22" s="402"/>
      <c r="F22" s="402"/>
      <c r="G22" s="402"/>
      <c r="H22" s="402"/>
      <c r="I22" s="402"/>
      <c r="J22" s="402"/>
      <c r="K22" s="402"/>
      <c r="L22" s="72">
        <v>6</v>
      </c>
      <c r="M22" s="72">
        <v>6</v>
      </c>
      <c r="N22" s="72">
        <v>6</v>
      </c>
      <c r="O22" s="72">
        <v>6</v>
      </c>
      <c r="P22" s="72">
        <v>6</v>
      </c>
      <c r="Q22" s="72"/>
      <c r="R22" s="72">
        <v>6</v>
      </c>
      <c r="S22" s="72"/>
    </row>
    <row r="23" spans="1:19" ht="15.5">
      <c r="A23" s="388"/>
      <c r="B23" s="388"/>
      <c r="C23" s="388"/>
      <c r="D23" s="388"/>
      <c r="E23" s="388"/>
      <c r="F23" s="388"/>
      <c r="G23" s="388"/>
      <c r="H23" s="388"/>
      <c r="I23" s="388"/>
      <c r="J23" s="388"/>
      <c r="K23" s="388"/>
      <c r="L23" s="72"/>
      <c r="M23" s="72"/>
      <c r="N23" s="72"/>
      <c r="O23" s="72"/>
      <c r="P23" s="72"/>
      <c r="Q23" s="72"/>
      <c r="R23" s="72"/>
      <c r="S23" s="72"/>
    </row>
    <row r="24" spans="1:19" ht="15.5">
      <c r="A24" s="72"/>
      <c r="B24" s="72"/>
      <c r="C24" s="402"/>
      <c r="D24" s="402"/>
      <c r="E24" s="402"/>
      <c r="F24" s="402"/>
      <c r="G24" s="402"/>
      <c r="H24" s="402"/>
      <c r="I24" s="402"/>
      <c r="J24" s="402"/>
      <c r="K24" s="402"/>
      <c r="L24" s="72">
        <v>8</v>
      </c>
      <c r="M24" s="72">
        <v>8</v>
      </c>
      <c r="N24" s="72">
        <v>8</v>
      </c>
      <c r="O24" s="72">
        <v>8</v>
      </c>
      <c r="P24" s="72"/>
      <c r="Q24" s="72"/>
      <c r="R24" s="72"/>
      <c r="S24" s="72"/>
    </row>
    <row r="25" spans="1:19" ht="15.5">
      <c r="A25" s="72"/>
      <c r="B25" s="72"/>
      <c r="C25" s="402"/>
      <c r="D25" s="402"/>
      <c r="E25" s="402"/>
      <c r="F25" s="402"/>
      <c r="G25" s="402"/>
      <c r="H25" s="402"/>
      <c r="I25" s="402"/>
      <c r="J25" s="402"/>
      <c r="K25" s="402"/>
      <c r="L25" s="72">
        <v>8</v>
      </c>
      <c r="M25" s="72">
        <v>8</v>
      </c>
      <c r="N25" s="72">
        <v>8</v>
      </c>
      <c r="O25" s="72">
        <v>8</v>
      </c>
      <c r="P25" s="72"/>
      <c r="Q25" s="72"/>
      <c r="R25" s="72"/>
      <c r="S25" s="72"/>
    </row>
    <row r="26" spans="1:19" ht="15.5">
      <c r="A26" s="72"/>
      <c r="B26" s="72"/>
      <c r="C26" s="402"/>
      <c r="D26" s="402"/>
      <c r="E26" s="402"/>
      <c r="F26" s="402"/>
      <c r="G26" s="402"/>
      <c r="H26" s="402"/>
      <c r="I26" s="402"/>
      <c r="J26" s="402"/>
      <c r="K26" s="402"/>
      <c r="L26" s="72">
        <v>8</v>
      </c>
      <c r="M26" s="72">
        <v>8</v>
      </c>
      <c r="N26" s="72">
        <v>8</v>
      </c>
      <c r="O26" s="72">
        <v>8</v>
      </c>
      <c r="P26" s="72"/>
      <c r="Q26" s="72"/>
      <c r="R26" s="72"/>
      <c r="S26" s="72"/>
    </row>
    <row r="27" spans="1:19" ht="15.5">
      <c r="A27" s="72"/>
      <c r="B27" s="72"/>
      <c r="C27" s="402"/>
      <c r="D27" s="402"/>
      <c r="E27" s="402"/>
      <c r="F27" s="402"/>
      <c r="G27" s="402"/>
      <c r="H27" s="402"/>
      <c r="I27" s="402"/>
      <c r="J27" s="402"/>
      <c r="K27" s="402"/>
      <c r="L27" s="72">
        <v>8</v>
      </c>
      <c r="M27" s="72">
        <v>8</v>
      </c>
      <c r="N27" s="72">
        <v>8</v>
      </c>
      <c r="O27" s="72">
        <v>8</v>
      </c>
      <c r="P27" s="72"/>
      <c r="Q27" s="72"/>
      <c r="R27" s="72"/>
      <c r="S27" s="72"/>
    </row>
    <row r="28" spans="1:19" ht="15.5">
      <c r="A28" s="72"/>
      <c r="B28" s="72"/>
      <c r="C28" s="402"/>
      <c r="D28" s="402"/>
      <c r="E28" s="402"/>
      <c r="F28" s="402"/>
      <c r="G28" s="402"/>
      <c r="H28" s="402"/>
      <c r="I28" s="402"/>
      <c r="J28" s="402"/>
      <c r="K28" s="402"/>
      <c r="L28" s="72">
        <v>8</v>
      </c>
      <c r="M28" s="72">
        <v>8</v>
      </c>
      <c r="N28" s="72">
        <v>8</v>
      </c>
      <c r="O28" s="72">
        <v>8</v>
      </c>
      <c r="P28" s="72"/>
      <c r="Q28" s="72"/>
      <c r="R28" s="72"/>
      <c r="S28" s="72"/>
    </row>
    <row r="29" spans="1:19" ht="15.5">
      <c r="A29" s="72"/>
      <c r="B29" s="72"/>
      <c r="C29" s="402"/>
      <c r="D29" s="402"/>
      <c r="E29" s="402"/>
      <c r="F29" s="402"/>
      <c r="G29" s="402"/>
      <c r="H29" s="402"/>
      <c r="I29" s="402"/>
      <c r="J29" s="402"/>
      <c r="K29" s="402"/>
      <c r="L29" s="72">
        <v>8</v>
      </c>
      <c r="M29" s="72">
        <v>8</v>
      </c>
      <c r="N29" s="72">
        <v>8</v>
      </c>
      <c r="O29" s="72">
        <v>8</v>
      </c>
      <c r="P29" s="72"/>
      <c r="Q29" s="72"/>
      <c r="R29" s="72"/>
      <c r="S29" s="72"/>
    </row>
    <row r="30" spans="1:19" ht="15.5">
      <c r="A30" s="72"/>
      <c r="B30" s="72"/>
      <c r="C30" s="402"/>
      <c r="D30" s="402"/>
      <c r="E30" s="402"/>
      <c r="F30" s="402"/>
      <c r="G30" s="402"/>
      <c r="H30" s="402"/>
      <c r="I30" s="402"/>
      <c r="J30" s="402"/>
      <c r="K30" s="402"/>
      <c r="L30" s="72"/>
      <c r="M30" s="72"/>
      <c r="N30" s="72"/>
      <c r="O30" s="72"/>
      <c r="P30" s="72"/>
      <c r="Q30" s="72"/>
      <c r="R30" s="72"/>
      <c r="S30" s="72"/>
    </row>
    <row r="31" spans="1:19" ht="15.5">
      <c r="A31" s="72"/>
      <c r="B31" s="72"/>
      <c r="C31" s="402"/>
      <c r="D31" s="402"/>
      <c r="E31" s="402"/>
      <c r="F31" s="402"/>
      <c r="G31" s="402"/>
      <c r="H31" s="402"/>
      <c r="I31" s="402"/>
      <c r="J31" s="402"/>
      <c r="K31" s="402"/>
      <c r="L31" s="72"/>
      <c r="M31" s="72"/>
      <c r="N31" s="72"/>
      <c r="O31" s="72"/>
      <c r="P31" s="72"/>
      <c r="Q31" s="72"/>
      <c r="R31" s="72"/>
      <c r="S31" s="72"/>
    </row>
    <row r="32" spans="1:19" ht="15.5">
      <c r="A32" s="72"/>
      <c r="B32" s="72"/>
      <c r="C32" s="402"/>
      <c r="D32" s="402"/>
      <c r="E32" s="402"/>
      <c r="F32" s="402"/>
      <c r="G32" s="402"/>
      <c r="H32" s="402"/>
      <c r="I32" s="402"/>
      <c r="J32" s="402"/>
      <c r="K32" s="402"/>
      <c r="L32" s="72"/>
      <c r="M32" s="72"/>
      <c r="N32" s="72"/>
      <c r="O32" s="72"/>
      <c r="P32" s="72"/>
      <c r="Q32" s="72"/>
      <c r="R32" s="72"/>
      <c r="S32" s="72"/>
    </row>
    <row r="33" spans="1:19" ht="15.5">
      <c r="A33" s="72"/>
      <c r="B33" s="72"/>
      <c r="C33" s="402"/>
      <c r="D33" s="402"/>
      <c r="E33" s="402"/>
      <c r="F33" s="402"/>
      <c r="G33" s="402"/>
      <c r="H33" s="402"/>
      <c r="I33" s="402"/>
      <c r="J33" s="402"/>
      <c r="K33" s="402"/>
      <c r="L33" s="72"/>
      <c r="M33" s="72"/>
      <c r="N33" s="72"/>
      <c r="O33" s="72"/>
      <c r="P33" s="72"/>
      <c r="Q33" s="72"/>
      <c r="R33" s="72"/>
      <c r="S33" s="72"/>
    </row>
    <row r="34" spans="1:19" ht="15.5">
      <c r="A34" s="72"/>
      <c r="B34" s="72"/>
      <c r="C34" s="402"/>
      <c r="D34" s="402"/>
      <c r="E34" s="402"/>
      <c r="F34" s="402"/>
      <c r="G34" s="402"/>
      <c r="H34" s="402"/>
      <c r="I34" s="402"/>
      <c r="J34" s="402"/>
      <c r="K34" s="402"/>
      <c r="L34" s="72"/>
      <c r="M34" s="72"/>
      <c r="N34" s="72"/>
      <c r="O34" s="72"/>
      <c r="P34" s="72"/>
      <c r="Q34" s="72"/>
      <c r="R34" s="72"/>
      <c r="S34" s="72"/>
    </row>
    <row r="35" spans="1:19" ht="15.5">
      <c r="A35" s="72"/>
      <c r="B35" s="72"/>
      <c r="C35" s="388"/>
      <c r="D35" s="388"/>
      <c r="E35" s="388"/>
      <c r="F35" s="388"/>
      <c r="G35" s="388"/>
      <c r="H35" s="388"/>
      <c r="I35" s="388"/>
      <c r="J35" s="388"/>
      <c r="K35" s="388"/>
      <c r="L35" s="72"/>
      <c r="M35" s="72"/>
      <c r="N35" s="72"/>
      <c r="O35" s="72"/>
      <c r="P35" s="72"/>
      <c r="Q35" s="72"/>
      <c r="R35" s="72"/>
      <c r="S35" s="72"/>
    </row>
    <row r="36" spans="1:19" ht="15.5">
      <c r="A36" s="72"/>
      <c r="B36" s="72"/>
      <c r="C36" s="402"/>
      <c r="D36" s="402"/>
      <c r="E36" s="402"/>
      <c r="F36" s="402"/>
      <c r="G36" s="402"/>
      <c r="H36" s="402"/>
      <c r="I36" s="402"/>
      <c r="J36" s="402"/>
      <c r="K36" s="402"/>
      <c r="L36" s="72">
        <v>12</v>
      </c>
      <c r="M36" s="72">
        <v>12</v>
      </c>
      <c r="N36" s="72">
        <v>12</v>
      </c>
      <c r="O36" s="72">
        <v>12</v>
      </c>
      <c r="P36" s="72">
        <v>12</v>
      </c>
      <c r="Q36" s="72"/>
      <c r="R36" s="72">
        <v>12</v>
      </c>
      <c r="S36" s="72"/>
    </row>
    <row r="37" spans="1:19" ht="15.5">
      <c r="A37" s="72"/>
      <c r="B37" s="72"/>
      <c r="C37" s="388"/>
      <c r="D37" s="388"/>
      <c r="E37" s="388"/>
      <c r="F37" s="388"/>
      <c r="G37" s="388"/>
      <c r="H37" s="388"/>
      <c r="I37" s="388"/>
      <c r="J37" s="388"/>
      <c r="K37" s="388"/>
      <c r="L37" s="72"/>
      <c r="M37" s="72"/>
      <c r="N37" s="72"/>
      <c r="O37" s="72"/>
      <c r="P37" s="72"/>
      <c r="Q37" s="72"/>
      <c r="R37" s="72"/>
      <c r="S37" s="72"/>
    </row>
    <row r="38" spans="1:19" ht="15.5">
      <c r="A38" s="72"/>
      <c r="B38" s="72"/>
      <c r="C38" s="402"/>
      <c r="D38" s="402"/>
      <c r="E38" s="402"/>
      <c r="F38" s="402"/>
      <c r="G38" s="402"/>
      <c r="H38" s="402"/>
      <c r="I38" s="402"/>
      <c r="J38" s="402"/>
      <c r="K38" s="402"/>
      <c r="L38" s="72">
        <v>4</v>
      </c>
      <c r="M38" s="72">
        <v>4</v>
      </c>
      <c r="N38" s="72">
        <v>4</v>
      </c>
      <c r="O38" s="72">
        <v>4</v>
      </c>
      <c r="P38" s="72"/>
      <c r="Q38" s="72"/>
      <c r="R38" s="72"/>
      <c r="S38" s="72"/>
    </row>
    <row r="39" spans="1:19" ht="15.5">
      <c r="A39" s="72"/>
      <c r="B39" s="72"/>
      <c r="C39" s="402"/>
      <c r="D39" s="402"/>
      <c r="E39" s="402"/>
      <c r="F39" s="402"/>
      <c r="G39" s="402"/>
      <c r="H39" s="402"/>
      <c r="I39" s="402"/>
      <c r="J39" s="402"/>
      <c r="K39" s="402"/>
      <c r="L39" s="72"/>
      <c r="M39" s="72"/>
      <c r="N39" s="72"/>
      <c r="O39" s="72"/>
      <c r="P39" s="72"/>
      <c r="Q39" s="72"/>
      <c r="R39" s="72"/>
      <c r="S39" s="72"/>
    </row>
    <row r="40" spans="1:19" ht="15.5">
      <c r="A40" s="72"/>
      <c r="B40" s="72"/>
      <c r="C40" s="388"/>
      <c r="D40" s="388"/>
      <c r="E40" s="388"/>
      <c r="F40" s="388"/>
      <c r="G40" s="388"/>
      <c r="H40" s="388"/>
      <c r="I40" s="388"/>
      <c r="J40" s="388"/>
      <c r="K40" s="388"/>
      <c r="L40" s="72"/>
      <c r="M40" s="72"/>
      <c r="N40" s="72"/>
      <c r="O40" s="72"/>
      <c r="P40" s="72"/>
      <c r="Q40" s="72"/>
      <c r="R40" s="72"/>
      <c r="S40" s="72"/>
    </row>
    <row r="41" spans="1:19" ht="15.5">
      <c r="A41" s="72"/>
      <c r="B41" s="72"/>
      <c r="C41" s="393"/>
      <c r="D41" s="393"/>
      <c r="E41" s="393"/>
      <c r="F41" s="766"/>
      <c r="G41" s="422"/>
      <c r="H41" s="393"/>
      <c r="I41" s="392"/>
      <c r="J41" s="422"/>
      <c r="K41" s="392"/>
      <c r="L41" s="401">
        <v>6</v>
      </c>
      <c r="M41" s="401">
        <v>6</v>
      </c>
      <c r="N41" s="401">
        <v>6</v>
      </c>
      <c r="O41" s="401">
        <v>6</v>
      </c>
      <c r="P41" s="72"/>
      <c r="Q41" s="72"/>
      <c r="R41" s="72"/>
      <c r="S41" s="72"/>
    </row>
    <row r="42" spans="1:19" ht="15.5">
      <c r="A42" s="72"/>
      <c r="B42" s="72"/>
      <c r="C42" s="393"/>
      <c r="D42" s="393"/>
      <c r="E42" s="393"/>
      <c r="F42" s="766"/>
      <c r="G42" s="422"/>
      <c r="H42" s="393"/>
      <c r="I42" s="392"/>
      <c r="J42" s="422"/>
      <c r="K42" s="392"/>
      <c r="L42" s="72">
        <v>6</v>
      </c>
      <c r="M42" s="72">
        <v>6</v>
      </c>
      <c r="N42" s="72">
        <v>6</v>
      </c>
      <c r="O42" s="72">
        <v>6</v>
      </c>
      <c r="P42" s="72"/>
      <c r="Q42" s="72"/>
      <c r="R42" s="72"/>
      <c r="S42" s="72"/>
    </row>
    <row r="43" spans="1:19" ht="15.5">
      <c r="A43" s="72"/>
      <c r="B43" s="402"/>
      <c r="C43" s="402"/>
      <c r="D43" s="402"/>
      <c r="E43" s="402"/>
      <c r="F43" s="402"/>
      <c r="G43" s="402"/>
      <c r="H43" s="402"/>
      <c r="I43" s="402"/>
      <c r="J43" s="402"/>
      <c r="K43" s="402"/>
      <c r="L43" s="72"/>
      <c r="M43" s="72"/>
      <c r="N43" s="72"/>
      <c r="O43" s="72"/>
      <c r="P43" s="72"/>
      <c r="Q43" s="72"/>
      <c r="R43" s="72"/>
      <c r="S43" s="72"/>
    </row>
    <row r="44" spans="1:19" ht="15.5">
      <c r="A44" s="402"/>
      <c r="B44" s="402"/>
      <c r="C44" s="402"/>
      <c r="D44" s="402"/>
      <c r="E44" s="402"/>
      <c r="F44" s="402"/>
      <c r="G44" s="402"/>
      <c r="H44" s="402"/>
      <c r="I44" s="402"/>
      <c r="J44" s="402"/>
      <c r="K44" s="402"/>
      <c r="L44" s="72">
        <v>8</v>
      </c>
      <c r="M44" s="72">
        <v>8</v>
      </c>
      <c r="N44" s="72">
        <v>8</v>
      </c>
      <c r="O44" s="72">
        <v>8</v>
      </c>
      <c r="P44" s="72"/>
      <c r="Q44" s="72"/>
      <c r="R44" s="72"/>
      <c r="S44" s="72"/>
    </row>
    <row r="45" spans="1:19" ht="15.5">
      <c r="A45" s="388"/>
      <c r="B45" s="388"/>
      <c r="C45" s="388"/>
      <c r="D45" s="388"/>
      <c r="E45" s="388"/>
      <c r="F45" s="388"/>
      <c r="G45" s="388"/>
      <c r="H45" s="388"/>
      <c r="I45" s="388"/>
      <c r="J45" s="388"/>
      <c r="K45" s="388"/>
      <c r="L45" s="72"/>
      <c r="M45" s="72"/>
      <c r="N45" s="72"/>
      <c r="O45" s="72"/>
      <c r="P45" s="72"/>
      <c r="Q45" s="72"/>
      <c r="R45" s="72"/>
      <c r="S45" s="72"/>
    </row>
    <row r="46" spans="1:19" ht="15.5">
      <c r="A46" s="402"/>
      <c r="B46" s="402"/>
      <c r="C46" s="402"/>
      <c r="D46" s="402"/>
      <c r="E46" s="402"/>
      <c r="F46" s="402"/>
      <c r="G46" s="402"/>
      <c r="H46" s="402"/>
      <c r="I46" s="402"/>
      <c r="J46" s="402"/>
      <c r="K46" s="402"/>
      <c r="L46" s="72">
        <v>6</v>
      </c>
      <c r="M46" s="72">
        <v>6</v>
      </c>
      <c r="N46" s="72">
        <v>6</v>
      </c>
      <c r="O46" s="72">
        <v>6</v>
      </c>
      <c r="P46" s="72"/>
      <c r="Q46" s="72"/>
      <c r="R46" s="72"/>
      <c r="S46" s="72"/>
    </row>
    <row r="47" spans="1:19" ht="15.5">
      <c r="A47" s="402"/>
      <c r="B47" s="402"/>
      <c r="C47" s="402"/>
      <c r="D47" s="402"/>
      <c r="E47" s="402"/>
      <c r="F47" s="402"/>
      <c r="G47" s="402"/>
      <c r="H47" s="402"/>
      <c r="I47" s="402"/>
      <c r="J47" s="402"/>
      <c r="K47" s="402"/>
      <c r="L47" s="72">
        <v>6</v>
      </c>
      <c r="M47" s="72">
        <v>6</v>
      </c>
      <c r="N47" s="72">
        <v>6</v>
      </c>
      <c r="O47" s="72">
        <v>6</v>
      </c>
      <c r="P47" s="72"/>
      <c r="Q47" s="72"/>
      <c r="R47" s="72"/>
      <c r="S47" s="72"/>
    </row>
    <row r="48" spans="1:19" ht="15.5">
      <c r="A48" s="402"/>
      <c r="B48" s="402"/>
      <c r="C48" s="402"/>
      <c r="D48" s="402"/>
      <c r="E48" s="402"/>
      <c r="F48" s="402"/>
      <c r="G48" s="402"/>
      <c r="H48" s="402"/>
      <c r="I48" s="402"/>
      <c r="J48" s="402"/>
      <c r="K48" s="402"/>
      <c r="L48" s="72"/>
      <c r="M48" s="72"/>
      <c r="N48" s="72"/>
      <c r="O48" s="72"/>
      <c r="P48" s="72"/>
      <c r="Q48" s="72"/>
      <c r="R48" s="72"/>
      <c r="S48" s="72"/>
    </row>
    <row r="49" spans="1:19" ht="15.5">
      <c r="A49" s="402"/>
      <c r="B49" s="402"/>
      <c r="C49" s="402"/>
      <c r="D49" s="402"/>
      <c r="E49" s="402"/>
      <c r="F49" s="402"/>
      <c r="G49" s="402"/>
      <c r="H49" s="402"/>
      <c r="I49" s="402"/>
      <c r="J49" s="402"/>
      <c r="K49" s="402"/>
      <c r="L49" s="72">
        <v>12</v>
      </c>
      <c r="M49" s="72">
        <v>12</v>
      </c>
      <c r="N49" s="72">
        <v>12</v>
      </c>
      <c r="O49" s="72">
        <v>12</v>
      </c>
      <c r="P49" s="72"/>
      <c r="Q49" s="72"/>
      <c r="R49" s="72"/>
      <c r="S49" s="72"/>
    </row>
    <row r="50" spans="1:19" ht="15.5">
      <c r="A50" s="402"/>
      <c r="B50" s="402"/>
      <c r="C50" s="402"/>
      <c r="D50" s="402"/>
      <c r="E50" s="402"/>
      <c r="F50" s="402"/>
      <c r="G50" s="402"/>
      <c r="H50" s="402"/>
      <c r="I50" s="402"/>
      <c r="J50" s="402"/>
      <c r="K50" s="402"/>
      <c r="L50" s="72">
        <v>12</v>
      </c>
      <c r="M50" s="72">
        <v>12</v>
      </c>
      <c r="N50" s="72">
        <v>12</v>
      </c>
      <c r="O50" s="72">
        <v>12</v>
      </c>
      <c r="P50" s="72"/>
      <c r="Q50" s="72"/>
      <c r="R50" s="72"/>
      <c r="S50" s="72"/>
    </row>
    <row r="51" spans="1:19" ht="15.5">
      <c r="A51" s="402"/>
      <c r="B51" s="402"/>
      <c r="C51" s="402"/>
      <c r="D51" s="402"/>
      <c r="E51" s="402"/>
      <c r="F51" s="402"/>
      <c r="G51" s="402"/>
      <c r="H51" s="402"/>
      <c r="I51" s="402"/>
      <c r="J51" s="402"/>
      <c r="K51" s="402"/>
      <c r="L51" s="72">
        <v>12</v>
      </c>
      <c r="M51" s="72">
        <v>12</v>
      </c>
      <c r="N51" s="72">
        <v>12</v>
      </c>
      <c r="O51" s="72">
        <v>12</v>
      </c>
      <c r="P51" s="72"/>
      <c r="Q51" s="72"/>
      <c r="R51" s="72"/>
      <c r="S51" s="72"/>
    </row>
    <row r="52" spans="1:19" ht="15.5">
      <c r="A52" s="402"/>
      <c r="B52" s="402"/>
      <c r="C52" s="402"/>
      <c r="D52" s="402"/>
      <c r="E52" s="402"/>
      <c r="F52" s="402"/>
      <c r="G52" s="402"/>
      <c r="H52" s="402"/>
      <c r="I52" s="402"/>
      <c r="J52" s="402"/>
      <c r="K52" s="402"/>
      <c r="L52" s="72">
        <v>12</v>
      </c>
      <c r="M52" s="72">
        <v>12</v>
      </c>
      <c r="N52" s="72">
        <v>12</v>
      </c>
      <c r="O52" s="72">
        <v>12</v>
      </c>
      <c r="P52" s="72"/>
      <c r="Q52" s="72"/>
      <c r="R52" s="72"/>
      <c r="S52" s="72"/>
    </row>
    <row r="53" spans="1:19" ht="15.5">
      <c r="A53" s="402"/>
      <c r="B53" s="402"/>
      <c r="C53" s="402"/>
      <c r="D53" s="402"/>
      <c r="E53" s="402"/>
      <c r="F53" s="402"/>
      <c r="G53" s="402"/>
      <c r="H53" s="402"/>
      <c r="I53" s="402"/>
      <c r="J53" s="402"/>
      <c r="K53" s="402"/>
      <c r="L53" s="72"/>
      <c r="M53" s="72"/>
      <c r="N53" s="72"/>
      <c r="O53" s="72"/>
      <c r="P53" s="72"/>
      <c r="Q53" s="72"/>
      <c r="R53" s="72"/>
      <c r="S53" s="72"/>
    </row>
    <row r="54" spans="1:19" ht="15.5">
      <c r="A54" s="402"/>
      <c r="B54" s="402"/>
      <c r="C54" s="402"/>
      <c r="D54" s="402"/>
      <c r="E54" s="402"/>
      <c r="F54" s="402"/>
      <c r="G54" s="402"/>
      <c r="H54" s="402"/>
      <c r="I54" s="402"/>
      <c r="J54" s="402"/>
      <c r="K54" s="402"/>
      <c r="L54" s="72">
        <v>8</v>
      </c>
      <c r="M54" s="72">
        <v>8</v>
      </c>
      <c r="N54" s="72">
        <v>8</v>
      </c>
      <c r="O54" s="72">
        <v>8</v>
      </c>
      <c r="P54" s="388"/>
      <c r="Q54" s="388"/>
      <c r="R54" s="388"/>
      <c r="S54" s="388"/>
    </row>
    <row r="55" spans="1:19" ht="15.5">
      <c r="A55" s="402"/>
      <c r="B55" s="402"/>
      <c r="C55" s="402"/>
      <c r="D55" s="402"/>
      <c r="E55" s="402"/>
      <c r="F55" s="402"/>
      <c r="G55" s="402"/>
      <c r="H55" s="402"/>
      <c r="I55" s="402"/>
      <c r="J55" s="402"/>
      <c r="K55" s="402"/>
      <c r="L55" s="72">
        <v>8</v>
      </c>
      <c r="M55" s="72">
        <v>8</v>
      </c>
      <c r="N55" s="72">
        <v>8</v>
      </c>
      <c r="O55" s="72">
        <v>8</v>
      </c>
      <c r="P55" s="400"/>
      <c r="Q55" s="400"/>
      <c r="R55" s="400"/>
      <c r="S55" s="400"/>
    </row>
    <row r="56" spans="1:19" ht="15.5">
      <c r="A56" s="388"/>
      <c r="B56" s="388"/>
      <c r="C56" s="388"/>
      <c r="D56" s="388"/>
      <c r="E56" s="388"/>
      <c r="F56" s="388"/>
      <c r="G56" s="388"/>
      <c r="H56" s="388"/>
      <c r="I56" s="388"/>
      <c r="J56" s="388"/>
      <c r="K56" s="388"/>
      <c r="L56" s="401"/>
      <c r="M56" s="72"/>
      <c r="N56" s="72"/>
      <c r="O56" s="72"/>
      <c r="P56" s="72"/>
      <c r="Q56" s="72"/>
      <c r="R56" s="72"/>
      <c r="S56" s="72"/>
    </row>
    <row r="57" spans="1:19" ht="15.5">
      <c r="A57" s="402"/>
      <c r="B57" s="402"/>
      <c r="C57" s="402"/>
      <c r="D57" s="402"/>
      <c r="E57" s="402"/>
      <c r="F57" s="402"/>
      <c r="G57" s="402"/>
      <c r="H57" s="402"/>
      <c r="I57" s="402"/>
      <c r="J57" s="402"/>
      <c r="K57" s="402"/>
      <c r="L57" s="401">
        <v>12</v>
      </c>
      <c r="M57" s="401">
        <v>12</v>
      </c>
      <c r="N57" s="401">
        <v>12</v>
      </c>
      <c r="O57" s="401">
        <v>12</v>
      </c>
      <c r="P57" s="72"/>
      <c r="Q57" s="72">
        <v>12</v>
      </c>
      <c r="R57" s="72"/>
      <c r="S57" s="72">
        <v>12</v>
      </c>
    </row>
    <row r="58" spans="1:19" ht="15.5">
      <c r="A58" s="402"/>
      <c r="B58" s="402"/>
      <c r="C58" s="402"/>
      <c r="D58" s="402"/>
      <c r="E58" s="402"/>
      <c r="F58" s="402"/>
      <c r="G58" s="402"/>
      <c r="H58" s="402"/>
      <c r="I58" s="402"/>
      <c r="J58" s="402"/>
      <c r="K58" s="402"/>
      <c r="L58" s="401"/>
      <c r="M58" s="72"/>
      <c r="N58" s="72"/>
      <c r="O58" s="72"/>
      <c r="P58" s="72"/>
      <c r="Q58" s="72"/>
      <c r="R58" s="72"/>
      <c r="S58" s="72"/>
    </row>
    <row r="59" spans="1:19" ht="15.5">
      <c r="A59" s="402"/>
      <c r="B59" s="402"/>
      <c r="C59" s="402"/>
      <c r="D59" s="402"/>
      <c r="E59" s="402"/>
      <c r="F59" s="402"/>
      <c r="G59" s="402"/>
      <c r="H59" s="402"/>
      <c r="I59" s="402"/>
      <c r="J59" s="402"/>
      <c r="K59" s="402"/>
      <c r="L59" s="401"/>
      <c r="M59" s="72"/>
      <c r="N59" s="72"/>
      <c r="O59" s="72"/>
      <c r="P59" s="72"/>
      <c r="Q59" s="72"/>
      <c r="R59" s="72"/>
      <c r="S59" s="72"/>
    </row>
    <row r="60" spans="1:19" ht="15.5">
      <c r="A60" s="402"/>
      <c r="B60" s="402"/>
      <c r="C60" s="402"/>
      <c r="D60" s="402"/>
      <c r="E60" s="402"/>
      <c r="F60" s="402"/>
      <c r="G60" s="402"/>
      <c r="H60" s="402"/>
      <c r="I60" s="402"/>
      <c r="J60" s="402"/>
      <c r="K60" s="402"/>
      <c r="L60" s="401"/>
      <c r="M60" s="72"/>
      <c r="N60" s="72"/>
      <c r="O60" s="72"/>
      <c r="P60" s="72"/>
      <c r="Q60" s="72"/>
      <c r="R60" s="72"/>
      <c r="S60" s="72"/>
    </row>
    <row r="61" spans="1:19" ht="15.5">
      <c r="A61" s="402"/>
      <c r="B61" s="402"/>
      <c r="C61" s="402"/>
      <c r="D61" s="402"/>
      <c r="E61" s="402"/>
      <c r="F61" s="402"/>
      <c r="G61" s="402"/>
      <c r="H61" s="402"/>
      <c r="I61" s="402"/>
      <c r="J61" s="402"/>
      <c r="K61" s="402"/>
      <c r="L61" s="401"/>
      <c r="M61" s="72"/>
      <c r="N61" s="72"/>
      <c r="O61" s="72"/>
      <c r="P61" s="72"/>
      <c r="Q61" s="72"/>
      <c r="R61" s="72"/>
      <c r="S61" s="72"/>
    </row>
    <row r="62" spans="1:19" ht="15.5">
      <c r="A62" s="402"/>
      <c r="B62" s="402"/>
      <c r="C62" s="402"/>
      <c r="D62" s="402"/>
      <c r="E62" s="402"/>
      <c r="F62" s="402"/>
      <c r="G62" s="402"/>
      <c r="H62" s="402"/>
      <c r="I62" s="402"/>
      <c r="J62" s="402"/>
      <c r="K62" s="402"/>
      <c r="L62" s="401">
        <v>8</v>
      </c>
      <c r="M62" s="401">
        <v>8</v>
      </c>
      <c r="N62" s="401">
        <v>8</v>
      </c>
      <c r="O62" s="401">
        <v>8</v>
      </c>
      <c r="P62" s="72"/>
      <c r="Q62" s="72"/>
      <c r="R62" s="72"/>
      <c r="S62" s="72"/>
    </row>
    <row r="63" spans="1:19" ht="15.5">
      <c r="A63" s="388"/>
      <c r="B63" s="388"/>
      <c r="C63" s="388"/>
      <c r="D63" s="388"/>
      <c r="E63" s="388"/>
      <c r="F63" s="388"/>
      <c r="G63" s="388"/>
      <c r="H63" s="388"/>
      <c r="I63" s="388"/>
      <c r="J63" s="388"/>
      <c r="K63" s="388"/>
      <c r="L63" s="72"/>
      <c r="M63" s="72"/>
      <c r="N63" s="72"/>
      <c r="O63" s="72"/>
      <c r="P63" s="72"/>
      <c r="Q63" s="72"/>
      <c r="R63" s="72"/>
      <c r="S63" s="72"/>
    </row>
    <row r="64" spans="1:19" ht="15.5">
      <c r="A64" s="402"/>
      <c r="B64" s="402"/>
      <c r="C64" s="402"/>
      <c r="D64" s="402"/>
      <c r="E64" s="402"/>
      <c r="F64" s="402"/>
      <c r="G64" s="402"/>
      <c r="H64" s="402"/>
      <c r="I64" s="402"/>
      <c r="J64" s="402"/>
      <c r="K64" s="402"/>
      <c r="L64" s="72"/>
      <c r="M64" s="72"/>
      <c r="N64" s="72"/>
      <c r="O64" s="72"/>
      <c r="P64" s="72"/>
      <c r="Q64" s="72"/>
      <c r="R64" s="72"/>
      <c r="S64" s="72"/>
    </row>
    <row r="65" spans="1:19" ht="15.5">
      <c r="A65" s="402"/>
      <c r="B65" s="402"/>
      <c r="C65" s="402"/>
      <c r="D65" s="402"/>
      <c r="E65" s="402"/>
      <c r="F65" s="402"/>
      <c r="G65" s="402"/>
      <c r="H65" s="402"/>
      <c r="I65" s="402"/>
      <c r="J65" s="402"/>
      <c r="K65" s="402"/>
      <c r="L65" s="72"/>
      <c r="M65" s="72"/>
      <c r="N65" s="72"/>
      <c r="O65" s="72"/>
      <c r="P65" s="72"/>
      <c r="Q65" s="72"/>
      <c r="R65" s="72"/>
      <c r="S65" s="72"/>
    </row>
    <row r="66" spans="1:19" ht="15.5">
      <c r="A66" s="402"/>
      <c r="B66" s="402"/>
      <c r="C66" s="402"/>
      <c r="D66" s="402"/>
      <c r="E66" s="402"/>
      <c r="F66" s="402"/>
      <c r="G66" s="402"/>
      <c r="H66" s="402"/>
      <c r="I66" s="402"/>
      <c r="J66" s="402"/>
      <c r="K66" s="402"/>
      <c r="L66" s="72">
        <v>8</v>
      </c>
      <c r="M66" s="72">
        <v>8</v>
      </c>
      <c r="N66" s="72">
        <v>8</v>
      </c>
      <c r="O66" s="72">
        <v>8</v>
      </c>
      <c r="P66" s="72"/>
      <c r="Q66" s="72"/>
      <c r="R66" s="72"/>
      <c r="S66" s="72"/>
    </row>
    <row r="67" spans="1:19" ht="15.5">
      <c r="A67" s="388"/>
      <c r="B67" s="388"/>
      <c r="C67" s="388"/>
      <c r="D67" s="388"/>
      <c r="E67" s="388"/>
      <c r="F67" s="388"/>
      <c r="G67" s="388"/>
      <c r="H67" s="388"/>
      <c r="I67" s="388"/>
      <c r="J67" s="388"/>
      <c r="K67" s="388"/>
      <c r="L67" s="72"/>
      <c r="M67" s="72"/>
      <c r="N67" s="72"/>
      <c r="O67" s="72"/>
      <c r="P67" s="72"/>
      <c r="Q67" s="72"/>
      <c r="R67" s="72"/>
      <c r="S67" s="72"/>
    </row>
    <row r="68" spans="1:19" ht="15.5">
      <c r="A68" s="402"/>
      <c r="B68" s="402"/>
      <c r="C68" s="402"/>
      <c r="D68" s="402"/>
      <c r="E68" s="402"/>
      <c r="F68" s="402"/>
      <c r="G68" s="402"/>
      <c r="H68" s="402"/>
      <c r="I68" s="402"/>
      <c r="J68" s="402"/>
      <c r="K68" s="402"/>
      <c r="L68" s="72">
        <v>4</v>
      </c>
      <c r="M68" s="72">
        <v>4</v>
      </c>
      <c r="N68" s="72">
        <v>4</v>
      </c>
      <c r="O68" s="72">
        <v>4</v>
      </c>
      <c r="P68" s="72"/>
      <c r="Q68" s="72"/>
      <c r="R68" s="72"/>
      <c r="S68" s="72"/>
    </row>
    <row r="69" spans="1:19" ht="15.5">
      <c r="A69" s="402"/>
      <c r="B69" s="402"/>
      <c r="C69" s="402"/>
      <c r="D69" s="402"/>
      <c r="E69" s="402"/>
      <c r="F69" s="402"/>
      <c r="G69" s="402"/>
      <c r="H69" s="402"/>
      <c r="I69" s="402"/>
      <c r="J69" s="402"/>
      <c r="K69" s="402"/>
      <c r="L69" s="72">
        <v>4</v>
      </c>
      <c r="M69" s="72">
        <v>4</v>
      </c>
      <c r="N69" s="72">
        <v>4</v>
      </c>
      <c r="O69" s="72">
        <v>4</v>
      </c>
      <c r="P69" s="72"/>
      <c r="Q69" s="72"/>
      <c r="R69" s="72"/>
      <c r="S69" s="72"/>
    </row>
  </sheetData>
  <mergeCells count="4">
    <mergeCell ref="A1:A3"/>
    <mergeCell ref="G1:G3"/>
    <mergeCell ref="H1:H3"/>
    <mergeCell ref="I1:I3"/>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92D050"/>
  </sheetPr>
  <dimension ref="A1:N22"/>
  <sheetViews>
    <sheetView topLeftCell="C1" workbookViewId="0">
      <selection activeCell="L1" sqref="L1:N6"/>
    </sheetView>
  </sheetViews>
  <sheetFormatPr defaultRowHeight="12.5"/>
  <cols>
    <col min="1" max="1" width="15.453125" customWidth="1"/>
    <col min="2" max="2" width="25" customWidth="1"/>
    <col min="3" max="3" width="14.08984375" customWidth="1"/>
    <col min="4" max="4" width="24.36328125" customWidth="1"/>
    <col min="6" max="6" width="7" bestFit="1" customWidth="1"/>
    <col min="7" max="7" width="15.90625" customWidth="1"/>
    <col min="8" max="8" width="14.54296875" customWidth="1"/>
    <col min="9" max="9" width="14.90625" customWidth="1"/>
    <col min="12" max="12" width="20.08984375" customWidth="1"/>
    <col min="13" max="13" width="22.36328125" customWidth="1"/>
    <col min="14" max="14" width="26.08984375" customWidth="1"/>
    <col min="17" max="17" width="9.08984375" customWidth="1"/>
  </cols>
  <sheetData>
    <row r="1" spans="1:14" ht="34.5">
      <c r="A1" s="495" t="s">
        <v>850</v>
      </c>
      <c r="B1" s="496" t="s">
        <v>851</v>
      </c>
      <c r="C1" s="496" t="s">
        <v>852</v>
      </c>
      <c r="D1" s="496" t="s">
        <v>853</v>
      </c>
      <c r="F1" s="504" t="s">
        <v>850</v>
      </c>
      <c r="G1" s="504" t="s">
        <v>870</v>
      </c>
      <c r="H1" s="505" t="s">
        <v>871</v>
      </c>
      <c r="I1" s="504" t="s">
        <v>872</v>
      </c>
      <c r="L1" s="507" t="s">
        <v>876</v>
      </c>
      <c r="M1" s="507" t="s">
        <v>851</v>
      </c>
      <c r="N1" s="507" t="s">
        <v>877</v>
      </c>
    </row>
    <row r="2" spans="1:14" ht="23">
      <c r="A2" s="497" t="s">
        <v>68</v>
      </c>
      <c r="B2" s="497" t="s">
        <v>854</v>
      </c>
      <c r="C2" s="498" t="s">
        <v>855</v>
      </c>
      <c r="D2" s="497" t="s">
        <v>856</v>
      </c>
      <c r="F2" s="502" t="s">
        <v>29</v>
      </c>
      <c r="G2" s="506">
        <v>106</v>
      </c>
      <c r="H2" s="506">
        <v>1</v>
      </c>
      <c r="I2" s="503" t="s">
        <v>858</v>
      </c>
      <c r="L2" s="508" t="s">
        <v>878</v>
      </c>
      <c r="M2" s="510" t="s">
        <v>564</v>
      </c>
      <c r="N2" s="508" t="s">
        <v>879</v>
      </c>
    </row>
    <row r="3" spans="1:14" ht="23">
      <c r="A3" s="497" t="s">
        <v>857</v>
      </c>
      <c r="B3" s="497" t="s">
        <v>854</v>
      </c>
      <c r="C3" s="498" t="s">
        <v>858</v>
      </c>
      <c r="D3" s="497" t="s">
        <v>856</v>
      </c>
      <c r="F3" s="502" t="s">
        <v>744</v>
      </c>
      <c r="G3" s="506">
        <v>103</v>
      </c>
      <c r="H3" s="506">
        <v>1</v>
      </c>
      <c r="I3" s="503" t="s">
        <v>858</v>
      </c>
      <c r="L3" s="511" t="s">
        <v>857</v>
      </c>
      <c r="M3" s="511" t="s">
        <v>854</v>
      </c>
      <c r="N3" s="508" t="s">
        <v>879</v>
      </c>
    </row>
    <row r="4" spans="1:14" ht="30.75" customHeight="1">
      <c r="A4" s="497" t="s">
        <v>206</v>
      </c>
      <c r="B4" s="497" t="s">
        <v>859</v>
      </c>
      <c r="C4" s="498" t="s">
        <v>855</v>
      </c>
      <c r="D4" s="497" t="s">
        <v>856</v>
      </c>
      <c r="F4" s="502" t="s">
        <v>30</v>
      </c>
      <c r="G4" s="506">
        <v>102</v>
      </c>
      <c r="H4" s="506">
        <v>1</v>
      </c>
      <c r="I4" s="503" t="s">
        <v>858</v>
      </c>
      <c r="L4" s="508" t="s">
        <v>206</v>
      </c>
      <c r="M4" s="512" t="s">
        <v>859</v>
      </c>
      <c r="N4" s="508" t="s">
        <v>882</v>
      </c>
    </row>
    <row r="5" spans="1:14" ht="30.75" customHeight="1">
      <c r="A5" s="497" t="s">
        <v>860</v>
      </c>
      <c r="B5" s="497" t="s">
        <v>861</v>
      </c>
      <c r="C5" s="498" t="s">
        <v>858</v>
      </c>
      <c r="D5" s="497" t="s">
        <v>862</v>
      </c>
      <c r="F5" s="502" t="s">
        <v>873</v>
      </c>
      <c r="G5" s="506">
        <v>98</v>
      </c>
      <c r="H5" s="506">
        <v>1</v>
      </c>
      <c r="I5" s="503" t="s">
        <v>858</v>
      </c>
      <c r="L5" s="508" t="s">
        <v>880</v>
      </c>
      <c r="M5" s="510" t="s">
        <v>563</v>
      </c>
      <c r="N5" s="508" t="s">
        <v>879</v>
      </c>
    </row>
    <row r="6" spans="1:14" ht="30.75" customHeight="1">
      <c r="A6" s="497" t="s">
        <v>451</v>
      </c>
      <c r="B6" s="497" t="s">
        <v>565</v>
      </c>
      <c r="C6" s="498" t="s">
        <v>858</v>
      </c>
      <c r="D6" s="501" t="s">
        <v>863</v>
      </c>
      <c r="F6" s="502" t="s">
        <v>874</v>
      </c>
      <c r="G6" s="506">
        <v>93</v>
      </c>
      <c r="H6" s="506">
        <v>1</v>
      </c>
      <c r="I6" s="503" t="s">
        <v>858</v>
      </c>
      <c r="L6" s="508" t="s">
        <v>623</v>
      </c>
      <c r="M6" s="513" t="s">
        <v>565</v>
      </c>
      <c r="N6" s="508" t="s">
        <v>881</v>
      </c>
    </row>
    <row r="7" spans="1:14" ht="23">
      <c r="A7" s="497" t="s">
        <v>864</v>
      </c>
      <c r="B7" s="497" t="s">
        <v>865</v>
      </c>
      <c r="C7" s="500" t="s">
        <v>858</v>
      </c>
      <c r="D7" s="502" t="s">
        <v>866</v>
      </c>
      <c r="F7" t="s">
        <v>875</v>
      </c>
      <c r="L7" s="511" t="s">
        <v>864</v>
      </c>
      <c r="M7" s="511" t="s">
        <v>865</v>
      </c>
      <c r="N7" s="509" t="s">
        <v>883</v>
      </c>
    </row>
    <row r="8" spans="1:14" ht="14">
      <c r="A8" s="497" t="s">
        <v>867</v>
      </c>
      <c r="B8" s="497" t="s">
        <v>868</v>
      </c>
      <c r="C8" s="500" t="s">
        <v>858</v>
      </c>
      <c r="D8" s="502" t="s">
        <v>869</v>
      </c>
      <c r="L8" s="511" t="s">
        <v>885</v>
      </c>
      <c r="M8" s="511" t="s">
        <v>868</v>
      </c>
      <c r="N8" s="508" t="s">
        <v>884</v>
      </c>
    </row>
    <row r="12" spans="1:14">
      <c r="A12" s="499" t="s">
        <v>849</v>
      </c>
    </row>
    <row r="14" spans="1:14" ht="14">
      <c r="L14" s="507" t="s">
        <v>876</v>
      </c>
      <c r="M14" s="507" t="s">
        <v>851</v>
      </c>
      <c r="N14" s="507" t="s">
        <v>877</v>
      </c>
    </row>
    <row r="15" spans="1:14" ht="14">
      <c r="L15" s="508" t="s">
        <v>878</v>
      </c>
      <c r="M15" s="510" t="s">
        <v>564</v>
      </c>
      <c r="N15" s="508" t="s">
        <v>879</v>
      </c>
    </row>
    <row r="16" spans="1:14" ht="23">
      <c r="A16" s="495" t="s">
        <v>887</v>
      </c>
      <c r="B16" s="495" t="s">
        <v>858</v>
      </c>
      <c r="C16" s="495" t="s">
        <v>855</v>
      </c>
      <c r="D16" s="496" t="s">
        <v>888</v>
      </c>
      <c r="L16" s="511" t="s">
        <v>857</v>
      </c>
      <c r="M16" s="511" t="s">
        <v>854</v>
      </c>
      <c r="N16" s="508" t="s">
        <v>879</v>
      </c>
    </row>
    <row r="17" spans="1:14" ht="23">
      <c r="A17" s="497" t="s">
        <v>889</v>
      </c>
      <c r="B17" s="498"/>
      <c r="C17" s="514"/>
      <c r="D17" s="514"/>
      <c r="L17" s="508" t="s">
        <v>206</v>
      </c>
      <c r="M17" s="512" t="s">
        <v>859</v>
      </c>
      <c r="N17" s="508" t="s">
        <v>882</v>
      </c>
    </row>
    <row r="18" spans="1:14" ht="23">
      <c r="A18" s="497" t="s">
        <v>890</v>
      </c>
      <c r="B18" s="498"/>
      <c r="C18" s="514"/>
      <c r="D18" s="514"/>
      <c r="L18" s="508" t="s">
        <v>880</v>
      </c>
      <c r="M18" s="510" t="s">
        <v>563</v>
      </c>
      <c r="N18" s="508" t="s">
        <v>879</v>
      </c>
    </row>
    <row r="19" spans="1:14" ht="23">
      <c r="A19" s="497" t="s">
        <v>891</v>
      </c>
      <c r="B19" s="498"/>
      <c r="C19" s="514"/>
      <c r="D19" s="514"/>
      <c r="L19" s="508" t="s">
        <v>623</v>
      </c>
      <c r="M19" s="513" t="s">
        <v>565</v>
      </c>
      <c r="N19" s="508" t="s">
        <v>881</v>
      </c>
    </row>
    <row r="20" spans="1:14" ht="34.5">
      <c r="A20" s="497" t="s">
        <v>892</v>
      </c>
      <c r="B20" s="498"/>
      <c r="C20" s="514"/>
      <c r="D20" s="514"/>
      <c r="L20" s="511" t="s">
        <v>864</v>
      </c>
      <c r="M20" s="511" t="s">
        <v>865</v>
      </c>
      <c r="N20" s="509" t="s">
        <v>883</v>
      </c>
    </row>
    <row r="21" spans="1:14" ht="34.5">
      <c r="A21" s="497" t="s">
        <v>893</v>
      </c>
      <c r="B21" s="498"/>
      <c r="C21" s="514"/>
      <c r="D21" s="514"/>
      <c r="L21" s="511" t="s">
        <v>885</v>
      </c>
      <c r="M21" s="511" t="s">
        <v>868</v>
      </c>
      <c r="N21" s="508" t="s">
        <v>884</v>
      </c>
    </row>
    <row r="22" spans="1:14" ht="46">
      <c r="A22" s="497" t="s">
        <v>886</v>
      </c>
      <c r="B22" s="498"/>
      <c r="C22" s="514"/>
      <c r="D22" s="514"/>
    </row>
  </sheetData>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92D050"/>
  </sheetPr>
  <dimension ref="A2:U113"/>
  <sheetViews>
    <sheetView workbookViewId="0">
      <selection activeCell="A61" sqref="A61:J113"/>
    </sheetView>
  </sheetViews>
  <sheetFormatPr defaultRowHeight="12.5"/>
  <cols>
    <col min="1" max="1" width="7.36328125" customWidth="1"/>
    <col min="2" max="2" width="7.453125" customWidth="1"/>
    <col min="3" max="3" width="7.90625" customWidth="1"/>
    <col min="4" max="4" width="7" customWidth="1"/>
    <col min="7" max="7" width="7.36328125" customWidth="1"/>
    <col min="10" max="10" width="7.36328125" customWidth="1"/>
    <col min="14" max="14" width="49.36328125" bestFit="1" customWidth="1"/>
    <col min="15" max="15" width="11.6328125" bestFit="1" customWidth="1"/>
    <col min="16" max="16" width="9.36328125" bestFit="1" customWidth="1"/>
    <col min="17" max="17" width="9.54296875" bestFit="1" customWidth="1"/>
    <col min="18" max="18" width="12" bestFit="1" customWidth="1"/>
    <col min="19" max="19" width="10.6328125" bestFit="1" customWidth="1"/>
    <col min="20" max="20" width="10.453125" bestFit="1" customWidth="1"/>
    <col min="21" max="21" width="10.54296875" bestFit="1" customWidth="1"/>
  </cols>
  <sheetData>
    <row r="2" spans="1:21" ht="15.5">
      <c r="A2" s="235" t="s">
        <v>417</v>
      </c>
      <c r="B2" s="235" t="s">
        <v>418</v>
      </c>
      <c r="C2" s="235"/>
      <c r="D2" s="235"/>
      <c r="E2" s="235"/>
      <c r="F2" s="235"/>
      <c r="G2" s="235"/>
      <c r="H2" s="17"/>
      <c r="I2" s="17"/>
      <c r="J2" s="17"/>
      <c r="K2" s="17"/>
      <c r="N2" s="72"/>
      <c r="O2" s="573">
        <v>41359</v>
      </c>
      <c r="P2" s="554">
        <v>41443</v>
      </c>
      <c r="Q2" s="573">
        <v>41480</v>
      </c>
      <c r="R2" s="573">
        <v>41512</v>
      </c>
      <c r="S2" s="573">
        <v>41543</v>
      </c>
      <c r="T2" s="573">
        <v>41570</v>
      </c>
      <c r="U2" s="573">
        <v>41603</v>
      </c>
    </row>
    <row r="3" spans="1:21" ht="15.5">
      <c r="A3" s="235" t="s">
        <v>419</v>
      </c>
      <c r="B3" s="235" t="s">
        <v>420</v>
      </c>
      <c r="C3" s="235"/>
      <c r="D3" s="235"/>
      <c r="E3" s="235"/>
      <c r="F3" s="235"/>
      <c r="G3" s="235"/>
      <c r="H3" s="17"/>
      <c r="I3" s="17"/>
      <c r="J3" s="17"/>
      <c r="K3" s="17"/>
      <c r="N3" s="72"/>
      <c r="O3" s="574" t="s">
        <v>924</v>
      </c>
      <c r="P3" s="574" t="s">
        <v>924</v>
      </c>
      <c r="Q3" s="574" t="s">
        <v>924</v>
      </c>
      <c r="R3" s="575"/>
      <c r="S3" s="575"/>
      <c r="T3" s="575"/>
      <c r="U3" s="576"/>
    </row>
    <row r="4" spans="1:21" ht="15.5">
      <c r="A4" s="235" t="s">
        <v>6</v>
      </c>
      <c r="B4" s="235" t="s">
        <v>420</v>
      </c>
      <c r="C4" s="235"/>
      <c r="D4" s="235"/>
      <c r="E4" s="235"/>
      <c r="F4" s="235"/>
      <c r="G4" s="235"/>
      <c r="H4" s="17"/>
      <c r="I4" s="17"/>
      <c r="J4" s="17"/>
      <c r="K4" s="17"/>
      <c r="N4" s="631" t="s">
        <v>587</v>
      </c>
      <c r="O4" s="273"/>
      <c r="P4" s="226" t="s">
        <v>538</v>
      </c>
      <c r="Q4" s="226" t="s">
        <v>538</v>
      </c>
      <c r="R4" s="226" t="s">
        <v>538</v>
      </c>
      <c r="S4" s="226" t="s">
        <v>538</v>
      </c>
      <c r="T4" s="226" t="s">
        <v>538</v>
      </c>
      <c r="U4" s="226"/>
    </row>
    <row r="5" spans="1:21" ht="15.5">
      <c r="A5" s="235" t="s">
        <v>150</v>
      </c>
      <c r="B5" s="1448">
        <v>41603</v>
      </c>
      <c r="C5" s="1448"/>
      <c r="D5" s="235"/>
      <c r="E5" s="235"/>
      <c r="F5" s="235"/>
      <c r="G5" s="235"/>
      <c r="H5" s="17"/>
      <c r="I5" s="17"/>
      <c r="J5" s="17"/>
      <c r="K5" s="17"/>
      <c r="N5" s="631" t="s">
        <v>1022</v>
      </c>
      <c r="O5" s="273"/>
      <c r="P5" s="226" t="s">
        <v>256</v>
      </c>
      <c r="Q5" s="226" t="s">
        <v>256</v>
      </c>
      <c r="R5" s="226" t="s">
        <v>256</v>
      </c>
      <c r="S5" s="226" t="s">
        <v>256</v>
      </c>
      <c r="T5" s="226" t="s">
        <v>256</v>
      </c>
      <c r="U5" s="226"/>
    </row>
    <row r="6" spans="1:21" ht="15.5">
      <c r="A6" s="1355" t="s">
        <v>425</v>
      </c>
      <c r="B6" s="1356"/>
      <c r="C6" s="1357"/>
      <c r="D6" s="1360" t="s">
        <v>428</v>
      </c>
      <c r="E6" s="1360"/>
      <c r="F6" s="1360"/>
      <c r="G6" s="1355" t="s">
        <v>980</v>
      </c>
      <c r="H6" s="1356"/>
      <c r="I6" s="1357"/>
      <c r="J6" s="1445" t="s">
        <v>518</v>
      </c>
      <c r="K6" s="1446"/>
      <c r="L6" s="1447"/>
      <c r="M6" s="698"/>
      <c r="N6" s="631" t="s">
        <v>589</v>
      </c>
      <c r="O6" s="273"/>
      <c r="P6" s="226" t="s">
        <v>520</v>
      </c>
      <c r="Q6" s="226" t="s">
        <v>520</v>
      </c>
      <c r="R6" s="226" t="s">
        <v>520</v>
      </c>
      <c r="S6" s="226" t="s">
        <v>520</v>
      </c>
      <c r="T6" s="226" t="s">
        <v>520</v>
      </c>
      <c r="U6" s="226" t="s">
        <v>520</v>
      </c>
    </row>
    <row r="7" spans="1:21" ht="15.5">
      <c r="A7" s="256" t="s">
        <v>152</v>
      </c>
      <c r="B7" s="256"/>
      <c r="C7" s="256"/>
      <c r="D7" s="256" t="s">
        <v>152</v>
      </c>
      <c r="E7" s="256"/>
      <c r="F7" s="256"/>
      <c r="G7" s="256" t="s">
        <v>152</v>
      </c>
      <c r="H7" s="256"/>
      <c r="I7" s="287"/>
      <c r="J7" s="291" t="s">
        <v>152</v>
      </c>
      <c r="K7" s="291"/>
      <c r="L7" s="759">
        <v>9101</v>
      </c>
      <c r="M7" s="577"/>
      <c r="N7" s="631" t="s">
        <v>263</v>
      </c>
      <c r="O7" s="273"/>
      <c r="P7" s="226" t="s">
        <v>1021</v>
      </c>
      <c r="Q7" s="226" t="s">
        <v>1021</v>
      </c>
      <c r="R7" s="226" t="s">
        <v>262</v>
      </c>
      <c r="S7" s="226" t="s">
        <v>262</v>
      </c>
      <c r="T7" s="226" t="s">
        <v>262</v>
      </c>
      <c r="U7" s="226" t="s">
        <v>262</v>
      </c>
    </row>
    <row r="8" spans="1:21" ht="15.5">
      <c r="A8" s="256" t="s">
        <v>415</v>
      </c>
      <c r="B8" s="256"/>
      <c r="C8" s="256"/>
      <c r="D8" s="256" t="s">
        <v>415</v>
      </c>
      <c r="E8" s="256"/>
      <c r="F8" s="256"/>
      <c r="G8" s="256" t="s">
        <v>415</v>
      </c>
      <c r="H8" s="256"/>
      <c r="I8" s="256"/>
      <c r="J8" s="291" t="s">
        <v>415</v>
      </c>
      <c r="K8" s="291"/>
      <c r="L8" s="291"/>
      <c r="M8" s="699"/>
      <c r="N8" s="634" t="s">
        <v>403</v>
      </c>
      <c r="O8" s="226" t="s">
        <v>595</v>
      </c>
      <c r="P8" s="226" t="s">
        <v>595</v>
      </c>
      <c r="Q8" s="226" t="s">
        <v>595</v>
      </c>
      <c r="R8" s="226" t="s">
        <v>595</v>
      </c>
      <c r="S8" s="226" t="s">
        <v>595</v>
      </c>
      <c r="T8" s="226" t="s">
        <v>595</v>
      </c>
      <c r="U8" s="226"/>
    </row>
    <row r="9" spans="1:21" ht="14.25" customHeight="1">
      <c r="A9" s="256"/>
      <c r="B9" s="289" t="s">
        <v>170</v>
      </c>
      <c r="C9" s="290" t="s">
        <v>411</v>
      </c>
      <c r="D9" s="256"/>
      <c r="E9" s="289" t="s">
        <v>170</v>
      </c>
      <c r="F9" s="290" t="s">
        <v>411</v>
      </c>
      <c r="G9" s="255"/>
      <c r="H9" s="289" t="s">
        <v>170</v>
      </c>
      <c r="I9" s="290" t="s">
        <v>411</v>
      </c>
      <c r="J9" s="291"/>
      <c r="K9" s="251" t="s">
        <v>170</v>
      </c>
      <c r="L9" s="760" t="s">
        <v>411</v>
      </c>
      <c r="M9" s="290"/>
      <c r="N9" s="631" t="s">
        <v>615</v>
      </c>
      <c r="O9" s="273"/>
      <c r="P9" s="226" t="s">
        <v>258</v>
      </c>
      <c r="Q9" s="226" t="s">
        <v>258</v>
      </c>
      <c r="R9" s="226" t="s">
        <v>258</v>
      </c>
      <c r="S9" s="226" t="s">
        <v>258</v>
      </c>
      <c r="T9" s="226" t="s">
        <v>258</v>
      </c>
      <c r="U9" s="226" t="s">
        <v>258</v>
      </c>
    </row>
    <row r="10" spans="1:21" ht="15.5">
      <c r="A10" s="559">
        <v>2</v>
      </c>
      <c r="B10" s="559"/>
      <c r="C10" s="559"/>
      <c r="D10" s="559">
        <v>2</v>
      </c>
      <c r="E10" s="559"/>
      <c r="F10" s="559"/>
      <c r="G10" s="559">
        <v>2</v>
      </c>
      <c r="H10" s="563"/>
      <c r="I10" s="563"/>
      <c r="J10" s="755">
        <v>2</v>
      </c>
      <c r="K10" s="758"/>
      <c r="L10" s="758"/>
      <c r="M10" s="563"/>
      <c r="N10" s="631" t="s">
        <v>616</v>
      </c>
      <c r="O10" s="273"/>
      <c r="P10" s="226" t="s">
        <v>257</v>
      </c>
      <c r="Q10" s="226" t="s">
        <v>257</v>
      </c>
      <c r="R10" s="226" t="s">
        <v>257</v>
      </c>
      <c r="S10" s="226" t="s">
        <v>257</v>
      </c>
      <c r="T10" s="226" t="s">
        <v>257</v>
      </c>
      <c r="U10" s="226" t="s">
        <v>257</v>
      </c>
    </row>
    <row r="11" spans="1:21" ht="15.5">
      <c r="A11" s="559">
        <v>4</v>
      </c>
      <c r="B11" s="559"/>
      <c r="C11" s="559"/>
      <c r="D11" s="559">
        <v>4</v>
      </c>
      <c r="E11" s="559"/>
      <c r="F11" s="559"/>
      <c r="G11" s="559">
        <v>4</v>
      </c>
      <c r="H11" s="559"/>
      <c r="I11" s="559"/>
      <c r="J11" s="755">
        <v>4</v>
      </c>
      <c r="K11" s="755"/>
      <c r="L11" s="755"/>
      <c r="M11" s="559"/>
      <c r="N11" s="631" t="s">
        <v>600</v>
      </c>
      <c r="O11" s="226" t="s">
        <v>186</v>
      </c>
      <c r="P11" s="226" t="s">
        <v>186</v>
      </c>
      <c r="Q11" s="226" t="s">
        <v>186</v>
      </c>
      <c r="R11" s="226" t="s">
        <v>186</v>
      </c>
      <c r="S11" s="226" t="s">
        <v>186</v>
      </c>
      <c r="T11" s="226" t="s">
        <v>186</v>
      </c>
      <c r="U11" s="226" t="s">
        <v>186</v>
      </c>
    </row>
    <row r="12" spans="1:21" ht="15.5">
      <c r="A12" s="559">
        <v>6</v>
      </c>
      <c r="B12" s="559"/>
      <c r="C12" s="559"/>
      <c r="D12" s="559">
        <v>6</v>
      </c>
      <c r="E12" s="559"/>
      <c r="F12" s="559"/>
      <c r="G12" s="559">
        <v>6</v>
      </c>
      <c r="H12" s="559"/>
      <c r="I12" s="559"/>
      <c r="J12" s="755">
        <v>6</v>
      </c>
      <c r="K12" s="755"/>
      <c r="L12" s="755"/>
      <c r="M12" s="559"/>
      <c r="N12" s="631" t="s">
        <v>266</v>
      </c>
      <c r="O12" s="226" t="s">
        <v>249</v>
      </c>
      <c r="P12" s="226" t="s">
        <v>249</v>
      </c>
      <c r="Q12" s="226" t="s">
        <v>249</v>
      </c>
      <c r="R12" s="226" t="s">
        <v>249</v>
      </c>
      <c r="S12" s="226" t="s">
        <v>249</v>
      </c>
      <c r="T12" s="226" t="s">
        <v>249</v>
      </c>
      <c r="U12" s="226" t="s">
        <v>249</v>
      </c>
    </row>
    <row r="13" spans="1:21" ht="15.5">
      <c r="A13" s="559">
        <v>8</v>
      </c>
      <c r="B13" s="559"/>
      <c r="C13" s="559"/>
      <c r="D13" s="559">
        <v>8</v>
      </c>
      <c r="E13" s="559"/>
      <c r="F13" s="559"/>
      <c r="G13" s="559">
        <v>8</v>
      </c>
      <c r="H13" s="559"/>
      <c r="I13" s="559"/>
      <c r="J13" s="755">
        <v>8</v>
      </c>
      <c r="K13" s="755"/>
      <c r="L13" s="755"/>
      <c r="M13" s="559"/>
      <c r="N13" s="631" t="s">
        <v>267</v>
      </c>
      <c r="O13" s="226" t="s">
        <v>250</v>
      </c>
      <c r="P13" s="226" t="s">
        <v>250</v>
      </c>
      <c r="Q13" s="226" t="s">
        <v>250</v>
      </c>
      <c r="R13" s="226" t="s">
        <v>250</v>
      </c>
      <c r="S13" s="226" t="s">
        <v>250</v>
      </c>
      <c r="T13" s="226" t="s">
        <v>250</v>
      </c>
      <c r="U13" s="226" t="s">
        <v>250</v>
      </c>
    </row>
    <row r="14" spans="1:21" ht="15.5">
      <c r="A14" s="559">
        <v>10</v>
      </c>
      <c r="B14" s="559"/>
      <c r="C14" s="559"/>
      <c r="D14" s="559">
        <v>10</v>
      </c>
      <c r="E14" s="559"/>
      <c r="F14" s="559"/>
      <c r="G14" s="1364" t="s">
        <v>982</v>
      </c>
      <c r="H14" s="1365"/>
      <c r="I14" s="1366"/>
      <c r="J14" s="755">
        <v>10</v>
      </c>
      <c r="K14" s="758"/>
      <c r="L14" s="758"/>
      <c r="M14" s="563"/>
      <c r="N14" s="631" t="s">
        <v>268</v>
      </c>
      <c r="O14" s="226" t="s">
        <v>251</v>
      </c>
      <c r="P14" s="226" t="s">
        <v>251</v>
      </c>
      <c r="Q14" s="226" t="s">
        <v>251</v>
      </c>
      <c r="R14" s="226" t="s">
        <v>251</v>
      </c>
      <c r="S14" s="226" t="s">
        <v>251</v>
      </c>
      <c r="T14" s="226" t="s">
        <v>251</v>
      </c>
      <c r="U14" s="226" t="s">
        <v>251</v>
      </c>
    </row>
    <row r="15" spans="1:21" ht="15.5">
      <c r="A15" s="559">
        <v>12</v>
      </c>
      <c r="B15" s="559"/>
      <c r="C15" s="559"/>
      <c r="D15" s="559">
        <v>12</v>
      </c>
      <c r="E15" s="559"/>
      <c r="F15" s="559"/>
      <c r="G15" s="559" t="s">
        <v>152</v>
      </c>
      <c r="H15" s="559"/>
      <c r="I15" s="559"/>
      <c r="J15" s="755">
        <v>12</v>
      </c>
      <c r="K15" s="758"/>
      <c r="L15" s="758"/>
      <c r="M15" s="563"/>
      <c r="N15" s="631" t="s">
        <v>601</v>
      </c>
      <c r="O15" s="226" t="s">
        <v>252</v>
      </c>
      <c r="P15" s="226" t="s">
        <v>252</v>
      </c>
      <c r="Q15" s="226" t="s">
        <v>252</v>
      </c>
      <c r="R15" s="226" t="s">
        <v>252</v>
      </c>
      <c r="S15" s="226" t="s">
        <v>252</v>
      </c>
      <c r="T15" s="226" t="s">
        <v>252</v>
      </c>
      <c r="U15" s="226" t="s">
        <v>252</v>
      </c>
    </row>
    <row r="16" spans="1:21" ht="15.5">
      <c r="A16" s="559">
        <v>14</v>
      </c>
      <c r="B16" s="559"/>
      <c r="C16" s="559"/>
      <c r="D16" s="559">
        <v>14</v>
      </c>
      <c r="E16" s="559"/>
      <c r="F16" s="559"/>
      <c r="G16" s="559" t="s">
        <v>415</v>
      </c>
      <c r="H16" s="559"/>
      <c r="I16" s="559"/>
      <c r="J16" s="755">
        <v>14</v>
      </c>
      <c r="K16" s="758"/>
      <c r="L16" s="758"/>
      <c r="M16" s="563"/>
      <c r="N16" s="631" t="s">
        <v>602</v>
      </c>
      <c r="O16" s="226" t="s">
        <v>253</v>
      </c>
      <c r="P16" s="226" t="s">
        <v>253</v>
      </c>
      <c r="Q16" s="226" t="s">
        <v>253</v>
      </c>
      <c r="R16" s="226" t="s">
        <v>253</v>
      </c>
      <c r="S16" s="226" t="s">
        <v>253</v>
      </c>
      <c r="T16" s="226" t="s">
        <v>253</v>
      </c>
      <c r="U16" s="226" t="s">
        <v>253</v>
      </c>
    </row>
    <row r="17" spans="1:21" ht="15.5">
      <c r="A17" s="559">
        <v>16</v>
      </c>
      <c r="B17" s="559"/>
      <c r="C17" s="559"/>
      <c r="D17" s="559">
        <v>16</v>
      </c>
      <c r="E17" s="559"/>
      <c r="F17" s="559"/>
      <c r="G17" s="564"/>
      <c r="H17" s="560" t="s">
        <v>170</v>
      </c>
      <c r="I17" s="561" t="s">
        <v>411</v>
      </c>
      <c r="J17" s="755">
        <v>16</v>
      </c>
      <c r="K17" s="137"/>
      <c r="L17" s="137"/>
      <c r="M17" s="53"/>
      <c r="N17" s="631" t="s">
        <v>685</v>
      </c>
      <c r="O17" s="226" t="s">
        <v>684</v>
      </c>
      <c r="P17" s="226" t="s">
        <v>684</v>
      </c>
      <c r="Q17" s="226" t="s">
        <v>684</v>
      </c>
      <c r="R17" s="226" t="s">
        <v>684</v>
      </c>
      <c r="S17" s="226" t="s">
        <v>684</v>
      </c>
      <c r="T17" s="226" t="s">
        <v>684</v>
      </c>
      <c r="U17" s="226" t="s">
        <v>684</v>
      </c>
    </row>
    <row r="18" spans="1:21" ht="15.5">
      <c r="A18" s="559">
        <v>18</v>
      </c>
      <c r="B18" s="559"/>
      <c r="C18" s="559"/>
      <c r="D18" s="559">
        <v>18</v>
      </c>
      <c r="E18" s="559"/>
      <c r="F18" s="559"/>
      <c r="G18" s="559">
        <v>2</v>
      </c>
      <c r="H18" s="563"/>
      <c r="I18" s="563"/>
      <c r="J18" s="755">
        <v>18</v>
      </c>
      <c r="K18" s="137"/>
      <c r="L18" s="137"/>
      <c r="M18" s="53"/>
      <c r="N18" s="631" t="s">
        <v>682</v>
      </c>
      <c r="O18" s="226" t="s">
        <v>680</v>
      </c>
      <c r="P18" s="226" t="s">
        <v>680</v>
      </c>
      <c r="Q18" s="226" t="s">
        <v>680</v>
      </c>
      <c r="R18" s="226" t="s">
        <v>680</v>
      </c>
      <c r="S18" s="226" t="s">
        <v>680</v>
      </c>
      <c r="T18" s="226" t="s">
        <v>680</v>
      </c>
      <c r="U18" s="226" t="s">
        <v>680</v>
      </c>
    </row>
    <row r="19" spans="1:21" ht="15.5">
      <c r="A19" s="559">
        <v>20</v>
      </c>
      <c r="B19" s="559"/>
      <c r="C19" s="559"/>
      <c r="D19" s="559">
        <v>20</v>
      </c>
      <c r="E19" s="559"/>
      <c r="F19" s="559"/>
      <c r="G19" s="559">
        <v>4</v>
      </c>
      <c r="H19" s="559"/>
      <c r="I19" s="559"/>
      <c r="J19" s="755">
        <v>20</v>
      </c>
      <c r="K19" s="137"/>
      <c r="L19" s="137"/>
      <c r="M19" s="53"/>
      <c r="N19" s="398" t="s">
        <v>683</v>
      </c>
      <c r="O19" s="327" t="s">
        <v>681</v>
      </c>
      <c r="P19" s="327" t="s">
        <v>681</v>
      </c>
      <c r="Q19" s="327" t="s">
        <v>681</v>
      </c>
      <c r="R19" s="327" t="s">
        <v>681</v>
      </c>
      <c r="S19" s="327" t="s">
        <v>681</v>
      </c>
      <c r="T19" s="327" t="s">
        <v>681</v>
      </c>
      <c r="U19" s="627" t="s">
        <v>681</v>
      </c>
    </row>
    <row r="20" spans="1:21" ht="15.5">
      <c r="A20" s="559">
        <v>22</v>
      </c>
      <c r="B20" s="559"/>
      <c r="C20" s="559"/>
      <c r="D20" s="559">
        <v>22</v>
      </c>
      <c r="E20" s="559"/>
      <c r="F20" s="559"/>
      <c r="G20" s="559">
        <v>6</v>
      </c>
      <c r="H20" s="559"/>
      <c r="I20" s="559"/>
      <c r="J20" s="755">
        <v>22</v>
      </c>
      <c r="K20" s="137"/>
      <c r="L20" s="137"/>
      <c r="M20" s="53"/>
      <c r="N20" s="631" t="s">
        <v>276</v>
      </c>
      <c r="O20" s="226" t="s">
        <v>254</v>
      </c>
      <c r="P20" s="226" t="s">
        <v>254</v>
      </c>
      <c r="Q20" s="226" t="s">
        <v>254</v>
      </c>
      <c r="R20" s="226" t="s">
        <v>254</v>
      </c>
      <c r="S20" s="226" t="s">
        <v>254</v>
      </c>
      <c r="T20" s="226" t="s">
        <v>254</v>
      </c>
      <c r="U20" s="627" t="s">
        <v>254</v>
      </c>
    </row>
    <row r="21" spans="1:21" ht="15.5">
      <c r="A21" s="559">
        <v>24</v>
      </c>
      <c r="B21" s="559"/>
      <c r="C21" s="559"/>
      <c r="D21" s="559">
        <v>24</v>
      </c>
      <c r="E21" s="559"/>
      <c r="F21" s="559"/>
      <c r="G21" s="1364" t="s">
        <v>981</v>
      </c>
      <c r="H21" s="1365"/>
      <c r="I21" s="1366"/>
      <c r="J21" s="755">
        <v>24</v>
      </c>
      <c r="K21" s="137"/>
      <c r="L21" s="137"/>
      <c r="M21" s="700"/>
      <c r="N21" s="632" t="s">
        <v>278</v>
      </c>
      <c r="O21" s="226" t="s">
        <v>255</v>
      </c>
      <c r="P21" s="226" t="s">
        <v>255</v>
      </c>
      <c r="Q21" s="226" t="s">
        <v>255</v>
      </c>
      <c r="R21" s="226" t="s">
        <v>255</v>
      </c>
      <c r="S21" s="226" t="s">
        <v>255</v>
      </c>
      <c r="T21" s="226" t="s">
        <v>255</v>
      </c>
      <c r="U21" s="226" t="s">
        <v>255</v>
      </c>
    </row>
    <row r="22" spans="1:21" ht="13">
      <c r="A22" s="559">
        <v>26</v>
      </c>
      <c r="B22" s="559"/>
      <c r="C22" s="559"/>
      <c r="D22" s="559">
        <v>26</v>
      </c>
      <c r="E22" s="559"/>
      <c r="F22" s="559"/>
      <c r="G22" s="559" t="s">
        <v>152</v>
      </c>
      <c r="H22" s="559"/>
      <c r="I22" s="559"/>
      <c r="J22" s="755"/>
      <c r="K22" s="137"/>
      <c r="L22" s="137"/>
      <c r="M22" s="53"/>
    </row>
    <row r="23" spans="1:21" ht="13">
      <c r="A23" s="559">
        <v>28</v>
      </c>
      <c r="B23" s="559"/>
      <c r="C23" s="559"/>
      <c r="D23" s="559">
        <v>28</v>
      </c>
      <c r="E23" s="559"/>
      <c r="F23" s="559"/>
      <c r="G23" s="559" t="s">
        <v>415</v>
      </c>
      <c r="H23" s="559"/>
      <c r="I23" s="559"/>
      <c r="J23" s="755"/>
      <c r="K23" s="137"/>
      <c r="L23" s="137"/>
      <c r="M23" s="53"/>
    </row>
    <row r="24" spans="1:21" ht="13">
      <c r="A24" s="1364" t="s">
        <v>426</v>
      </c>
      <c r="B24" s="1365"/>
      <c r="C24" s="1366"/>
      <c r="D24" s="1364" t="s">
        <v>429</v>
      </c>
      <c r="E24" s="1365"/>
      <c r="F24" s="1366"/>
      <c r="G24" s="559"/>
      <c r="H24" s="560" t="s">
        <v>170</v>
      </c>
      <c r="I24" s="561" t="s">
        <v>411</v>
      </c>
      <c r="J24" s="755"/>
      <c r="K24" s="137"/>
      <c r="L24" s="137"/>
      <c r="M24" s="53"/>
    </row>
    <row r="25" spans="1:21" ht="13">
      <c r="A25" s="559" t="s">
        <v>152</v>
      </c>
      <c r="B25" s="559"/>
      <c r="C25" s="559"/>
      <c r="D25" s="559" t="s">
        <v>152</v>
      </c>
      <c r="E25" s="559"/>
      <c r="F25" s="559"/>
      <c r="G25" s="559">
        <v>2</v>
      </c>
      <c r="H25" s="559"/>
      <c r="I25" s="559"/>
      <c r="J25" s="137"/>
      <c r="K25" s="137"/>
      <c r="L25" s="137"/>
      <c r="M25" s="53"/>
    </row>
    <row r="26" spans="1:21" ht="13">
      <c r="A26" s="559" t="s">
        <v>415</v>
      </c>
      <c r="B26" s="559"/>
      <c r="C26" s="559"/>
      <c r="D26" s="559" t="s">
        <v>415</v>
      </c>
      <c r="E26" s="559"/>
      <c r="F26" s="559"/>
      <c r="G26" s="559">
        <v>4</v>
      </c>
      <c r="H26" s="559"/>
      <c r="I26" s="559"/>
      <c r="J26" s="1364" t="s">
        <v>519</v>
      </c>
      <c r="K26" s="1365"/>
      <c r="L26" s="1366"/>
      <c r="M26" s="701"/>
    </row>
    <row r="27" spans="1:21" ht="13">
      <c r="A27" s="559"/>
      <c r="B27" s="560" t="s">
        <v>170</v>
      </c>
      <c r="C27" s="561" t="s">
        <v>411</v>
      </c>
      <c r="D27" s="559"/>
      <c r="E27" s="560" t="s">
        <v>170</v>
      </c>
      <c r="F27" s="561" t="s">
        <v>411</v>
      </c>
      <c r="G27" s="559">
        <v>6</v>
      </c>
      <c r="H27" s="559"/>
      <c r="I27" s="559"/>
      <c r="J27" s="559" t="s">
        <v>152</v>
      </c>
      <c r="K27" s="559"/>
      <c r="L27" s="559"/>
      <c r="M27" s="559"/>
    </row>
    <row r="28" spans="1:21" ht="13">
      <c r="A28" s="559">
        <v>2</v>
      </c>
      <c r="B28" s="559"/>
      <c r="C28" s="559"/>
      <c r="D28" s="559">
        <v>2</v>
      </c>
      <c r="E28" s="559"/>
      <c r="F28" s="559"/>
      <c r="G28" s="559">
        <v>8</v>
      </c>
      <c r="H28" s="559"/>
      <c r="I28" s="559"/>
      <c r="J28" s="559" t="s">
        <v>415</v>
      </c>
      <c r="K28" s="559"/>
      <c r="L28" s="559"/>
      <c r="M28" s="559"/>
    </row>
    <row r="29" spans="1:21" ht="13">
      <c r="A29" s="559">
        <v>4</v>
      </c>
      <c r="B29" s="559"/>
      <c r="C29" s="559"/>
      <c r="D29" s="559">
        <v>4</v>
      </c>
      <c r="E29" s="559"/>
      <c r="F29" s="559"/>
      <c r="G29" s="1364" t="s">
        <v>431</v>
      </c>
      <c r="H29" s="1365"/>
      <c r="I29" s="1366"/>
      <c r="J29" s="564"/>
      <c r="K29" s="560" t="s">
        <v>170</v>
      </c>
      <c r="L29" s="561" t="s">
        <v>411</v>
      </c>
      <c r="M29" s="561"/>
    </row>
    <row r="30" spans="1:21" ht="13">
      <c r="A30" s="559">
        <v>6</v>
      </c>
      <c r="B30" s="559"/>
      <c r="C30" s="559"/>
      <c r="D30" s="559">
        <v>6</v>
      </c>
      <c r="E30" s="559"/>
      <c r="F30" s="559"/>
      <c r="G30" s="559" t="s">
        <v>152</v>
      </c>
      <c r="H30" s="559"/>
      <c r="I30" s="559"/>
      <c r="J30" s="559">
        <v>2</v>
      </c>
      <c r="K30" s="563"/>
      <c r="L30" s="563"/>
      <c r="M30" s="563"/>
    </row>
    <row r="31" spans="1:21" ht="13">
      <c r="A31" s="559">
        <v>8</v>
      </c>
      <c r="B31" s="559"/>
      <c r="C31" s="559"/>
      <c r="D31" s="559">
        <v>8</v>
      </c>
      <c r="E31" s="559"/>
      <c r="F31" s="559"/>
      <c r="G31" s="559" t="s">
        <v>415</v>
      </c>
      <c r="H31" s="559"/>
      <c r="I31" s="559"/>
      <c r="J31" s="559">
        <v>4</v>
      </c>
      <c r="K31" s="559"/>
      <c r="L31" s="559"/>
      <c r="M31" s="559"/>
    </row>
    <row r="32" spans="1:21" ht="13">
      <c r="A32" s="559">
        <v>10</v>
      </c>
      <c r="B32" s="559"/>
      <c r="C32" s="559"/>
      <c r="D32" s="559">
        <v>10</v>
      </c>
      <c r="E32" s="559"/>
      <c r="F32" s="559"/>
      <c r="G32" s="559"/>
      <c r="H32" s="560" t="s">
        <v>170</v>
      </c>
      <c r="I32" s="561" t="s">
        <v>411</v>
      </c>
      <c r="J32" s="559">
        <v>6</v>
      </c>
      <c r="K32" s="559"/>
      <c r="L32" s="559"/>
      <c r="M32" s="559"/>
    </row>
    <row r="33" spans="1:13" ht="13">
      <c r="A33" s="559">
        <v>12</v>
      </c>
      <c r="B33" s="559"/>
      <c r="C33" s="559"/>
      <c r="D33" s="559">
        <v>12</v>
      </c>
      <c r="E33" s="559"/>
      <c r="F33" s="559"/>
      <c r="G33" s="559">
        <v>2</v>
      </c>
      <c r="H33" s="559"/>
      <c r="I33" s="559"/>
      <c r="J33" s="559">
        <v>8</v>
      </c>
      <c r="K33" s="559"/>
      <c r="L33" s="559"/>
      <c r="M33" s="559"/>
    </row>
    <row r="34" spans="1:13" ht="13">
      <c r="A34" s="559">
        <v>14</v>
      </c>
      <c r="B34" s="559"/>
      <c r="C34" s="559"/>
      <c r="D34" s="559">
        <v>14</v>
      </c>
      <c r="E34" s="559"/>
      <c r="F34" s="559"/>
      <c r="G34" s="559">
        <v>4</v>
      </c>
      <c r="H34" s="559"/>
      <c r="I34" s="559"/>
      <c r="J34" s="559">
        <v>10</v>
      </c>
      <c r="K34" s="559"/>
      <c r="L34" s="559"/>
      <c r="M34" s="559"/>
    </row>
    <row r="35" spans="1:13" ht="13">
      <c r="A35" s="559">
        <v>16</v>
      </c>
      <c r="B35" s="559"/>
      <c r="C35" s="559"/>
      <c r="D35" s="559">
        <v>16</v>
      </c>
      <c r="E35" s="559"/>
      <c r="F35" s="559"/>
      <c r="G35" s="559">
        <v>6</v>
      </c>
      <c r="H35" s="559"/>
      <c r="I35" s="559"/>
      <c r="J35" s="559">
        <v>12</v>
      </c>
      <c r="K35" s="559"/>
      <c r="L35" s="559"/>
      <c r="M35" s="559"/>
    </row>
    <row r="36" spans="1:13" ht="13">
      <c r="A36" s="559">
        <v>18</v>
      </c>
      <c r="B36" s="559"/>
      <c r="C36" s="559"/>
      <c r="D36" s="559">
        <v>18</v>
      </c>
      <c r="E36" s="559"/>
      <c r="F36" s="559"/>
      <c r="G36" s="1364" t="s">
        <v>432</v>
      </c>
      <c r="H36" s="1365"/>
      <c r="I36" s="1366"/>
      <c r="J36" s="559">
        <v>14</v>
      </c>
      <c r="K36" s="559"/>
      <c r="L36" s="559"/>
      <c r="M36" s="559"/>
    </row>
    <row r="37" spans="1:13" ht="13">
      <c r="A37" s="559">
        <v>20</v>
      </c>
      <c r="B37" s="559"/>
      <c r="C37" s="559"/>
      <c r="D37" s="559">
        <v>20</v>
      </c>
      <c r="E37" s="559"/>
      <c r="F37" s="559"/>
      <c r="G37" s="559" t="s">
        <v>152</v>
      </c>
      <c r="H37" s="559"/>
      <c r="I37" s="559"/>
      <c r="J37" s="559">
        <v>16</v>
      </c>
      <c r="K37" s="559"/>
      <c r="L37" s="559"/>
      <c r="M37" s="559"/>
    </row>
    <row r="38" spans="1:13" ht="13">
      <c r="A38" s="559">
        <v>22</v>
      </c>
      <c r="B38" s="559"/>
      <c r="C38" s="559"/>
      <c r="D38" s="559">
        <v>22</v>
      </c>
      <c r="E38" s="559"/>
      <c r="F38" s="559"/>
      <c r="G38" s="559" t="s">
        <v>415</v>
      </c>
      <c r="H38" s="559"/>
      <c r="I38" s="559"/>
      <c r="J38" s="559">
        <v>18</v>
      </c>
      <c r="K38" s="53"/>
      <c r="L38" s="53"/>
      <c r="M38" s="53"/>
    </row>
    <row r="39" spans="1:13" ht="13">
      <c r="A39" s="559">
        <v>24</v>
      </c>
      <c r="B39" s="559"/>
      <c r="C39" s="559"/>
      <c r="D39" s="559">
        <v>24</v>
      </c>
      <c r="E39" s="559"/>
      <c r="F39" s="559"/>
      <c r="G39" s="559"/>
      <c r="H39" s="560" t="s">
        <v>170</v>
      </c>
      <c r="I39" s="561" t="s">
        <v>411</v>
      </c>
      <c r="J39" s="559">
        <v>20</v>
      </c>
      <c r="K39" s="53"/>
      <c r="L39" s="53"/>
      <c r="M39" s="53"/>
    </row>
    <row r="40" spans="1:13" ht="13">
      <c r="A40" s="559">
        <v>26</v>
      </c>
      <c r="B40" s="559"/>
      <c r="C40" s="559"/>
      <c r="D40" s="559">
        <v>26</v>
      </c>
      <c r="E40" s="559"/>
      <c r="F40" s="559"/>
      <c r="G40" s="559">
        <v>2</v>
      </c>
      <c r="H40" s="559"/>
      <c r="I40" s="559"/>
      <c r="J40" s="559">
        <v>22</v>
      </c>
      <c r="K40" s="53"/>
      <c r="L40" s="53"/>
      <c r="M40" s="53"/>
    </row>
    <row r="41" spans="1:13" ht="13">
      <c r="A41" s="559">
        <v>28</v>
      </c>
      <c r="B41" s="559"/>
      <c r="C41" s="559"/>
      <c r="D41" s="559">
        <v>28</v>
      </c>
      <c r="E41" s="559"/>
      <c r="F41" s="559"/>
      <c r="G41" s="559">
        <v>4</v>
      </c>
      <c r="H41" s="559"/>
      <c r="I41" s="559"/>
      <c r="J41" s="559">
        <v>24</v>
      </c>
      <c r="K41" s="53"/>
      <c r="L41" s="53"/>
      <c r="M41" s="53"/>
    </row>
    <row r="42" spans="1:13" ht="13">
      <c r="A42" s="1364" t="s">
        <v>427</v>
      </c>
      <c r="B42" s="1365"/>
      <c r="C42" s="1366"/>
      <c r="D42" s="559">
        <v>30</v>
      </c>
      <c r="E42" s="559"/>
      <c r="F42" s="559"/>
      <c r="G42" s="559">
        <v>6</v>
      </c>
      <c r="H42" s="559"/>
      <c r="I42" s="559"/>
      <c r="J42" s="184"/>
      <c r="K42" s="53"/>
      <c r="L42" s="53"/>
      <c r="M42" s="53"/>
    </row>
    <row r="43" spans="1:13" ht="13">
      <c r="A43" s="559" t="s">
        <v>152</v>
      </c>
      <c r="B43" s="559"/>
      <c r="C43" s="559"/>
      <c r="D43" s="1364" t="s">
        <v>430</v>
      </c>
      <c r="E43" s="1365"/>
      <c r="F43" s="1366"/>
      <c r="G43" s="1364" t="s">
        <v>421</v>
      </c>
      <c r="H43" s="1365"/>
      <c r="I43" s="1366"/>
      <c r="J43" s="1364" t="s">
        <v>1044</v>
      </c>
      <c r="K43" s="1365"/>
      <c r="L43" s="1366"/>
      <c r="M43" s="701"/>
    </row>
    <row r="44" spans="1:13" ht="13">
      <c r="A44" s="559" t="s">
        <v>415</v>
      </c>
      <c r="B44" s="559"/>
      <c r="C44" s="559"/>
      <c r="D44" s="559" t="s">
        <v>152</v>
      </c>
      <c r="E44" s="559"/>
      <c r="F44" s="559"/>
      <c r="G44" s="559" t="s">
        <v>152</v>
      </c>
      <c r="H44" s="559"/>
      <c r="I44" s="559"/>
      <c r="J44" s="559" t="s">
        <v>152</v>
      </c>
      <c r="K44" s="559"/>
      <c r="L44" s="559"/>
      <c r="M44" s="559"/>
    </row>
    <row r="45" spans="1:13" ht="13">
      <c r="A45" s="559"/>
      <c r="B45" s="560" t="s">
        <v>170</v>
      </c>
      <c r="C45" s="561" t="s">
        <v>411</v>
      </c>
      <c r="D45" s="559" t="s">
        <v>415</v>
      </c>
      <c r="E45" s="559"/>
      <c r="F45" s="559"/>
      <c r="G45" s="559" t="s">
        <v>415</v>
      </c>
      <c r="H45" s="559"/>
      <c r="I45" s="559"/>
      <c r="J45" s="559" t="s">
        <v>415</v>
      </c>
      <c r="K45" s="559"/>
      <c r="L45" s="559"/>
      <c r="M45" s="559"/>
    </row>
    <row r="46" spans="1:13" ht="13">
      <c r="A46" s="559">
        <v>2</v>
      </c>
      <c r="B46" s="559"/>
      <c r="C46" s="559"/>
      <c r="D46" s="559"/>
      <c r="E46" s="560" t="s">
        <v>170</v>
      </c>
      <c r="F46" s="561" t="s">
        <v>411</v>
      </c>
      <c r="G46" s="559"/>
      <c r="H46" s="560" t="s">
        <v>170</v>
      </c>
      <c r="I46" s="561" t="s">
        <v>411</v>
      </c>
      <c r="J46" s="559"/>
      <c r="K46" s="560" t="s">
        <v>170</v>
      </c>
      <c r="L46" s="561" t="s">
        <v>411</v>
      </c>
      <c r="M46" s="561"/>
    </row>
    <row r="47" spans="1:13" ht="13">
      <c r="A47" s="559">
        <v>4</v>
      </c>
      <c r="B47" s="559"/>
      <c r="C47" s="559"/>
      <c r="D47" s="559">
        <v>2</v>
      </c>
      <c r="E47" s="559"/>
      <c r="F47" s="559"/>
      <c r="G47" s="559" t="s">
        <v>196</v>
      </c>
      <c r="H47" s="559"/>
      <c r="I47" s="559">
        <v>35</v>
      </c>
      <c r="J47" s="559">
        <v>2</v>
      </c>
      <c r="K47" s="559"/>
      <c r="L47" s="559"/>
      <c r="M47" s="559"/>
    </row>
    <row r="48" spans="1:13" ht="13">
      <c r="A48" s="559">
        <v>6</v>
      </c>
      <c r="B48" s="559"/>
      <c r="C48" s="559"/>
      <c r="D48" s="559">
        <v>4</v>
      </c>
      <c r="E48" s="559"/>
      <c r="F48" s="559"/>
      <c r="G48" s="559"/>
      <c r="H48" s="559"/>
      <c r="I48" s="563"/>
      <c r="J48" s="559">
        <v>4</v>
      </c>
      <c r="K48" s="559"/>
      <c r="L48" s="559"/>
      <c r="M48" s="559"/>
    </row>
    <row r="49" spans="1:13" ht="13">
      <c r="A49" s="559">
        <v>8</v>
      </c>
      <c r="B49" s="559"/>
      <c r="C49" s="559"/>
      <c r="D49" s="559">
        <v>6</v>
      </c>
      <c r="E49" s="559"/>
      <c r="F49" s="559"/>
      <c r="G49" s="559"/>
      <c r="H49" s="559"/>
      <c r="I49" s="563"/>
      <c r="J49" s="559">
        <v>6</v>
      </c>
      <c r="K49" s="559"/>
      <c r="L49" s="559"/>
      <c r="M49" s="559"/>
    </row>
    <row r="50" spans="1:13" ht="13">
      <c r="A50" s="559">
        <v>10</v>
      </c>
      <c r="B50" s="559"/>
      <c r="C50" s="559"/>
      <c r="D50" s="559">
        <v>8</v>
      </c>
      <c r="E50" s="559"/>
      <c r="F50" s="559"/>
      <c r="G50" s="565"/>
      <c r="H50" s="565"/>
      <c r="I50" s="563"/>
      <c r="J50" s="1364" t="s">
        <v>1046</v>
      </c>
      <c r="K50" s="1365"/>
      <c r="L50" s="1366"/>
      <c r="M50" s="701"/>
    </row>
    <row r="51" spans="1:13" ht="13">
      <c r="A51" s="559">
        <v>12</v>
      </c>
      <c r="B51" s="559"/>
      <c r="C51" s="559"/>
      <c r="D51" s="559">
        <v>10</v>
      </c>
      <c r="E51" s="559"/>
      <c r="F51" s="559"/>
      <c r="G51" s="1452" t="s">
        <v>1025</v>
      </c>
      <c r="H51" s="1453"/>
      <c r="I51" s="1454"/>
      <c r="J51" s="559" t="s">
        <v>152</v>
      </c>
      <c r="K51" s="559"/>
      <c r="L51" s="559"/>
      <c r="M51" s="559"/>
    </row>
    <row r="52" spans="1:13" ht="13">
      <c r="A52" s="559">
        <v>14</v>
      </c>
      <c r="B52" s="559"/>
      <c r="C52" s="559"/>
      <c r="D52" s="559">
        <v>12</v>
      </c>
      <c r="E52" s="559"/>
      <c r="F52" s="559"/>
      <c r="G52" s="755" t="s">
        <v>152</v>
      </c>
      <c r="H52" s="755"/>
      <c r="I52" s="755"/>
      <c r="J52" s="559" t="s">
        <v>415</v>
      </c>
      <c r="K52" s="559"/>
      <c r="L52" s="559"/>
      <c r="M52" s="559"/>
    </row>
    <row r="53" spans="1:13" ht="13">
      <c r="A53" s="559">
        <v>16</v>
      </c>
      <c r="B53" s="559"/>
      <c r="C53" s="559"/>
      <c r="D53" s="559">
        <v>14</v>
      </c>
      <c r="E53" s="559"/>
      <c r="F53" s="559"/>
      <c r="G53" s="755" t="s">
        <v>415</v>
      </c>
      <c r="H53" s="755"/>
      <c r="I53" s="755"/>
      <c r="J53" s="559"/>
      <c r="K53" s="560" t="s">
        <v>170</v>
      </c>
      <c r="L53" s="561" t="s">
        <v>411</v>
      </c>
      <c r="M53" s="561"/>
    </row>
    <row r="54" spans="1:13" ht="13">
      <c r="A54" s="559">
        <v>18</v>
      </c>
      <c r="B54" s="559"/>
      <c r="C54" s="559"/>
      <c r="D54" s="559">
        <v>16</v>
      </c>
      <c r="E54" s="559"/>
      <c r="F54" s="559"/>
      <c r="G54" s="755"/>
      <c r="H54" s="756" t="s">
        <v>170</v>
      </c>
      <c r="I54" s="757" t="s">
        <v>411</v>
      </c>
      <c r="J54" s="559">
        <v>2</v>
      </c>
      <c r="K54" s="559"/>
      <c r="L54" s="559"/>
      <c r="M54" s="559"/>
    </row>
    <row r="55" spans="1:13" ht="13">
      <c r="A55" s="559">
        <v>20</v>
      </c>
      <c r="B55" s="559"/>
      <c r="C55" s="559"/>
      <c r="D55" s="559">
        <v>18</v>
      </c>
      <c r="E55" s="559"/>
      <c r="F55" s="559"/>
      <c r="G55" s="755">
        <v>2</v>
      </c>
      <c r="H55" s="758"/>
      <c r="I55" s="758"/>
      <c r="J55" s="559">
        <v>4</v>
      </c>
      <c r="K55" s="559"/>
      <c r="L55" s="559"/>
      <c r="M55" s="559"/>
    </row>
    <row r="56" spans="1:13" ht="13">
      <c r="A56" s="559">
        <v>22</v>
      </c>
      <c r="B56" s="559"/>
      <c r="C56" s="559"/>
      <c r="D56" s="559">
        <v>20</v>
      </c>
      <c r="E56" s="559"/>
      <c r="F56" s="559"/>
      <c r="G56" s="755">
        <v>4</v>
      </c>
      <c r="H56" s="755"/>
      <c r="I56" s="755"/>
      <c r="J56" s="559">
        <v>6</v>
      </c>
      <c r="K56" s="559"/>
      <c r="L56" s="559"/>
      <c r="M56" s="559"/>
    </row>
    <row r="57" spans="1:13" ht="13">
      <c r="A57" s="257"/>
      <c r="B57" s="257"/>
      <c r="C57" s="257"/>
      <c r="D57" s="171"/>
      <c r="E57" s="171"/>
      <c r="F57" s="171"/>
      <c r="G57" s="350"/>
      <c r="H57" s="17"/>
      <c r="I57" s="17"/>
    </row>
    <row r="58" spans="1:13" ht="13">
      <c r="A58" s="257"/>
      <c r="B58" s="257"/>
      <c r="C58" s="257"/>
      <c r="D58" s="171"/>
      <c r="E58" s="171"/>
      <c r="F58" s="171"/>
      <c r="G58" s="257"/>
      <c r="H58" s="17"/>
      <c r="I58" s="17"/>
    </row>
    <row r="61" spans="1:13" ht="13">
      <c r="A61" s="235" t="s">
        <v>417</v>
      </c>
      <c r="B61" s="235" t="s">
        <v>418</v>
      </c>
      <c r="C61" s="235"/>
      <c r="D61" s="235"/>
      <c r="E61" s="235"/>
      <c r="F61" s="235"/>
    </row>
    <row r="62" spans="1:13" ht="13">
      <c r="A62" s="235" t="s">
        <v>419</v>
      </c>
      <c r="B62" s="235" t="s">
        <v>420</v>
      </c>
      <c r="C62" s="235"/>
      <c r="D62" s="235"/>
      <c r="E62" s="235"/>
      <c r="F62" s="235"/>
    </row>
    <row r="63" spans="1:13" ht="13">
      <c r="A63" s="235" t="s">
        <v>6</v>
      </c>
      <c r="B63" s="235" t="s">
        <v>420</v>
      </c>
      <c r="C63" s="235"/>
      <c r="D63" s="235"/>
      <c r="E63" s="235"/>
      <c r="F63" s="235"/>
    </row>
    <row r="64" spans="1:13" ht="13">
      <c r="A64" s="235" t="s">
        <v>150</v>
      </c>
      <c r="B64" s="1448">
        <v>41603</v>
      </c>
      <c r="C64" s="1448"/>
      <c r="D64" s="235"/>
      <c r="E64" s="235"/>
      <c r="F64" s="235"/>
    </row>
    <row r="65" spans="1:9" ht="13">
      <c r="A65" s="1449" t="s">
        <v>518</v>
      </c>
      <c r="B65" s="1450"/>
      <c r="C65" s="1451"/>
      <c r="D65" s="1355" t="s">
        <v>428</v>
      </c>
      <c r="E65" s="1356"/>
      <c r="F65" s="1357"/>
      <c r="G65" s="528" t="s">
        <v>431</v>
      </c>
      <c r="H65" s="529"/>
      <c r="I65" s="530"/>
    </row>
    <row r="66" spans="1:9" ht="13">
      <c r="A66" s="761" t="s">
        <v>152</v>
      </c>
      <c r="B66" s="761"/>
      <c r="C66" s="761"/>
      <c r="D66" s="256" t="s">
        <v>152</v>
      </c>
      <c r="E66" s="256"/>
      <c r="F66" s="256"/>
      <c r="G66" s="256" t="s">
        <v>152</v>
      </c>
      <c r="H66" s="256"/>
      <c r="I66" s="256"/>
    </row>
    <row r="67" spans="1:9" ht="13">
      <c r="A67" s="761" t="s">
        <v>410</v>
      </c>
      <c r="B67" s="762"/>
      <c r="C67" s="763"/>
      <c r="D67" s="256" t="s">
        <v>410</v>
      </c>
      <c r="E67" s="542"/>
      <c r="F67" s="543"/>
      <c r="G67" s="256" t="s">
        <v>410</v>
      </c>
      <c r="H67" s="542"/>
      <c r="I67" s="543"/>
    </row>
    <row r="68" spans="1:9" ht="13">
      <c r="A68" s="761" t="s">
        <v>156</v>
      </c>
      <c r="B68" s="761"/>
      <c r="C68" s="761"/>
      <c r="D68" s="291" t="s">
        <v>156</v>
      </c>
      <c r="E68" s="291"/>
      <c r="F68" s="256"/>
      <c r="G68" s="291" t="s">
        <v>156</v>
      </c>
      <c r="H68" s="291"/>
      <c r="I68" s="256"/>
    </row>
    <row r="69" spans="1:9" ht="13">
      <c r="A69" s="761" t="s">
        <v>155</v>
      </c>
      <c r="B69" s="761"/>
      <c r="C69" s="761"/>
      <c r="D69" s="291" t="s">
        <v>155</v>
      </c>
      <c r="E69" s="291"/>
      <c r="F69" s="256"/>
      <c r="G69" s="291" t="s">
        <v>155</v>
      </c>
      <c r="H69" s="291"/>
      <c r="I69" s="256"/>
    </row>
    <row r="70" spans="1:9" ht="13">
      <c r="A70" s="761" t="s">
        <v>154</v>
      </c>
      <c r="B70" s="761"/>
      <c r="C70" s="761"/>
      <c r="D70" s="291" t="s">
        <v>154</v>
      </c>
      <c r="E70" s="291"/>
      <c r="F70" s="256"/>
      <c r="G70" s="291" t="s">
        <v>154</v>
      </c>
      <c r="H70" s="291"/>
      <c r="I70" s="256"/>
    </row>
    <row r="71" spans="1:9" ht="13">
      <c r="A71" s="761" t="s">
        <v>153</v>
      </c>
      <c r="B71" s="761"/>
      <c r="C71" s="761"/>
      <c r="D71" s="291" t="s">
        <v>153</v>
      </c>
      <c r="E71" s="291"/>
      <c r="F71" s="256"/>
      <c r="G71" s="291" t="s">
        <v>153</v>
      </c>
      <c r="H71" s="291"/>
      <c r="I71" s="256"/>
    </row>
    <row r="72" spans="1:9" ht="13">
      <c r="A72" s="1355" t="s">
        <v>519</v>
      </c>
      <c r="B72" s="1356"/>
      <c r="C72" s="1357"/>
      <c r="D72" s="1355" t="s">
        <v>429</v>
      </c>
      <c r="E72" s="1356"/>
      <c r="F72" s="1357"/>
      <c r="G72" s="528" t="s">
        <v>432</v>
      </c>
      <c r="H72" s="529"/>
      <c r="I72" s="530"/>
    </row>
    <row r="73" spans="1:9" ht="13">
      <c r="A73" s="256" t="s">
        <v>152</v>
      </c>
      <c r="B73" s="256"/>
      <c r="C73" s="287"/>
      <c r="D73" s="256" t="s">
        <v>152</v>
      </c>
      <c r="E73" s="256"/>
      <c r="F73" s="256"/>
      <c r="G73" s="256" t="s">
        <v>152</v>
      </c>
      <c r="H73" s="256"/>
      <c r="I73" s="256"/>
    </row>
    <row r="74" spans="1:9" ht="13">
      <c r="A74" s="256" t="s">
        <v>410</v>
      </c>
      <c r="B74" s="542"/>
      <c r="C74" s="543"/>
      <c r="D74" s="256" t="s">
        <v>410</v>
      </c>
      <c r="E74" s="256"/>
      <c r="F74" s="256"/>
      <c r="G74" s="256" t="s">
        <v>410</v>
      </c>
      <c r="H74" s="542"/>
      <c r="I74" s="543"/>
    </row>
    <row r="75" spans="1:9" ht="13">
      <c r="A75" s="291" t="s">
        <v>156</v>
      </c>
      <c r="B75" s="291"/>
      <c r="C75" s="256"/>
      <c r="D75" s="291" t="s">
        <v>156</v>
      </c>
      <c r="E75" s="291"/>
      <c r="F75" s="256"/>
      <c r="G75" s="291" t="s">
        <v>156</v>
      </c>
      <c r="H75" s="291"/>
      <c r="I75" s="256"/>
    </row>
    <row r="76" spans="1:9" ht="13">
      <c r="A76" s="291" t="s">
        <v>155</v>
      </c>
      <c r="B76" s="291"/>
      <c r="C76" s="256"/>
      <c r="D76" s="291" t="s">
        <v>155</v>
      </c>
      <c r="E76" s="291"/>
      <c r="F76" s="256"/>
      <c r="G76" s="291" t="s">
        <v>155</v>
      </c>
      <c r="H76" s="291"/>
      <c r="I76" s="256"/>
    </row>
    <row r="77" spans="1:9" ht="13">
      <c r="A77" s="291" t="s">
        <v>154</v>
      </c>
      <c r="B77" s="291"/>
      <c r="C77" s="256"/>
      <c r="D77" s="291" t="s">
        <v>154</v>
      </c>
      <c r="E77" s="291"/>
      <c r="F77" s="256"/>
      <c r="G77" s="291" t="s">
        <v>154</v>
      </c>
      <c r="H77" s="291"/>
      <c r="I77" s="256"/>
    </row>
    <row r="78" spans="1:9" ht="13">
      <c r="A78" s="291" t="s">
        <v>153</v>
      </c>
      <c r="B78" s="291"/>
      <c r="C78" s="256"/>
      <c r="D78" s="291" t="s">
        <v>153</v>
      </c>
      <c r="E78" s="291"/>
      <c r="F78" s="256"/>
      <c r="G78" s="291" t="s">
        <v>153</v>
      </c>
      <c r="H78" s="291"/>
      <c r="I78" s="256"/>
    </row>
    <row r="79" spans="1:9" ht="13">
      <c r="A79" s="1449" t="s">
        <v>1026</v>
      </c>
      <c r="B79" s="1450"/>
      <c r="C79" s="1451"/>
      <c r="D79" s="1355" t="s">
        <v>430</v>
      </c>
      <c r="E79" s="1356"/>
      <c r="F79" s="1357"/>
      <c r="G79" s="528" t="s">
        <v>1045</v>
      </c>
      <c r="H79" s="529"/>
      <c r="I79" s="530"/>
    </row>
    <row r="80" spans="1:9" ht="13">
      <c r="A80" s="761" t="s">
        <v>152</v>
      </c>
      <c r="B80" s="761"/>
      <c r="C80" s="764"/>
      <c r="D80" s="256" t="s">
        <v>152</v>
      </c>
      <c r="E80" s="256"/>
      <c r="F80" s="256"/>
      <c r="G80" s="256" t="s">
        <v>152</v>
      </c>
      <c r="H80" s="256"/>
      <c r="I80" s="256"/>
    </row>
    <row r="81" spans="1:9" ht="13">
      <c r="A81" s="761" t="s">
        <v>410</v>
      </c>
      <c r="B81" s="762"/>
      <c r="C81" s="763"/>
      <c r="D81" s="256" t="s">
        <v>410</v>
      </c>
      <c r="E81" s="1358"/>
      <c r="F81" s="1359"/>
      <c r="G81" s="256" t="s">
        <v>410</v>
      </c>
      <c r="H81" s="552"/>
      <c r="I81" s="553"/>
    </row>
    <row r="82" spans="1:9" ht="13">
      <c r="A82" s="761" t="s">
        <v>156</v>
      </c>
      <c r="B82" s="761"/>
      <c r="C82" s="761"/>
      <c r="D82" s="291" t="s">
        <v>156</v>
      </c>
      <c r="E82" s="291"/>
      <c r="F82" s="256"/>
      <c r="G82" s="291" t="s">
        <v>156</v>
      </c>
      <c r="H82" s="291"/>
      <c r="I82" s="256"/>
    </row>
    <row r="83" spans="1:9" ht="13">
      <c r="A83" s="761" t="s">
        <v>155</v>
      </c>
      <c r="B83" s="761"/>
      <c r="C83" s="761"/>
      <c r="D83" s="291" t="s">
        <v>155</v>
      </c>
      <c r="E83" s="291"/>
      <c r="F83" s="256"/>
      <c r="G83" s="291" t="s">
        <v>155</v>
      </c>
      <c r="H83" s="291"/>
      <c r="I83" s="256"/>
    </row>
    <row r="84" spans="1:9" ht="13">
      <c r="A84" s="761" t="s">
        <v>154</v>
      </c>
      <c r="B84" s="761"/>
      <c r="C84" s="761"/>
      <c r="D84" s="291" t="s">
        <v>154</v>
      </c>
      <c r="E84" s="291"/>
      <c r="F84" s="256"/>
      <c r="G84" s="291" t="s">
        <v>154</v>
      </c>
      <c r="H84" s="291"/>
      <c r="I84" s="256"/>
    </row>
    <row r="85" spans="1:9" ht="13">
      <c r="A85" s="761" t="s">
        <v>153</v>
      </c>
      <c r="B85" s="761"/>
      <c r="C85" s="761"/>
      <c r="D85" s="291" t="s">
        <v>153</v>
      </c>
      <c r="E85" s="291"/>
      <c r="F85" s="256"/>
      <c r="G85" s="291" t="s">
        <v>153</v>
      </c>
      <c r="H85" s="291"/>
      <c r="I85" s="256"/>
    </row>
    <row r="86" spans="1:9" ht="13">
      <c r="A86" s="1355" t="s">
        <v>421</v>
      </c>
      <c r="B86" s="1356"/>
      <c r="C86" s="1357"/>
      <c r="D86" s="1355" t="s">
        <v>980</v>
      </c>
      <c r="E86" s="1356"/>
      <c r="F86" s="1357"/>
      <c r="G86" s="528" t="s">
        <v>1046</v>
      </c>
      <c r="H86" s="529"/>
      <c r="I86" s="530"/>
    </row>
    <row r="87" spans="1:9" ht="13">
      <c r="A87" s="256" t="s">
        <v>152</v>
      </c>
      <c r="B87" s="256"/>
      <c r="C87" s="256"/>
      <c r="D87" s="256" t="s">
        <v>152</v>
      </c>
      <c r="E87" s="256"/>
      <c r="F87" s="256"/>
      <c r="G87" s="256" t="s">
        <v>152</v>
      </c>
      <c r="H87" s="256"/>
      <c r="I87" s="256"/>
    </row>
    <row r="88" spans="1:9" ht="13">
      <c r="A88" s="256" t="s">
        <v>410</v>
      </c>
      <c r="B88" s="542"/>
      <c r="C88" s="543"/>
      <c r="D88" s="256" t="s">
        <v>410</v>
      </c>
      <c r="E88" s="542"/>
      <c r="F88" s="543"/>
      <c r="G88" s="256" t="s">
        <v>410</v>
      </c>
      <c r="H88" s="552"/>
      <c r="I88" s="553"/>
    </row>
    <row r="89" spans="1:9" ht="13">
      <c r="A89" s="291" t="s">
        <v>156</v>
      </c>
      <c r="B89" s="291"/>
      <c r="C89" s="256"/>
      <c r="D89" s="291" t="s">
        <v>156</v>
      </c>
      <c r="E89" s="291"/>
      <c r="F89" s="256"/>
      <c r="G89" s="291" t="s">
        <v>156</v>
      </c>
      <c r="H89" s="291"/>
      <c r="I89" s="256"/>
    </row>
    <row r="90" spans="1:9" ht="13">
      <c r="A90" s="291" t="s">
        <v>155</v>
      </c>
      <c r="B90" s="291"/>
      <c r="C90" s="256"/>
      <c r="D90" s="291" t="s">
        <v>155</v>
      </c>
      <c r="E90" s="291"/>
      <c r="F90" s="256"/>
      <c r="G90" s="291" t="s">
        <v>155</v>
      </c>
      <c r="H90" s="291"/>
      <c r="I90" s="256"/>
    </row>
    <row r="91" spans="1:9" ht="13">
      <c r="A91" s="291" t="s">
        <v>154</v>
      </c>
      <c r="B91" s="291"/>
      <c r="C91" s="256"/>
      <c r="D91" s="291" t="s">
        <v>154</v>
      </c>
      <c r="E91" s="291"/>
      <c r="F91" s="256"/>
      <c r="G91" s="291" t="s">
        <v>154</v>
      </c>
      <c r="H91" s="291"/>
      <c r="I91" s="256"/>
    </row>
    <row r="92" spans="1:9" ht="13">
      <c r="A92" s="291" t="s">
        <v>153</v>
      </c>
      <c r="B92" s="291"/>
      <c r="C92" s="256"/>
      <c r="D92" s="291" t="s">
        <v>153</v>
      </c>
      <c r="E92" s="291"/>
      <c r="F92" s="256"/>
      <c r="G92" s="291" t="s">
        <v>153</v>
      </c>
      <c r="H92" s="291"/>
      <c r="I92" s="256"/>
    </row>
    <row r="93" spans="1:9" ht="13">
      <c r="A93" s="1355" t="s">
        <v>425</v>
      </c>
      <c r="B93" s="1356"/>
      <c r="C93" s="1357"/>
      <c r="D93" s="1355" t="s">
        <v>982</v>
      </c>
      <c r="E93" s="1356"/>
      <c r="F93" s="1357"/>
      <c r="G93" s="53"/>
      <c r="H93" s="53"/>
      <c r="I93" s="53"/>
    </row>
    <row r="94" spans="1:9" ht="13">
      <c r="A94" s="256" t="s">
        <v>152</v>
      </c>
      <c r="B94" s="256"/>
      <c r="C94" s="256"/>
      <c r="D94" s="256" t="s">
        <v>152</v>
      </c>
      <c r="E94" s="256"/>
      <c r="F94" s="287"/>
      <c r="G94" s="53"/>
      <c r="H94" s="53"/>
      <c r="I94" s="53"/>
    </row>
    <row r="95" spans="1:9" ht="13">
      <c r="A95" s="256" t="s">
        <v>410</v>
      </c>
      <c r="B95" s="542"/>
      <c r="C95" s="543"/>
      <c r="D95" s="256" t="s">
        <v>410</v>
      </c>
      <c r="E95" s="542"/>
      <c r="F95" s="543"/>
      <c r="G95" s="53"/>
      <c r="H95" s="53"/>
      <c r="I95" s="53"/>
    </row>
    <row r="96" spans="1:9" ht="13">
      <c r="A96" s="291" t="s">
        <v>156</v>
      </c>
      <c r="B96" s="291"/>
      <c r="C96" s="256"/>
      <c r="D96" s="291" t="s">
        <v>156</v>
      </c>
      <c r="E96" s="291"/>
      <c r="F96" s="256"/>
      <c r="G96" s="53"/>
      <c r="H96" s="53"/>
      <c r="I96" s="53"/>
    </row>
    <row r="97" spans="1:9" ht="13">
      <c r="A97" s="291" t="s">
        <v>155</v>
      </c>
      <c r="B97" s="291"/>
      <c r="C97" s="256"/>
      <c r="D97" s="291" t="s">
        <v>155</v>
      </c>
      <c r="E97" s="291"/>
      <c r="F97" s="256"/>
      <c r="G97" s="53"/>
      <c r="H97" s="53"/>
      <c r="I97" s="53"/>
    </row>
    <row r="98" spans="1:9" ht="13">
      <c r="A98" s="291" t="s">
        <v>154</v>
      </c>
      <c r="B98" s="291"/>
      <c r="C98" s="256"/>
      <c r="D98" s="291" t="s">
        <v>154</v>
      </c>
      <c r="E98" s="291"/>
      <c r="F98" s="256"/>
      <c r="G98" s="53"/>
      <c r="H98" s="53"/>
      <c r="I98" s="53"/>
    </row>
    <row r="99" spans="1:9" ht="13">
      <c r="A99" s="291" t="s">
        <v>153</v>
      </c>
      <c r="B99" s="291"/>
      <c r="C99" s="256"/>
      <c r="D99" s="291" t="s">
        <v>153</v>
      </c>
      <c r="E99" s="291"/>
      <c r="F99" s="256"/>
      <c r="G99" s="53"/>
      <c r="H99" s="53"/>
      <c r="I99" s="53"/>
    </row>
    <row r="100" spans="1:9" ht="13">
      <c r="A100" s="1355" t="s">
        <v>426</v>
      </c>
      <c r="B100" s="1356"/>
      <c r="C100" s="1357"/>
      <c r="D100" s="1355" t="s">
        <v>981</v>
      </c>
      <c r="E100" s="1356"/>
      <c r="F100" s="1357"/>
      <c r="G100" s="53"/>
      <c r="H100" s="53"/>
      <c r="I100" s="53"/>
    </row>
    <row r="101" spans="1:9" ht="13">
      <c r="A101" s="256" t="s">
        <v>152</v>
      </c>
      <c r="B101" s="256"/>
      <c r="C101" s="256"/>
      <c r="D101" s="256" t="s">
        <v>152</v>
      </c>
      <c r="E101" s="256"/>
      <c r="F101" s="287"/>
      <c r="G101" s="53"/>
      <c r="H101" s="53"/>
      <c r="I101" s="53"/>
    </row>
    <row r="102" spans="1:9" ht="13">
      <c r="A102" s="256" t="s">
        <v>410</v>
      </c>
      <c r="B102" s="542"/>
      <c r="C102" s="543"/>
      <c r="D102" s="256" t="s">
        <v>410</v>
      </c>
      <c r="E102" s="542"/>
      <c r="F102" s="543"/>
      <c r="G102" s="53"/>
      <c r="H102" s="53"/>
      <c r="I102" s="53"/>
    </row>
    <row r="103" spans="1:9" ht="13">
      <c r="A103" s="291" t="s">
        <v>156</v>
      </c>
      <c r="B103" s="291"/>
      <c r="C103" s="256"/>
      <c r="D103" s="291" t="s">
        <v>156</v>
      </c>
      <c r="E103" s="291"/>
      <c r="F103" s="256"/>
      <c r="G103" s="53"/>
      <c r="H103" s="53"/>
      <c r="I103" s="53"/>
    </row>
    <row r="104" spans="1:9" ht="13">
      <c r="A104" s="291" t="s">
        <v>155</v>
      </c>
      <c r="B104" s="291"/>
      <c r="C104" s="256"/>
      <c r="D104" s="291" t="s">
        <v>155</v>
      </c>
      <c r="E104" s="291"/>
      <c r="F104" s="256"/>
      <c r="G104" s="53"/>
      <c r="H104" s="53"/>
      <c r="I104" s="53"/>
    </row>
    <row r="105" spans="1:9" ht="13">
      <c r="A105" s="291" t="s">
        <v>154</v>
      </c>
      <c r="B105" s="291"/>
      <c r="C105" s="256"/>
      <c r="D105" s="291" t="s">
        <v>154</v>
      </c>
      <c r="E105" s="291"/>
      <c r="F105" s="256"/>
      <c r="G105" s="53"/>
      <c r="H105" s="53"/>
      <c r="I105" s="53"/>
    </row>
    <row r="106" spans="1:9" ht="13">
      <c r="A106" s="291" t="s">
        <v>153</v>
      </c>
      <c r="B106" s="291"/>
      <c r="C106" s="256"/>
      <c r="D106" s="291" t="s">
        <v>153</v>
      </c>
      <c r="E106" s="291"/>
      <c r="F106" s="256"/>
      <c r="G106" s="53"/>
      <c r="H106" s="53"/>
      <c r="I106" s="53"/>
    </row>
    <row r="107" spans="1:9" ht="13">
      <c r="A107" s="1355" t="s">
        <v>427</v>
      </c>
      <c r="B107" s="1356"/>
      <c r="C107" s="1357"/>
      <c r="E107" s="130"/>
      <c r="F107" s="130"/>
      <c r="G107" s="130" t="s">
        <v>1053</v>
      </c>
    </row>
    <row r="108" spans="1:9" ht="13">
      <c r="A108" s="256" t="s">
        <v>152</v>
      </c>
      <c r="B108" s="256"/>
      <c r="C108" s="256"/>
      <c r="E108" s="130" t="s">
        <v>1048</v>
      </c>
      <c r="F108" s="702"/>
      <c r="G108" s="754">
        <v>21</v>
      </c>
    </row>
    <row r="109" spans="1:9" ht="13">
      <c r="A109" s="256" t="s">
        <v>410</v>
      </c>
      <c r="B109" s="542"/>
      <c r="C109" s="543"/>
      <c r="E109" s="130" t="s">
        <v>1049</v>
      </c>
      <c r="F109" s="702"/>
      <c r="G109" s="754">
        <v>35</v>
      </c>
    </row>
    <row r="110" spans="1:9" ht="13">
      <c r="A110" s="291" t="s">
        <v>156</v>
      </c>
      <c r="B110" s="291"/>
      <c r="C110" s="256"/>
      <c r="E110" s="130" t="s">
        <v>939</v>
      </c>
      <c r="F110" s="702"/>
      <c r="G110" s="754">
        <v>44.6</v>
      </c>
    </row>
    <row r="111" spans="1:9" ht="13">
      <c r="A111" s="291" t="s">
        <v>155</v>
      </c>
      <c r="B111" s="291"/>
      <c r="C111" s="256"/>
      <c r="E111" s="703" t="s">
        <v>1050</v>
      </c>
      <c r="F111" s="702"/>
      <c r="G111" s="754">
        <v>19.8</v>
      </c>
    </row>
    <row r="112" spans="1:9" ht="13">
      <c r="A112" s="291" t="s">
        <v>154</v>
      </c>
      <c r="B112" s="291"/>
      <c r="C112" s="256"/>
      <c r="E112" s="703" t="s">
        <v>1051</v>
      </c>
      <c r="F112" s="702"/>
      <c r="G112" s="754">
        <v>1930</v>
      </c>
    </row>
    <row r="113" spans="1:7" ht="13">
      <c r="A113" s="291" t="s">
        <v>153</v>
      </c>
      <c r="B113" s="291"/>
      <c r="C113" s="256"/>
      <c r="E113" s="703" t="s">
        <v>1052</v>
      </c>
      <c r="F113" s="702"/>
      <c r="G113" s="754">
        <v>24.6</v>
      </c>
    </row>
  </sheetData>
  <mergeCells count="33">
    <mergeCell ref="A107:C107"/>
    <mergeCell ref="A100:C100"/>
    <mergeCell ref="A72:C72"/>
    <mergeCell ref="D86:F86"/>
    <mergeCell ref="D93:F93"/>
    <mergeCell ref="D100:F100"/>
    <mergeCell ref="A86:C86"/>
    <mergeCell ref="A93:C93"/>
    <mergeCell ref="E81:F81"/>
    <mergeCell ref="D72:F72"/>
    <mergeCell ref="D79:F79"/>
    <mergeCell ref="G51:I51"/>
    <mergeCell ref="J43:L43"/>
    <mergeCell ref="J50:L50"/>
    <mergeCell ref="J26:L26"/>
    <mergeCell ref="A79:C79"/>
    <mergeCell ref="G29:I29"/>
    <mergeCell ref="B5:C5"/>
    <mergeCell ref="B64:C64"/>
    <mergeCell ref="D65:F65"/>
    <mergeCell ref="A65:C65"/>
    <mergeCell ref="A6:C6"/>
    <mergeCell ref="D6:F6"/>
    <mergeCell ref="D43:F43"/>
    <mergeCell ref="A24:C24"/>
    <mergeCell ref="D24:F24"/>
    <mergeCell ref="J6:L6"/>
    <mergeCell ref="G43:I43"/>
    <mergeCell ref="G6:I6"/>
    <mergeCell ref="A42:C42"/>
    <mergeCell ref="G36:I36"/>
    <mergeCell ref="G14:I14"/>
    <mergeCell ref="G21:I21"/>
  </mergeCells>
  <pageMargins left="0.84" right="0.25" top="0.95" bottom="0.27" header="0.21" footer="0.23"/>
  <pageSetup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J152"/>
  <sheetViews>
    <sheetView topLeftCell="A19" workbookViewId="0">
      <selection activeCell="F101" sqref="F101:F123"/>
    </sheetView>
  </sheetViews>
  <sheetFormatPr defaultRowHeight="12.5"/>
  <cols>
    <col min="1" max="1" width="20.36328125" style="17" bestFit="1" customWidth="1"/>
    <col min="2" max="2" width="7.54296875" style="20" bestFit="1" customWidth="1"/>
    <col min="3" max="3" width="7.54296875" style="20" customWidth="1"/>
    <col min="5" max="5" width="18.6328125" bestFit="1" customWidth="1"/>
  </cols>
  <sheetData>
    <row r="1" spans="1:7" ht="15.5">
      <c r="A1" s="1176" t="s">
        <v>51</v>
      </c>
      <c r="B1" s="1176"/>
      <c r="C1" s="1176"/>
      <c r="D1" s="1176"/>
      <c r="E1" s="1176"/>
      <c r="F1" s="1176"/>
      <c r="G1" s="1176"/>
    </row>
    <row r="2" spans="1:7" ht="13">
      <c r="A2" s="1" t="s">
        <v>11</v>
      </c>
      <c r="B2" s="186" t="s">
        <v>50</v>
      </c>
      <c r="C2" s="186" t="s">
        <v>17</v>
      </c>
      <c r="D2" s="1"/>
      <c r="E2" s="1"/>
      <c r="F2" s="186" t="s">
        <v>50</v>
      </c>
      <c r="G2" s="186" t="s">
        <v>17</v>
      </c>
    </row>
    <row r="3" spans="1:7" ht="13">
      <c r="A3" s="15" t="s">
        <v>20</v>
      </c>
      <c r="B3" s="1124">
        <v>1990</v>
      </c>
      <c r="C3" s="16">
        <v>773</v>
      </c>
      <c r="E3" s="52" t="s">
        <v>24</v>
      </c>
      <c r="F3" s="1124">
        <v>1991</v>
      </c>
      <c r="G3" s="16">
        <v>442</v>
      </c>
    </row>
    <row r="4" spans="1:7" ht="13">
      <c r="B4" s="1124">
        <v>1991</v>
      </c>
      <c r="C4" s="16">
        <v>1078</v>
      </c>
      <c r="E4" s="17"/>
      <c r="F4" s="1124">
        <v>1992</v>
      </c>
      <c r="G4" s="16">
        <v>288</v>
      </c>
    </row>
    <row r="5" spans="1:7" ht="13">
      <c r="B5" s="1124">
        <v>1992</v>
      </c>
      <c r="C5" s="16">
        <v>931</v>
      </c>
      <c r="E5" s="17"/>
      <c r="F5" s="1124">
        <v>1993</v>
      </c>
      <c r="G5" s="18">
        <v>504</v>
      </c>
    </row>
    <row r="6" spans="1:7">
      <c r="B6" s="1124">
        <v>1993</v>
      </c>
      <c r="C6" s="18">
        <v>1253</v>
      </c>
      <c r="E6" s="17"/>
      <c r="F6" s="1124">
        <v>1994</v>
      </c>
      <c r="G6" s="18">
        <v>382</v>
      </c>
    </row>
    <row r="7" spans="1:7">
      <c r="B7" s="1124">
        <v>1994</v>
      </c>
      <c r="C7" s="18">
        <v>1472</v>
      </c>
      <c r="E7" s="17"/>
      <c r="F7" s="1124">
        <v>1995</v>
      </c>
      <c r="G7" s="18">
        <v>474</v>
      </c>
    </row>
    <row r="8" spans="1:7">
      <c r="B8" s="1124">
        <v>1995</v>
      </c>
      <c r="C8" s="18">
        <v>1932</v>
      </c>
      <c r="E8" s="17"/>
      <c r="F8" s="1124">
        <v>1996</v>
      </c>
      <c r="G8" s="19">
        <v>577.75</v>
      </c>
    </row>
    <row r="9" spans="1:7">
      <c r="B9" s="1124">
        <v>1996</v>
      </c>
      <c r="C9" s="19">
        <v>1367.4375</v>
      </c>
      <c r="E9" s="17"/>
      <c r="F9" s="1124">
        <v>1997</v>
      </c>
      <c r="G9" s="18">
        <v>392.83071428571424</v>
      </c>
    </row>
    <row r="10" spans="1:7">
      <c r="B10" s="1124">
        <v>1997</v>
      </c>
      <c r="C10" s="18">
        <v>798.58375000000012</v>
      </c>
      <c r="E10" s="17"/>
      <c r="F10" s="1124">
        <v>1998</v>
      </c>
      <c r="G10" s="18">
        <v>388</v>
      </c>
    </row>
    <row r="11" spans="1:7">
      <c r="B11" s="1124">
        <v>1998</v>
      </c>
      <c r="C11" s="18">
        <v>525</v>
      </c>
      <c r="E11" s="17"/>
      <c r="F11" s="1124">
        <v>1999</v>
      </c>
      <c r="G11" s="18">
        <v>224</v>
      </c>
    </row>
    <row r="12" spans="1:7">
      <c r="B12" s="1124">
        <v>1999</v>
      </c>
      <c r="C12" s="18">
        <v>521</v>
      </c>
      <c r="E12" s="17"/>
      <c r="F12" s="1124">
        <v>2000</v>
      </c>
      <c r="G12" s="18">
        <v>431</v>
      </c>
    </row>
    <row r="13" spans="1:7">
      <c r="B13" s="1124">
        <v>2000</v>
      </c>
      <c r="C13" s="18">
        <v>1483</v>
      </c>
      <c r="E13" s="17"/>
      <c r="F13" s="1124">
        <v>2001</v>
      </c>
      <c r="G13" s="18">
        <v>401</v>
      </c>
    </row>
    <row r="14" spans="1:7">
      <c r="B14" s="1124">
        <v>2001</v>
      </c>
      <c r="C14" s="18">
        <v>974</v>
      </c>
      <c r="E14" s="17"/>
      <c r="F14" s="1124">
        <v>2002</v>
      </c>
      <c r="G14" s="18">
        <v>289</v>
      </c>
    </row>
    <row r="15" spans="1:7">
      <c r="B15" s="1124">
        <v>2002</v>
      </c>
      <c r="C15" s="18">
        <v>4314</v>
      </c>
      <c r="F15" s="1124">
        <v>2003</v>
      </c>
      <c r="G15" s="18">
        <v>268</v>
      </c>
    </row>
    <row r="16" spans="1:7">
      <c r="B16" s="1124">
        <v>2003</v>
      </c>
      <c r="C16" s="20">
        <v>1757</v>
      </c>
      <c r="F16" s="1124">
        <v>2004</v>
      </c>
      <c r="G16" s="18">
        <v>268</v>
      </c>
    </row>
    <row r="17" spans="1:7">
      <c r="B17" s="1124">
        <v>2004</v>
      </c>
      <c r="C17" s="20">
        <v>444</v>
      </c>
      <c r="F17" s="1124">
        <v>2005</v>
      </c>
      <c r="G17" s="18">
        <v>186</v>
      </c>
    </row>
    <row r="18" spans="1:7">
      <c r="B18" s="1124">
        <v>2005</v>
      </c>
      <c r="C18" s="20">
        <v>1100</v>
      </c>
      <c r="F18" s="1124">
        <v>2006</v>
      </c>
      <c r="G18" s="18">
        <v>158</v>
      </c>
    </row>
    <row r="19" spans="1:7">
      <c r="B19" s="1124">
        <v>2006</v>
      </c>
      <c r="C19" s="20">
        <v>1570</v>
      </c>
      <c r="F19" s="1124">
        <v>2007</v>
      </c>
      <c r="G19" s="18">
        <v>222</v>
      </c>
    </row>
    <row r="20" spans="1:7">
      <c r="B20" s="1124">
        <v>2007</v>
      </c>
      <c r="C20" s="20">
        <v>747</v>
      </c>
      <c r="F20" s="1124">
        <v>2008</v>
      </c>
      <c r="G20" s="18">
        <v>233</v>
      </c>
    </row>
    <row r="21" spans="1:7">
      <c r="B21" s="1124">
        <v>2008</v>
      </c>
      <c r="C21" s="20">
        <v>1093</v>
      </c>
      <c r="F21" s="1124">
        <v>2009</v>
      </c>
      <c r="G21" s="18">
        <v>291</v>
      </c>
    </row>
    <row r="22" spans="1:7">
      <c r="B22" s="1124">
        <v>2009</v>
      </c>
      <c r="C22" s="20">
        <v>322</v>
      </c>
      <c r="F22" s="1124">
        <v>2010</v>
      </c>
      <c r="G22" s="18">
        <v>287</v>
      </c>
    </row>
    <row r="23" spans="1:7">
      <c r="B23" s="1124">
        <v>2010</v>
      </c>
      <c r="C23" s="20">
        <v>1296</v>
      </c>
      <c r="F23" s="1124">
        <v>2011</v>
      </c>
      <c r="G23" s="18">
        <v>158</v>
      </c>
    </row>
    <row r="24" spans="1:7">
      <c r="B24" s="1124">
        <v>2011</v>
      </c>
      <c r="C24" s="20">
        <v>760</v>
      </c>
      <c r="F24" s="1124">
        <v>2012</v>
      </c>
      <c r="G24" s="18">
        <v>165</v>
      </c>
    </row>
    <row r="25" spans="1:7">
      <c r="B25" s="1124">
        <v>2012</v>
      </c>
      <c r="C25" s="20">
        <v>1024</v>
      </c>
      <c r="F25" s="1124">
        <v>2013</v>
      </c>
      <c r="G25" s="18">
        <v>161</v>
      </c>
    </row>
    <row r="26" spans="1:7">
      <c r="B26" s="1124">
        <v>2013</v>
      </c>
      <c r="C26" s="20">
        <v>800</v>
      </c>
      <c r="F26" s="1124"/>
    </row>
    <row r="27" spans="1:7">
      <c r="B27" s="1130"/>
      <c r="F27" s="1130"/>
    </row>
    <row r="28" spans="1:7" ht="13">
      <c r="A28" s="15" t="s">
        <v>22</v>
      </c>
      <c r="B28" s="1124">
        <v>1992</v>
      </c>
      <c r="C28" s="16">
        <v>423</v>
      </c>
      <c r="E28" s="52" t="s">
        <v>25</v>
      </c>
      <c r="F28" s="1124">
        <v>1991</v>
      </c>
      <c r="G28" s="16">
        <v>381</v>
      </c>
    </row>
    <row r="29" spans="1:7" ht="13">
      <c r="B29" s="1124">
        <v>1993</v>
      </c>
      <c r="C29" s="19">
        <v>528</v>
      </c>
      <c r="E29" s="17"/>
      <c r="F29" s="1124">
        <v>1992</v>
      </c>
      <c r="G29" s="16">
        <v>282</v>
      </c>
    </row>
    <row r="30" spans="1:7" ht="13">
      <c r="B30" s="1124">
        <v>1994</v>
      </c>
      <c r="C30" s="16">
        <v>505</v>
      </c>
      <c r="E30" s="17"/>
      <c r="F30" s="1124">
        <v>1993</v>
      </c>
      <c r="G30" s="18">
        <v>451</v>
      </c>
    </row>
    <row r="31" spans="1:7">
      <c r="B31" s="1124">
        <v>1995</v>
      </c>
      <c r="C31" s="18">
        <v>584</v>
      </c>
      <c r="E31" s="17"/>
      <c r="F31" s="1124">
        <v>1994</v>
      </c>
      <c r="G31" s="18">
        <v>356</v>
      </c>
    </row>
    <row r="32" spans="1:7">
      <c r="B32" s="1124">
        <v>1996</v>
      </c>
      <c r="C32" s="18">
        <v>807</v>
      </c>
      <c r="E32" s="17"/>
      <c r="F32" s="1124">
        <v>1995</v>
      </c>
      <c r="G32" s="18">
        <v>502</v>
      </c>
    </row>
    <row r="33" spans="1:7">
      <c r="B33" s="1124">
        <v>1997</v>
      </c>
      <c r="C33" s="18">
        <v>536</v>
      </c>
      <c r="E33" s="17"/>
      <c r="F33" s="1124">
        <v>1996</v>
      </c>
      <c r="G33" s="19">
        <v>589.25</v>
      </c>
    </row>
    <row r="34" spans="1:7">
      <c r="B34" s="1124">
        <v>1998</v>
      </c>
      <c r="C34" s="18">
        <v>452</v>
      </c>
      <c r="E34" s="17"/>
      <c r="F34" s="1124">
        <v>1997</v>
      </c>
      <c r="G34" s="18">
        <v>365.20642857142866</v>
      </c>
    </row>
    <row r="35" spans="1:7">
      <c r="B35" s="1124">
        <v>1999</v>
      </c>
      <c r="C35" s="18">
        <v>256</v>
      </c>
      <c r="E35" s="17"/>
      <c r="F35" s="1124">
        <v>1998</v>
      </c>
      <c r="G35" s="18">
        <v>372</v>
      </c>
    </row>
    <row r="36" spans="1:7">
      <c r="B36" s="1124">
        <v>2000</v>
      </c>
      <c r="C36" s="18">
        <v>536</v>
      </c>
      <c r="E36" s="17"/>
      <c r="F36" s="1124">
        <v>1999</v>
      </c>
      <c r="G36" s="18">
        <v>220</v>
      </c>
    </row>
    <row r="37" spans="1:7">
      <c r="B37" s="1124">
        <v>2001</v>
      </c>
      <c r="C37" s="18">
        <v>417</v>
      </c>
      <c r="E37" s="17"/>
      <c r="F37" s="1124">
        <v>2000</v>
      </c>
      <c r="G37" s="18">
        <v>443</v>
      </c>
    </row>
    <row r="38" spans="1:7">
      <c r="B38" s="1124">
        <v>2002</v>
      </c>
      <c r="C38" s="20">
        <v>371</v>
      </c>
      <c r="E38" s="17"/>
      <c r="F38" s="1124">
        <v>2001</v>
      </c>
      <c r="G38" s="18">
        <v>395</v>
      </c>
    </row>
    <row r="39" spans="1:7">
      <c r="B39" s="1124">
        <v>2003</v>
      </c>
      <c r="C39" s="20">
        <v>416</v>
      </c>
      <c r="E39" s="17"/>
      <c r="F39" s="1124">
        <v>2002</v>
      </c>
      <c r="G39" s="18">
        <v>288</v>
      </c>
    </row>
    <row r="40" spans="1:7">
      <c r="B40" s="1124">
        <v>2004</v>
      </c>
      <c r="C40" s="20">
        <v>259</v>
      </c>
      <c r="F40" s="1124">
        <v>2003</v>
      </c>
      <c r="G40" s="18">
        <v>271</v>
      </c>
    </row>
    <row r="41" spans="1:7">
      <c r="A41" s="15" t="s">
        <v>132</v>
      </c>
      <c r="B41" s="1124">
        <v>2005</v>
      </c>
      <c r="C41" s="20">
        <v>375</v>
      </c>
      <c r="F41" s="1124">
        <v>2004</v>
      </c>
      <c r="G41" s="18">
        <v>249</v>
      </c>
    </row>
    <row r="42" spans="1:7">
      <c r="B42" s="1124">
        <v>2006</v>
      </c>
      <c r="C42" s="20">
        <v>435</v>
      </c>
      <c r="F42" s="1124">
        <v>2005</v>
      </c>
      <c r="G42" s="18">
        <v>198</v>
      </c>
    </row>
    <row r="43" spans="1:7">
      <c r="B43" s="1124">
        <v>2007</v>
      </c>
      <c r="C43" s="20">
        <v>314</v>
      </c>
      <c r="F43" s="1124">
        <v>2006</v>
      </c>
      <c r="G43" s="18">
        <v>150</v>
      </c>
    </row>
    <row r="44" spans="1:7">
      <c r="B44" s="1124">
        <v>2008</v>
      </c>
      <c r="F44" s="1124">
        <v>2007</v>
      </c>
      <c r="G44" s="18">
        <v>233</v>
      </c>
    </row>
    <row r="45" spans="1:7">
      <c r="B45" s="1124">
        <v>2009</v>
      </c>
      <c r="F45" s="1124"/>
    </row>
    <row r="46" spans="1:7">
      <c r="B46" s="1124">
        <v>2010</v>
      </c>
      <c r="F46" s="1124"/>
    </row>
    <row r="47" spans="1:7">
      <c r="B47" s="1130"/>
      <c r="F47" s="1124"/>
    </row>
    <row r="48" spans="1:7">
      <c r="B48" s="1130"/>
      <c r="F48" s="1131"/>
    </row>
    <row r="49" spans="1:7" ht="13">
      <c r="A49" s="22" t="s">
        <v>19</v>
      </c>
      <c r="B49" s="1124">
        <v>1990</v>
      </c>
      <c r="C49" s="16">
        <v>1121</v>
      </c>
      <c r="E49" s="52" t="s">
        <v>26</v>
      </c>
      <c r="F49" s="1124">
        <v>1991</v>
      </c>
      <c r="G49" s="16">
        <v>341</v>
      </c>
    </row>
    <row r="50" spans="1:7" ht="13">
      <c r="A50" s="21"/>
      <c r="B50" s="1124">
        <v>1991</v>
      </c>
      <c r="C50" s="16">
        <v>1590</v>
      </c>
      <c r="E50" s="17"/>
      <c r="F50" s="1124">
        <v>1992</v>
      </c>
      <c r="G50" s="16">
        <v>228</v>
      </c>
    </row>
    <row r="51" spans="1:7" ht="13">
      <c r="A51" s="21"/>
      <c r="B51" s="1124">
        <v>1992</v>
      </c>
      <c r="C51" s="16">
        <v>2941</v>
      </c>
      <c r="E51" s="17"/>
      <c r="F51" s="1124">
        <v>1993</v>
      </c>
      <c r="G51" s="18">
        <v>332</v>
      </c>
    </row>
    <row r="52" spans="1:7" ht="13">
      <c r="A52" s="21"/>
      <c r="B52" s="1124">
        <v>1993</v>
      </c>
      <c r="C52" s="18">
        <v>1224</v>
      </c>
      <c r="E52" s="17"/>
      <c r="F52" s="1124">
        <v>1994</v>
      </c>
      <c r="G52" s="18">
        <v>308</v>
      </c>
    </row>
    <row r="53" spans="1:7" ht="13">
      <c r="A53" s="21"/>
      <c r="B53" s="1124">
        <v>1994</v>
      </c>
      <c r="C53" s="18">
        <v>963</v>
      </c>
      <c r="E53" s="17"/>
      <c r="F53" s="1124">
        <v>1995</v>
      </c>
      <c r="G53" s="18">
        <v>503</v>
      </c>
    </row>
    <row r="54" spans="1:7" ht="13">
      <c r="A54" s="21"/>
      <c r="B54" s="1124">
        <v>1995</v>
      </c>
      <c r="C54" s="18">
        <v>476</v>
      </c>
      <c r="E54" s="17"/>
      <c r="F54" s="1124">
        <v>1996</v>
      </c>
      <c r="G54" s="19">
        <v>560.9375</v>
      </c>
    </row>
    <row r="55" spans="1:7" ht="13">
      <c r="A55" s="21"/>
      <c r="B55" s="1124">
        <v>1996</v>
      </c>
      <c r="C55" s="19">
        <v>618.3125</v>
      </c>
      <c r="E55" s="17"/>
      <c r="F55" s="1124">
        <v>1997</v>
      </c>
      <c r="G55" s="18">
        <v>340.9935714285715</v>
      </c>
    </row>
    <row r="56" spans="1:7" ht="13">
      <c r="A56" s="21"/>
      <c r="B56" s="1124">
        <v>1997</v>
      </c>
      <c r="C56" s="18">
        <v>419.54062500000003</v>
      </c>
      <c r="E56" s="17"/>
      <c r="F56" s="1124">
        <v>1998</v>
      </c>
      <c r="G56" s="18">
        <v>342</v>
      </c>
    </row>
    <row r="57" spans="1:7" ht="13">
      <c r="A57" s="21"/>
      <c r="B57" s="1124">
        <v>1998</v>
      </c>
      <c r="C57" s="18">
        <v>536</v>
      </c>
      <c r="E57" s="17"/>
      <c r="F57" s="1124">
        <v>1999</v>
      </c>
      <c r="G57" s="18">
        <v>231</v>
      </c>
    </row>
    <row r="58" spans="1:7" ht="13">
      <c r="A58" s="21"/>
      <c r="B58" s="1124">
        <v>1999</v>
      </c>
      <c r="C58" s="18">
        <v>192</v>
      </c>
      <c r="E58" s="17"/>
      <c r="F58" s="1124">
        <v>2000</v>
      </c>
      <c r="G58" s="18">
        <v>483</v>
      </c>
    </row>
    <row r="59" spans="1:7" ht="13">
      <c r="A59" s="21"/>
      <c r="B59" s="1124">
        <v>2000</v>
      </c>
      <c r="C59" s="18">
        <v>803</v>
      </c>
      <c r="E59" s="17"/>
      <c r="F59" s="1124">
        <v>2001</v>
      </c>
      <c r="G59" s="18">
        <v>390</v>
      </c>
    </row>
    <row r="60" spans="1:7" ht="13">
      <c r="A60" s="21"/>
      <c r="B60" s="1124">
        <v>2001</v>
      </c>
      <c r="C60" s="18">
        <v>486</v>
      </c>
      <c r="E60" s="17"/>
      <c r="F60" s="1124">
        <v>2002</v>
      </c>
      <c r="G60" s="18">
        <v>268</v>
      </c>
    </row>
    <row r="61" spans="1:7" ht="13">
      <c r="A61" s="21"/>
      <c r="B61" s="1124">
        <v>2002</v>
      </c>
      <c r="C61" s="18">
        <v>686</v>
      </c>
      <c r="F61" s="1124">
        <v>2003</v>
      </c>
      <c r="G61" s="18">
        <v>259</v>
      </c>
    </row>
    <row r="62" spans="1:7">
      <c r="B62" s="1124">
        <v>2003</v>
      </c>
      <c r="C62" s="20">
        <v>764</v>
      </c>
      <c r="F62" s="1124">
        <v>2004</v>
      </c>
      <c r="G62" s="18">
        <v>224</v>
      </c>
    </row>
    <row r="63" spans="1:7">
      <c r="B63" s="1124">
        <v>2004</v>
      </c>
      <c r="C63" s="20">
        <v>385</v>
      </c>
      <c r="F63" s="1124">
        <v>2005</v>
      </c>
      <c r="G63" s="18">
        <v>210</v>
      </c>
    </row>
    <row r="64" spans="1:7">
      <c r="B64" s="1124">
        <v>2005</v>
      </c>
      <c r="C64" s="20">
        <v>481</v>
      </c>
      <c r="F64" s="1124">
        <v>2006</v>
      </c>
      <c r="G64" s="18">
        <v>151</v>
      </c>
    </row>
    <row r="65" spans="1:7">
      <c r="B65" s="1124">
        <v>2006</v>
      </c>
      <c r="C65" s="20">
        <v>419</v>
      </c>
      <c r="F65" s="1124">
        <v>2007</v>
      </c>
      <c r="G65" s="18">
        <v>232</v>
      </c>
    </row>
    <row r="66" spans="1:7">
      <c r="B66" s="1124">
        <v>2007</v>
      </c>
      <c r="C66" s="20">
        <v>410</v>
      </c>
      <c r="F66" s="1124">
        <v>2008</v>
      </c>
      <c r="G66" s="18">
        <v>230</v>
      </c>
    </row>
    <row r="67" spans="1:7">
      <c r="B67" s="1124">
        <v>2008</v>
      </c>
      <c r="C67" s="20">
        <v>671</v>
      </c>
      <c r="F67" s="1124">
        <v>2009</v>
      </c>
      <c r="G67" s="18">
        <v>244</v>
      </c>
    </row>
    <row r="68" spans="1:7">
      <c r="B68" s="1124">
        <v>2009</v>
      </c>
      <c r="C68" s="20">
        <v>1018</v>
      </c>
      <c r="F68" s="1124">
        <v>2010</v>
      </c>
      <c r="G68" s="18">
        <v>222</v>
      </c>
    </row>
    <row r="69" spans="1:7">
      <c r="B69" s="1124">
        <v>2010</v>
      </c>
      <c r="C69" s="20">
        <v>569</v>
      </c>
      <c r="F69" s="1124">
        <v>2011</v>
      </c>
      <c r="G69" s="18">
        <v>186</v>
      </c>
    </row>
    <row r="70" spans="1:7">
      <c r="B70" s="1124">
        <v>2011</v>
      </c>
      <c r="C70" s="20">
        <v>433</v>
      </c>
      <c r="F70" s="1124">
        <v>2012</v>
      </c>
      <c r="G70" s="18">
        <v>101.8</v>
      </c>
    </row>
    <row r="71" spans="1:7">
      <c r="B71" s="1124">
        <v>2012</v>
      </c>
      <c r="C71" s="20">
        <v>445</v>
      </c>
      <c r="F71" s="1129">
        <v>2013</v>
      </c>
      <c r="G71" s="18">
        <v>144</v>
      </c>
    </row>
    <row r="72" spans="1:7">
      <c r="B72" s="1124">
        <v>2013</v>
      </c>
      <c r="C72" s="20">
        <v>443</v>
      </c>
      <c r="F72" s="1132"/>
    </row>
    <row r="73" spans="1:7">
      <c r="B73" s="1130"/>
      <c r="F73" s="1132"/>
    </row>
    <row r="74" spans="1:7" ht="15.5">
      <c r="A74" s="1176" t="s">
        <v>51</v>
      </c>
      <c r="B74" s="1176"/>
      <c r="C74" s="1176"/>
      <c r="D74" s="1176"/>
      <c r="E74" s="1176"/>
      <c r="F74" s="1176"/>
      <c r="G74" s="1176"/>
    </row>
    <row r="75" spans="1:7" ht="13">
      <c r="B75" s="186" t="s">
        <v>50</v>
      </c>
      <c r="C75" s="186" t="s">
        <v>17</v>
      </c>
      <c r="F75" s="186" t="s">
        <v>50</v>
      </c>
      <c r="G75" s="186" t="s">
        <v>17</v>
      </c>
    </row>
    <row r="76" spans="1:7" ht="13">
      <c r="A76" s="15" t="s">
        <v>18</v>
      </c>
      <c r="B76" s="1124">
        <v>1990</v>
      </c>
      <c r="C76" s="18"/>
      <c r="E76" s="15" t="s">
        <v>28</v>
      </c>
      <c r="F76" s="1124">
        <v>1991</v>
      </c>
      <c r="G76" s="16">
        <v>589</v>
      </c>
    </row>
    <row r="77" spans="1:7" ht="13">
      <c r="B77" s="1124">
        <v>1991</v>
      </c>
      <c r="C77" s="18">
        <f t="shared" ref="C77:C88" si="0">(G3+G28+G49)/3</f>
        <v>388</v>
      </c>
      <c r="E77" s="17"/>
      <c r="F77" s="1124">
        <v>1992</v>
      </c>
      <c r="G77" s="16">
        <v>325</v>
      </c>
    </row>
    <row r="78" spans="1:7">
      <c r="B78" s="1124">
        <v>1992</v>
      </c>
      <c r="C78" s="18">
        <f t="shared" si="0"/>
        <v>266</v>
      </c>
      <c r="E78" s="17"/>
      <c r="F78" s="1124">
        <v>1993</v>
      </c>
      <c r="G78" s="18">
        <v>431</v>
      </c>
    </row>
    <row r="79" spans="1:7">
      <c r="B79" s="1124">
        <v>1993</v>
      </c>
      <c r="C79" s="18">
        <f t="shared" si="0"/>
        <v>429</v>
      </c>
      <c r="E79" s="17"/>
      <c r="F79" s="1124">
        <v>1994</v>
      </c>
      <c r="G79" s="18">
        <v>351</v>
      </c>
    </row>
    <row r="80" spans="1:7">
      <c r="B80" s="1124">
        <v>1994</v>
      </c>
      <c r="C80" s="18">
        <f t="shared" si="0"/>
        <v>348.66666666666669</v>
      </c>
      <c r="E80" s="17"/>
      <c r="F80" s="1124">
        <v>1995</v>
      </c>
      <c r="G80" s="18">
        <v>491</v>
      </c>
    </row>
    <row r="81" spans="2:10">
      <c r="B81" s="1124">
        <v>1995</v>
      </c>
      <c r="C81" s="18">
        <f t="shared" si="0"/>
        <v>493</v>
      </c>
      <c r="E81" s="17"/>
      <c r="F81" s="1124">
        <v>1996</v>
      </c>
      <c r="G81" s="19">
        <v>579.375</v>
      </c>
    </row>
    <row r="82" spans="2:10">
      <c r="B82" s="1124">
        <v>1996</v>
      </c>
      <c r="C82" s="18">
        <f t="shared" si="0"/>
        <v>575.97916666666663</v>
      </c>
      <c r="E82" s="17"/>
      <c r="F82" s="1124">
        <v>1997</v>
      </c>
      <c r="G82" s="18">
        <v>520.40125</v>
      </c>
    </row>
    <row r="83" spans="2:10">
      <c r="B83" s="1124">
        <v>1997</v>
      </c>
      <c r="C83" s="18">
        <f t="shared" si="0"/>
        <v>366.34357142857152</v>
      </c>
      <c r="E83" s="17"/>
      <c r="F83" s="1124">
        <v>1998</v>
      </c>
      <c r="G83" s="18">
        <v>405</v>
      </c>
    </row>
    <row r="84" spans="2:10">
      <c r="B84" s="1124">
        <v>1998</v>
      </c>
      <c r="C84" s="18">
        <f t="shared" si="0"/>
        <v>367.33333333333331</v>
      </c>
      <c r="E84" s="17"/>
      <c r="F84" s="1124">
        <v>1999</v>
      </c>
      <c r="G84" s="18">
        <v>226</v>
      </c>
    </row>
    <row r="85" spans="2:10">
      <c r="B85" s="1124">
        <v>1999</v>
      </c>
      <c r="C85" s="18">
        <f t="shared" si="0"/>
        <v>225</v>
      </c>
      <c r="E85" s="17"/>
      <c r="F85" s="1124">
        <v>2000</v>
      </c>
      <c r="G85" s="18">
        <v>437</v>
      </c>
    </row>
    <row r="86" spans="2:10">
      <c r="B86" s="1124">
        <v>2000</v>
      </c>
      <c r="C86" s="18">
        <f t="shared" si="0"/>
        <v>452.33333333333331</v>
      </c>
      <c r="D86" s="23"/>
      <c r="E86" s="17"/>
      <c r="F86" s="1124">
        <v>2001</v>
      </c>
      <c r="G86" s="18">
        <v>388</v>
      </c>
      <c r="H86" s="23"/>
      <c r="I86" s="23"/>
      <c r="J86" s="23"/>
    </row>
    <row r="87" spans="2:10">
      <c r="B87" s="1124">
        <v>2001</v>
      </c>
      <c r="C87" s="18">
        <f t="shared" si="0"/>
        <v>395.33333333333331</v>
      </c>
      <c r="D87" s="23"/>
      <c r="E87" s="17"/>
      <c r="F87" s="1124">
        <v>2002</v>
      </c>
      <c r="G87" s="18">
        <v>280</v>
      </c>
      <c r="H87" s="23"/>
      <c r="I87" s="23"/>
      <c r="J87" s="23"/>
    </row>
    <row r="88" spans="2:10">
      <c r="B88" s="1124">
        <v>2002</v>
      </c>
      <c r="C88" s="18">
        <f t="shared" si="0"/>
        <v>281.66666666666669</v>
      </c>
      <c r="D88" s="23"/>
      <c r="E88" s="23"/>
      <c r="F88" s="1124">
        <v>2003</v>
      </c>
      <c r="G88" s="18">
        <v>268</v>
      </c>
      <c r="H88" s="23"/>
      <c r="I88" s="23"/>
      <c r="J88" s="23"/>
    </row>
    <row r="89" spans="2:10">
      <c r="B89" s="1124">
        <v>2003</v>
      </c>
      <c r="C89" s="20">
        <v>268</v>
      </c>
      <c r="D89" s="23"/>
      <c r="E89" s="23"/>
      <c r="F89" s="1124">
        <v>2004</v>
      </c>
      <c r="G89" s="19">
        <v>247</v>
      </c>
      <c r="H89" s="23"/>
      <c r="I89" s="23"/>
      <c r="J89" s="23"/>
    </row>
    <row r="90" spans="2:10">
      <c r="B90" s="1124">
        <v>2004</v>
      </c>
      <c r="C90" s="20">
        <v>247</v>
      </c>
      <c r="D90" s="23"/>
      <c r="E90" s="23"/>
      <c r="F90" s="1124">
        <v>2005</v>
      </c>
      <c r="G90" s="19">
        <v>233</v>
      </c>
      <c r="H90" s="23"/>
      <c r="I90" s="23"/>
      <c r="J90" s="23"/>
    </row>
    <row r="91" spans="2:10">
      <c r="B91" s="1124">
        <v>2005</v>
      </c>
      <c r="C91" s="20">
        <v>207</v>
      </c>
      <c r="D91" s="23"/>
      <c r="E91" s="23"/>
      <c r="F91" s="1124">
        <v>2006</v>
      </c>
      <c r="G91" s="19">
        <v>196</v>
      </c>
      <c r="H91" s="23"/>
      <c r="I91" s="23"/>
      <c r="J91" s="23"/>
    </row>
    <row r="92" spans="2:10">
      <c r="B92" s="1124">
        <v>2006</v>
      </c>
      <c r="C92" s="20">
        <v>153</v>
      </c>
      <c r="D92" s="23"/>
      <c r="E92" s="23"/>
      <c r="F92" s="1124">
        <v>2007</v>
      </c>
      <c r="G92" s="19">
        <v>261</v>
      </c>
      <c r="H92" s="23"/>
      <c r="I92" s="23"/>
      <c r="J92" s="23"/>
    </row>
    <row r="93" spans="2:10">
      <c r="B93" s="1124">
        <v>2007</v>
      </c>
      <c r="C93" s="20">
        <v>229</v>
      </c>
      <c r="D93" s="23"/>
      <c r="E93" s="23"/>
      <c r="F93" s="1124">
        <v>2008</v>
      </c>
      <c r="G93" s="19">
        <v>220</v>
      </c>
      <c r="H93" s="23"/>
      <c r="I93" s="23"/>
      <c r="J93" s="23"/>
    </row>
    <row r="94" spans="2:10">
      <c r="B94" s="1124">
        <v>2008</v>
      </c>
      <c r="C94" s="20">
        <v>232</v>
      </c>
      <c r="D94" s="23"/>
      <c r="E94" s="23"/>
      <c r="F94" s="1124">
        <v>2009</v>
      </c>
      <c r="G94" s="19">
        <v>280</v>
      </c>
      <c r="H94" s="23"/>
      <c r="I94" s="23"/>
      <c r="J94" s="23"/>
    </row>
    <row r="95" spans="2:10">
      <c r="B95" s="1124">
        <v>2009</v>
      </c>
      <c r="C95" s="20">
        <v>267</v>
      </c>
      <c r="D95" s="23"/>
      <c r="E95" s="23"/>
      <c r="F95" s="1124">
        <v>2010</v>
      </c>
      <c r="G95" s="19">
        <v>278</v>
      </c>
      <c r="H95" s="23"/>
      <c r="I95" s="23"/>
      <c r="J95" s="23"/>
    </row>
    <row r="96" spans="2:10">
      <c r="B96" s="1124">
        <v>2010</v>
      </c>
      <c r="C96" s="20">
        <v>254</v>
      </c>
      <c r="D96" s="23"/>
      <c r="E96" s="23"/>
      <c r="F96" s="1124">
        <v>2011</v>
      </c>
      <c r="G96" s="19">
        <v>173</v>
      </c>
      <c r="H96" s="23"/>
      <c r="I96" s="23"/>
      <c r="J96" s="23"/>
    </row>
    <row r="97" spans="1:10">
      <c r="B97" s="1124">
        <v>2011</v>
      </c>
      <c r="C97" s="20">
        <v>172</v>
      </c>
      <c r="D97" s="23"/>
      <c r="E97" s="23"/>
      <c r="F97" s="1124">
        <v>2012</v>
      </c>
      <c r="G97" s="19">
        <v>167</v>
      </c>
      <c r="H97" s="23"/>
      <c r="I97" s="23"/>
      <c r="J97" s="23"/>
    </row>
    <row r="98" spans="1:10">
      <c r="B98" s="1124">
        <v>2012</v>
      </c>
      <c r="C98" s="20">
        <v>133.5</v>
      </c>
      <c r="D98" s="23"/>
      <c r="E98" s="23"/>
      <c r="F98" s="1129">
        <v>2013</v>
      </c>
      <c r="G98" s="19">
        <v>162</v>
      </c>
      <c r="H98" s="23"/>
      <c r="I98" s="23"/>
      <c r="J98" s="23"/>
    </row>
    <row r="99" spans="1:10">
      <c r="B99" s="1124">
        <v>2013</v>
      </c>
      <c r="C99" s="20">
        <v>153</v>
      </c>
      <c r="D99" s="23"/>
      <c r="E99" s="23"/>
      <c r="F99" s="1133"/>
      <c r="G99" s="23"/>
      <c r="H99" s="23"/>
      <c r="I99" s="23"/>
      <c r="J99" s="23"/>
    </row>
    <row r="100" spans="1:10">
      <c r="B100" s="1130"/>
      <c r="D100" s="23"/>
      <c r="E100" s="23"/>
      <c r="F100" s="1062"/>
      <c r="G100" s="23"/>
      <c r="H100" s="23"/>
      <c r="I100" s="23"/>
      <c r="J100" s="23"/>
    </row>
    <row r="101" spans="1:10">
      <c r="A101" s="15" t="s">
        <v>53</v>
      </c>
      <c r="B101" s="1124">
        <v>1990</v>
      </c>
      <c r="C101" s="18"/>
      <c r="D101" s="23"/>
      <c r="E101" s="15" t="s">
        <v>52</v>
      </c>
      <c r="F101" s="1124">
        <v>1991</v>
      </c>
      <c r="G101" s="18">
        <f t="shared" ref="G101:G123" si="1">C102-G76</f>
        <v>745</v>
      </c>
      <c r="H101" s="23"/>
      <c r="I101" s="23"/>
      <c r="J101" s="23"/>
    </row>
    <row r="102" spans="1:10">
      <c r="B102" s="1124">
        <v>1991</v>
      </c>
      <c r="C102" s="18">
        <f t="shared" ref="C102:C124" si="2">(C4+C50)/2</f>
        <v>1334</v>
      </c>
      <c r="D102" s="23"/>
      <c r="E102" s="17"/>
      <c r="F102" s="1124">
        <v>1992</v>
      </c>
      <c r="G102" s="18">
        <f t="shared" si="1"/>
        <v>1611</v>
      </c>
      <c r="H102" s="23"/>
      <c r="I102" s="23"/>
      <c r="J102" s="23"/>
    </row>
    <row r="103" spans="1:10">
      <c r="B103" s="1124">
        <v>1992</v>
      </c>
      <c r="C103" s="18">
        <f t="shared" si="2"/>
        <v>1936</v>
      </c>
      <c r="D103" s="23"/>
      <c r="E103" s="17"/>
      <c r="F103" s="1124">
        <v>1993</v>
      </c>
      <c r="G103" s="18">
        <f t="shared" si="1"/>
        <v>807.5</v>
      </c>
      <c r="H103" s="23"/>
      <c r="I103" s="23"/>
      <c r="J103" s="23"/>
    </row>
    <row r="104" spans="1:10">
      <c r="B104" s="1124">
        <v>1993</v>
      </c>
      <c r="C104" s="18">
        <f t="shared" si="2"/>
        <v>1238.5</v>
      </c>
      <c r="D104" s="23"/>
      <c r="E104" s="17"/>
      <c r="F104" s="1124">
        <v>1994</v>
      </c>
      <c r="G104" s="18">
        <f t="shared" si="1"/>
        <v>866.5</v>
      </c>
      <c r="H104" s="23"/>
      <c r="I104" s="23"/>
      <c r="J104" s="23"/>
    </row>
    <row r="105" spans="1:10">
      <c r="B105" s="1124">
        <v>1994</v>
      </c>
      <c r="C105" s="18">
        <f t="shared" si="2"/>
        <v>1217.5</v>
      </c>
      <c r="D105" s="23"/>
      <c r="E105" s="17"/>
      <c r="F105" s="1124">
        <v>1995</v>
      </c>
      <c r="G105" s="18">
        <f t="shared" si="1"/>
        <v>713</v>
      </c>
      <c r="H105" s="23"/>
      <c r="I105" s="23"/>
      <c r="J105" s="23"/>
    </row>
    <row r="106" spans="1:10">
      <c r="B106" s="1124">
        <v>1995</v>
      </c>
      <c r="C106" s="18">
        <f t="shared" si="2"/>
        <v>1204</v>
      </c>
      <c r="D106" s="23"/>
      <c r="E106" s="17"/>
      <c r="F106" s="1124">
        <v>1996</v>
      </c>
      <c r="G106" s="18">
        <f t="shared" si="1"/>
        <v>413.5</v>
      </c>
      <c r="H106" s="23"/>
      <c r="I106" s="23"/>
      <c r="J106" s="23"/>
    </row>
    <row r="107" spans="1:10">
      <c r="B107" s="1124">
        <v>1996</v>
      </c>
      <c r="C107" s="18">
        <f t="shared" si="2"/>
        <v>992.875</v>
      </c>
      <c r="D107" s="23"/>
      <c r="E107" s="17"/>
      <c r="F107" s="1124">
        <v>1997</v>
      </c>
      <c r="G107" s="18">
        <f t="shared" si="1"/>
        <v>88.660937500000045</v>
      </c>
      <c r="H107" s="23"/>
      <c r="I107" s="23"/>
      <c r="J107" s="23"/>
    </row>
    <row r="108" spans="1:10">
      <c r="B108" s="1124">
        <v>1997</v>
      </c>
      <c r="C108" s="18">
        <f t="shared" si="2"/>
        <v>609.06218750000005</v>
      </c>
      <c r="E108" s="17"/>
      <c r="F108" s="1124">
        <v>1998</v>
      </c>
      <c r="G108" s="18">
        <f t="shared" si="1"/>
        <v>125.5</v>
      </c>
    </row>
    <row r="109" spans="1:10">
      <c r="B109" s="1124">
        <v>1998</v>
      </c>
      <c r="C109" s="18">
        <f t="shared" si="2"/>
        <v>530.5</v>
      </c>
      <c r="E109" s="17"/>
      <c r="F109" s="1124">
        <v>1999</v>
      </c>
      <c r="G109" s="18">
        <f t="shared" si="1"/>
        <v>130.5</v>
      </c>
    </row>
    <row r="110" spans="1:10">
      <c r="B110" s="1124">
        <v>1999</v>
      </c>
      <c r="C110" s="18">
        <f t="shared" si="2"/>
        <v>356.5</v>
      </c>
      <c r="E110" s="17"/>
      <c r="F110" s="1124">
        <v>2000</v>
      </c>
      <c r="G110" s="18">
        <f t="shared" si="1"/>
        <v>706</v>
      </c>
    </row>
    <row r="111" spans="1:10">
      <c r="B111" s="1124">
        <v>2000</v>
      </c>
      <c r="C111" s="18">
        <f t="shared" si="2"/>
        <v>1143</v>
      </c>
      <c r="E111" s="17"/>
      <c r="F111" s="1124">
        <v>2001</v>
      </c>
      <c r="G111" s="18">
        <f t="shared" si="1"/>
        <v>342</v>
      </c>
    </row>
    <row r="112" spans="1:10">
      <c r="B112" s="1124">
        <v>2001</v>
      </c>
      <c r="C112" s="18">
        <f t="shared" si="2"/>
        <v>730</v>
      </c>
      <c r="E112" s="17"/>
      <c r="F112" s="1124">
        <v>2002</v>
      </c>
      <c r="G112" s="18">
        <f t="shared" si="1"/>
        <v>2220</v>
      </c>
    </row>
    <row r="113" spans="2:7">
      <c r="B113" s="1124">
        <v>2002</v>
      </c>
      <c r="C113" s="18">
        <f t="shared" si="2"/>
        <v>2500</v>
      </c>
      <c r="F113" s="1124">
        <v>2003</v>
      </c>
      <c r="G113" s="18">
        <f t="shared" si="1"/>
        <v>992.5</v>
      </c>
    </row>
    <row r="114" spans="2:7">
      <c r="B114" s="1124">
        <v>2003</v>
      </c>
      <c r="C114" s="18">
        <f t="shared" si="2"/>
        <v>1260.5</v>
      </c>
      <c r="F114" s="1124">
        <v>2004</v>
      </c>
      <c r="G114" s="18">
        <f t="shared" si="1"/>
        <v>167.5</v>
      </c>
    </row>
    <row r="115" spans="2:7">
      <c r="B115" s="1124">
        <v>2004</v>
      </c>
      <c r="C115" s="18">
        <f t="shared" si="2"/>
        <v>414.5</v>
      </c>
      <c r="F115" s="1124">
        <v>2005</v>
      </c>
      <c r="G115" s="18">
        <f t="shared" si="1"/>
        <v>557.5</v>
      </c>
    </row>
    <row r="116" spans="2:7">
      <c r="B116" s="1124">
        <v>2005</v>
      </c>
      <c r="C116" s="18">
        <f t="shared" si="2"/>
        <v>790.5</v>
      </c>
      <c r="F116" s="1124">
        <v>2006</v>
      </c>
      <c r="G116" s="18">
        <f t="shared" si="1"/>
        <v>798.5</v>
      </c>
    </row>
    <row r="117" spans="2:7">
      <c r="B117" s="1124">
        <v>2006</v>
      </c>
      <c r="C117" s="18">
        <f t="shared" si="2"/>
        <v>994.5</v>
      </c>
      <c r="F117" s="1124">
        <v>2007</v>
      </c>
      <c r="G117" s="18">
        <f t="shared" si="1"/>
        <v>317.5</v>
      </c>
    </row>
    <row r="118" spans="2:7">
      <c r="B118" s="1124">
        <v>2007</v>
      </c>
      <c r="C118" s="18">
        <f t="shared" si="2"/>
        <v>578.5</v>
      </c>
      <c r="F118" s="1124">
        <v>2008</v>
      </c>
      <c r="G118" s="18">
        <f t="shared" si="1"/>
        <v>662</v>
      </c>
    </row>
    <row r="119" spans="2:7">
      <c r="B119" s="1124">
        <v>2008</v>
      </c>
      <c r="C119" s="18">
        <f t="shared" si="2"/>
        <v>882</v>
      </c>
      <c r="F119" s="1124">
        <v>2009</v>
      </c>
      <c r="G119" s="18">
        <f t="shared" si="1"/>
        <v>390</v>
      </c>
    </row>
    <row r="120" spans="2:7">
      <c r="B120" s="1124">
        <v>2009</v>
      </c>
      <c r="C120" s="18">
        <f t="shared" si="2"/>
        <v>670</v>
      </c>
      <c r="F120" s="1124">
        <v>2010</v>
      </c>
      <c r="G120" s="18">
        <f t="shared" si="1"/>
        <v>654.5</v>
      </c>
    </row>
    <row r="121" spans="2:7">
      <c r="B121" s="1124">
        <v>2010</v>
      </c>
      <c r="C121" s="18">
        <f t="shared" si="2"/>
        <v>932.5</v>
      </c>
      <c r="F121" s="1124">
        <v>2011</v>
      </c>
      <c r="G121" s="18">
        <f t="shared" si="1"/>
        <v>423.5</v>
      </c>
    </row>
    <row r="122" spans="2:7">
      <c r="B122" s="1124">
        <v>2011</v>
      </c>
      <c r="C122" s="18">
        <f t="shared" si="2"/>
        <v>596.5</v>
      </c>
      <c r="F122" s="1124">
        <v>2012</v>
      </c>
      <c r="G122" s="18">
        <f t="shared" si="1"/>
        <v>567.5</v>
      </c>
    </row>
    <row r="123" spans="2:7">
      <c r="B123" s="1124">
        <v>2012</v>
      </c>
      <c r="C123" s="18">
        <f t="shared" si="2"/>
        <v>734.5</v>
      </c>
      <c r="F123" s="1129">
        <v>2013</v>
      </c>
      <c r="G123" s="18">
        <f t="shared" si="1"/>
        <v>459.5</v>
      </c>
    </row>
    <row r="124" spans="2:7">
      <c r="B124" s="1134">
        <v>2013</v>
      </c>
      <c r="C124" s="18">
        <f t="shared" si="2"/>
        <v>621.5</v>
      </c>
    </row>
    <row r="146" spans="4:4">
      <c r="D146" s="5"/>
    </row>
    <row r="147" spans="4:4">
      <c r="D147" s="5"/>
    </row>
    <row r="148" spans="4:4">
      <c r="D148" s="5"/>
    </row>
    <row r="149" spans="4:4">
      <c r="D149" s="5"/>
    </row>
    <row r="150" spans="4:4">
      <c r="D150" s="5"/>
    </row>
    <row r="151" spans="4:4">
      <c r="D151" s="5"/>
    </row>
    <row r="152" spans="4:4">
      <c r="D152" s="5"/>
    </row>
  </sheetData>
  <mergeCells count="2">
    <mergeCell ref="A1:G1"/>
    <mergeCell ref="A74:G74"/>
  </mergeCells>
  <phoneticPr fontId="7" type="noConversion"/>
  <pageMargins left="0.75" right="0.75" top="1" bottom="1" header="0.5" footer="0.5"/>
  <headerFooter alignWithMargins="0"/>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92D050"/>
  </sheetPr>
  <dimension ref="A1:E17"/>
  <sheetViews>
    <sheetView workbookViewId="0">
      <selection activeCell="G6" sqref="G6"/>
    </sheetView>
  </sheetViews>
  <sheetFormatPr defaultRowHeight="12.5"/>
  <cols>
    <col min="1" max="1" width="66" customWidth="1"/>
    <col min="2" max="2" width="6.6328125" bestFit="1" customWidth="1"/>
    <col min="3" max="3" width="7.6328125" bestFit="1" customWidth="1"/>
    <col min="4" max="4" width="6.6328125" bestFit="1" customWidth="1"/>
    <col min="5" max="5" width="4.6328125" bestFit="1" customWidth="1"/>
  </cols>
  <sheetData>
    <row r="1" spans="1:5">
      <c r="A1" t="s">
        <v>1003</v>
      </c>
    </row>
    <row r="2" spans="1:5">
      <c r="A2" s="53"/>
      <c r="B2" s="91" t="s">
        <v>1014</v>
      </c>
      <c r="C2" s="91" t="s">
        <v>1015</v>
      </c>
      <c r="D2" s="53" t="s">
        <v>346</v>
      </c>
      <c r="E2" s="53" t="s">
        <v>1027</v>
      </c>
    </row>
    <row r="3" spans="1:5" ht="15.5">
      <c r="A3" s="555" t="s">
        <v>1006</v>
      </c>
      <c r="B3" s="563">
        <v>1</v>
      </c>
      <c r="C3" s="563">
        <v>1</v>
      </c>
      <c r="D3" s="563">
        <f>B3+C3</f>
        <v>2</v>
      </c>
      <c r="E3" s="556">
        <f>D3/44</f>
        <v>4.5454545454545456E-2</v>
      </c>
    </row>
    <row r="4" spans="1:5" ht="15.5">
      <c r="A4" s="555" t="s">
        <v>1004</v>
      </c>
      <c r="B4" s="563">
        <v>2</v>
      </c>
      <c r="C4" s="563">
        <v>1</v>
      </c>
      <c r="D4" s="563">
        <f t="shared" ref="D4:D16" si="0">B4+C4</f>
        <v>3</v>
      </c>
      <c r="E4" s="556">
        <f t="shared" ref="E4:E16" si="1">D4/44</f>
        <v>6.8181818181818177E-2</v>
      </c>
    </row>
    <row r="5" spans="1:5" ht="31">
      <c r="A5" s="555" t="s">
        <v>1029</v>
      </c>
      <c r="B5" s="563"/>
      <c r="C5" s="563">
        <v>3</v>
      </c>
      <c r="D5" s="563">
        <f t="shared" si="0"/>
        <v>3</v>
      </c>
      <c r="E5" s="556">
        <f t="shared" si="1"/>
        <v>6.8181818181818177E-2</v>
      </c>
    </row>
    <row r="6" spans="1:5" ht="31">
      <c r="A6" s="555" t="s">
        <v>1028</v>
      </c>
      <c r="B6" s="563"/>
      <c r="C6" s="563">
        <v>3</v>
      </c>
      <c r="D6" s="563">
        <f t="shared" si="0"/>
        <v>3</v>
      </c>
      <c r="E6" s="556">
        <f t="shared" si="1"/>
        <v>6.8181818181818177E-2</v>
      </c>
    </row>
    <row r="7" spans="1:5" ht="31">
      <c r="A7" s="555" t="s">
        <v>1007</v>
      </c>
      <c r="B7" s="563"/>
      <c r="C7" s="563">
        <v>1</v>
      </c>
      <c r="D7" s="563">
        <f t="shared" si="0"/>
        <v>1</v>
      </c>
      <c r="E7" s="556">
        <f t="shared" si="1"/>
        <v>2.2727272727272728E-2</v>
      </c>
    </row>
    <row r="8" spans="1:5" ht="31">
      <c r="A8" s="555" t="s">
        <v>1008</v>
      </c>
      <c r="B8" s="563">
        <v>4</v>
      </c>
      <c r="C8" s="563">
        <v>2</v>
      </c>
      <c r="D8" s="563">
        <f t="shared" si="0"/>
        <v>6</v>
      </c>
      <c r="E8" s="556">
        <f t="shared" si="1"/>
        <v>0.13636363636363635</v>
      </c>
    </row>
    <row r="9" spans="1:5" ht="15.5">
      <c r="A9" s="555" t="s">
        <v>1009</v>
      </c>
      <c r="B9" s="563">
        <v>8</v>
      </c>
      <c r="C9" s="563">
        <v>3</v>
      </c>
      <c r="D9" s="563">
        <f t="shared" si="0"/>
        <v>11</v>
      </c>
      <c r="E9" s="556">
        <f t="shared" si="1"/>
        <v>0.25</v>
      </c>
    </row>
    <row r="10" spans="1:5" ht="15.5">
      <c r="A10" s="555" t="s">
        <v>1010</v>
      </c>
      <c r="B10" s="563">
        <v>5</v>
      </c>
      <c r="C10" s="563">
        <v>1</v>
      </c>
      <c r="D10" s="563">
        <f t="shared" si="0"/>
        <v>6</v>
      </c>
      <c r="E10" s="556">
        <f t="shared" si="1"/>
        <v>0.13636363636363635</v>
      </c>
    </row>
    <row r="11" spans="1:5" ht="31">
      <c r="A11" s="555" t="s">
        <v>1031</v>
      </c>
      <c r="B11" s="563">
        <v>2</v>
      </c>
      <c r="C11" s="563">
        <v>4</v>
      </c>
      <c r="D11" s="563">
        <f t="shared" si="0"/>
        <v>6</v>
      </c>
      <c r="E11" s="556">
        <f t="shared" si="1"/>
        <v>0.13636363636363635</v>
      </c>
    </row>
    <row r="12" spans="1:5" ht="15.5">
      <c r="A12" s="555" t="s">
        <v>1030</v>
      </c>
      <c r="B12" s="563"/>
      <c r="C12" s="563">
        <v>1</v>
      </c>
      <c r="D12" s="563">
        <f t="shared" si="0"/>
        <v>1</v>
      </c>
      <c r="E12" s="556">
        <f t="shared" si="1"/>
        <v>2.2727272727272728E-2</v>
      </c>
    </row>
    <row r="13" spans="1:5" ht="31">
      <c r="A13" s="555" t="s">
        <v>1011</v>
      </c>
      <c r="B13" s="563">
        <v>2</v>
      </c>
      <c r="C13" s="563">
        <v>2</v>
      </c>
      <c r="D13" s="563">
        <f t="shared" si="0"/>
        <v>4</v>
      </c>
      <c r="E13" s="556">
        <f t="shared" si="1"/>
        <v>9.0909090909090912E-2</v>
      </c>
    </row>
    <row r="14" spans="1:5" ht="15.5">
      <c r="A14" s="555" t="s">
        <v>1012</v>
      </c>
      <c r="B14" s="563"/>
      <c r="C14" s="563">
        <v>1</v>
      </c>
      <c r="D14" s="563">
        <f t="shared" si="0"/>
        <v>1</v>
      </c>
      <c r="E14" s="556">
        <f t="shared" si="1"/>
        <v>2.2727272727272728E-2</v>
      </c>
    </row>
    <row r="15" spans="1:5" ht="15.5">
      <c r="A15" s="555" t="s">
        <v>1005</v>
      </c>
      <c r="B15" s="563">
        <v>2</v>
      </c>
      <c r="C15" s="563">
        <v>2</v>
      </c>
      <c r="D15" s="563">
        <f t="shared" si="0"/>
        <v>4</v>
      </c>
      <c r="E15" s="556">
        <f t="shared" si="1"/>
        <v>9.0909090909090912E-2</v>
      </c>
    </row>
    <row r="16" spans="1:5" ht="15.5">
      <c r="A16" s="555" t="s">
        <v>1013</v>
      </c>
      <c r="B16" s="563">
        <v>1</v>
      </c>
      <c r="C16" s="563"/>
      <c r="D16" s="563">
        <f t="shared" si="0"/>
        <v>1</v>
      </c>
      <c r="E16" s="556">
        <f t="shared" si="1"/>
        <v>2.2727272727272728E-2</v>
      </c>
    </row>
    <row r="17" spans="1:5">
      <c r="A17" s="53"/>
      <c r="B17" s="563"/>
      <c r="C17" s="563"/>
      <c r="D17" s="563">
        <f>SUM(D3:D16)</f>
        <v>52</v>
      </c>
      <c r="E17" s="557"/>
    </row>
  </sheetData>
  <pageMargins left="0.7" right="0.7" top="0.75" bottom="0.75" header="0.3" footer="0.3"/>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92D050"/>
  </sheetPr>
  <dimension ref="A1:D9"/>
  <sheetViews>
    <sheetView workbookViewId="0">
      <selection activeCell="F8" sqref="F8"/>
    </sheetView>
  </sheetViews>
  <sheetFormatPr defaultRowHeight="12.5"/>
  <cols>
    <col min="1" max="1" width="18.453125" bestFit="1" customWidth="1"/>
    <col min="2" max="2" width="19.54296875" bestFit="1" customWidth="1"/>
    <col min="3" max="3" width="13.6328125" bestFit="1" customWidth="1"/>
  </cols>
  <sheetData>
    <row r="1" spans="1:4">
      <c r="A1" s="53" t="s">
        <v>1032</v>
      </c>
      <c r="B1" s="53" t="s">
        <v>1038</v>
      </c>
      <c r="C1" s="53" t="s">
        <v>1059</v>
      </c>
    </row>
    <row r="2" spans="1:4">
      <c r="A2" s="53" t="s">
        <v>923</v>
      </c>
      <c r="B2" s="53" t="s">
        <v>659</v>
      </c>
      <c r="C2" t="s">
        <v>1338</v>
      </c>
      <c r="D2" s="53" t="s">
        <v>1061</v>
      </c>
    </row>
    <row r="3" spans="1:4">
      <c r="A3" s="53" t="s">
        <v>920</v>
      </c>
      <c r="B3" s="53" t="s">
        <v>1337</v>
      </c>
      <c r="C3" s="53" t="s">
        <v>983</v>
      </c>
    </row>
    <row r="4" spans="1:4">
      <c r="A4" s="53" t="s">
        <v>1033</v>
      </c>
      <c r="B4" s="53" t="s">
        <v>1336</v>
      </c>
      <c r="C4" s="53" t="s">
        <v>1039</v>
      </c>
    </row>
    <row r="5" spans="1:4">
      <c r="A5" s="53" t="s">
        <v>1034</v>
      </c>
      <c r="B5" s="53" t="s">
        <v>1094</v>
      </c>
      <c r="C5" s="53" t="s">
        <v>1040</v>
      </c>
    </row>
    <row r="6" spans="1:4">
      <c r="A6" s="53" t="s">
        <v>1035</v>
      </c>
      <c r="B6" s="53" t="s">
        <v>1041</v>
      </c>
      <c r="C6" s="91" t="s">
        <v>1345</v>
      </c>
    </row>
    <row r="7" spans="1:4">
      <c r="A7" s="53"/>
      <c r="B7" s="53"/>
      <c r="C7" s="53"/>
    </row>
    <row r="8" spans="1:4">
      <c r="A8" s="53" t="s">
        <v>1036</v>
      </c>
      <c r="B8" s="53" t="s">
        <v>1043</v>
      </c>
      <c r="C8" s="53"/>
    </row>
    <row r="9" spans="1:4">
      <c r="A9" s="53" t="s">
        <v>1037</v>
      </c>
      <c r="B9" s="53" t="s">
        <v>1042</v>
      </c>
      <c r="C9" s="53" t="s">
        <v>1060</v>
      </c>
    </row>
  </sheetData>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92D050"/>
  </sheetPr>
  <dimension ref="A1:N1545"/>
  <sheetViews>
    <sheetView topLeftCell="A20" workbookViewId="0">
      <selection activeCell="A32" sqref="A32:N39"/>
    </sheetView>
  </sheetViews>
  <sheetFormatPr defaultRowHeight="12.5"/>
  <cols>
    <col min="1" max="1" width="11.453125" bestFit="1" customWidth="1"/>
    <col min="2" max="2" width="12" bestFit="1" customWidth="1"/>
    <col min="3" max="3" width="14.54296875" bestFit="1" customWidth="1"/>
    <col min="4" max="4" width="13.90625" bestFit="1" customWidth="1"/>
    <col min="5" max="5" width="26.6328125" bestFit="1" customWidth="1"/>
    <col min="6" max="6" width="8.08984375" bestFit="1" customWidth="1"/>
    <col min="7" max="7" width="23.36328125" bestFit="1" customWidth="1"/>
    <col min="8" max="9" width="8.36328125" bestFit="1" customWidth="1"/>
    <col min="10" max="10" width="6.08984375" bestFit="1" customWidth="1"/>
    <col min="11" max="11" width="6.54296875" bestFit="1" customWidth="1"/>
    <col min="12" max="12" width="5" bestFit="1" customWidth="1"/>
    <col min="13" max="14" width="14.36328125" bestFit="1" customWidth="1"/>
  </cols>
  <sheetData>
    <row r="1" spans="1:14" ht="13">
      <c r="A1" s="635" t="s">
        <v>1384</v>
      </c>
      <c r="B1" s="635" t="s">
        <v>1141</v>
      </c>
      <c r="C1" s="802" t="s">
        <v>1385</v>
      </c>
      <c r="D1" s="802" t="s">
        <v>1386</v>
      </c>
      <c r="E1" s="635" t="s">
        <v>1140</v>
      </c>
      <c r="F1" s="635" t="s">
        <v>1387</v>
      </c>
      <c r="G1" s="635" t="s">
        <v>1388</v>
      </c>
      <c r="H1" s="635" t="s">
        <v>1139</v>
      </c>
      <c r="I1" s="636" t="s">
        <v>1139</v>
      </c>
      <c r="J1" s="635" t="s">
        <v>1389</v>
      </c>
      <c r="K1" s="635" t="s">
        <v>1138</v>
      </c>
      <c r="L1" s="803" t="s">
        <v>1077</v>
      </c>
      <c r="M1" s="803" t="s">
        <v>1078</v>
      </c>
      <c r="N1" s="802" t="s">
        <v>1390</v>
      </c>
    </row>
    <row r="2" spans="1:14">
      <c r="A2" s="804" t="s">
        <v>1391</v>
      </c>
      <c r="B2" s="583" t="s">
        <v>1095</v>
      </c>
      <c r="C2" s="243">
        <v>41324</v>
      </c>
      <c r="D2" s="243">
        <v>41324</v>
      </c>
      <c r="E2" s="584" t="s">
        <v>206</v>
      </c>
      <c r="F2" s="589" t="s">
        <v>1392</v>
      </c>
      <c r="G2" s="805" t="s">
        <v>995</v>
      </c>
      <c r="H2" s="589">
        <v>947</v>
      </c>
      <c r="I2" s="583">
        <v>947</v>
      </c>
      <c r="J2" s="589"/>
      <c r="K2" s="637" t="s">
        <v>1071</v>
      </c>
      <c r="L2" s="806">
        <v>2</v>
      </c>
      <c r="N2" s="807">
        <v>41340</v>
      </c>
    </row>
    <row r="3" spans="1:14">
      <c r="A3" s="688" t="s">
        <v>1391</v>
      </c>
      <c r="B3" s="583" t="s">
        <v>1095</v>
      </c>
      <c r="C3" s="243">
        <v>41324</v>
      </c>
      <c r="D3" s="243">
        <v>41324</v>
      </c>
      <c r="E3" s="589" t="s">
        <v>185</v>
      </c>
      <c r="F3" s="589" t="s">
        <v>1392</v>
      </c>
      <c r="G3" s="589" t="s">
        <v>563</v>
      </c>
      <c r="H3" s="589">
        <v>784</v>
      </c>
      <c r="I3" s="583">
        <v>784</v>
      </c>
      <c r="J3" s="589"/>
      <c r="K3" s="589" t="s">
        <v>1071</v>
      </c>
      <c r="L3" s="806">
        <v>2</v>
      </c>
      <c r="N3" s="807">
        <v>41326</v>
      </c>
    </row>
    <row r="4" spans="1:14">
      <c r="A4" s="688" t="s">
        <v>1391</v>
      </c>
      <c r="B4" s="583" t="s">
        <v>1095</v>
      </c>
      <c r="C4" s="243">
        <v>41324</v>
      </c>
      <c r="D4" s="243">
        <v>41324</v>
      </c>
      <c r="E4" s="589" t="s">
        <v>245</v>
      </c>
      <c r="F4" s="589" t="s">
        <v>1392</v>
      </c>
      <c r="G4" s="589" t="s">
        <v>565</v>
      </c>
      <c r="H4" s="589">
        <v>27</v>
      </c>
      <c r="I4" s="808" t="s">
        <v>1393</v>
      </c>
      <c r="J4" s="688"/>
      <c r="K4" s="637" t="s">
        <v>1071</v>
      </c>
      <c r="L4" s="809">
        <v>3</v>
      </c>
      <c r="N4" s="807">
        <v>41341</v>
      </c>
    </row>
    <row r="5" spans="1:14">
      <c r="A5" s="688" t="s">
        <v>1391</v>
      </c>
      <c r="B5" s="583" t="s">
        <v>1095</v>
      </c>
      <c r="C5" s="243">
        <v>41324</v>
      </c>
      <c r="D5" s="243">
        <v>41324</v>
      </c>
      <c r="E5" s="589" t="s">
        <v>179</v>
      </c>
      <c r="F5" s="589" t="s">
        <v>1392</v>
      </c>
      <c r="G5" s="805" t="s">
        <v>564</v>
      </c>
      <c r="H5" s="589">
        <v>38</v>
      </c>
      <c r="I5" s="583">
        <v>38</v>
      </c>
      <c r="J5" s="589"/>
      <c r="K5" s="589" t="s">
        <v>1071</v>
      </c>
      <c r="L5" s="806">
        <v>2</v>
      </c>
      <c r="N5" s="807">
        <v>41339</v>
      </c>
    </row>
    <row r="6" spans="1:14">
      <c r="A6" s="589" t="s">
        <v>1391</v>
      </c>
      <c r="B6" s="583" t="s">
        <v>1095</v>
      </c>
      <c r="C6" s="243">
        <v>41324</v>
      </c>
      <c r="D6" s="243">
        <v>41324</v>
      </c>
      <c r="E6" s="590" t="s">
        <v>180</v>
      </c>
      <c r="F6" s="589" t="s">
        <v>1392</v>
      </c>
      <c r="G6" s="805" t="s">
        <v>564</v>
      </c>
      <c r="H6" s="591" t="s">
        <v>1394</v>
      </c>
      <c r="I6" s="590" t="s">
        <v>1394</v>
      </c>
      <c r="J6" s="637" t="s">
        <v>1395</v>
      </c>
      <c r="K6" s="589" t="s">
        <v>1071</v>
      </c>
      <c r="L6" s="810">
        <v>2</v>
      </c>
      <c r="N6" s="807">
        <v>41339</v>
      </c>
    </row>
    <row r="7" spans="1:14">
      <c r="A7" s="688" t="s">
        <v>1391</v>
      </c>
      <c r="B7" s="583" t="s">
        <v>1095</v>
      </c>
      <c r="C7" s="243">
        <v>41324</v>
      </c>
      <c r="D7" s="243">
        <v>41324</v>
      </c>
      <c r="E7" s="589" t="s">
        <v>184</v>
      </c>
      <c r="F7" s="589" t="s">
        <v>1392</v>
      </c>
      <c r="G7" s="589" t="s">
        <v>1396</v>
      </c>
      <c r="H7" s="592">
        <v>57</v>
      </c>
      <c r="I7" s="811">
        <v>57</v>
      </c>
      <c r="J7" s="589"/>
      <c r="K7" s="589" t="s">
        <v>1096</v>
      </c>
      <c r="L7" s="806">
        <v>4</v>
      </c>
      <c r="N7" s="807">
        <v>41327</v>
      </c>
    </row>
    <row r="8" spans="1:14">
      <c r="A8" s="589" t="s">
        <v>1397</v>
      </c>
      <c r="B8" s="583" t="s">
        <v>1097</v>
      </c>
      <c r="C8" s="243">
        <v>41324</v>
      </c>
      <c r="D8" s="243">
        <v>41324</v>
      </c>
      <c r="E8" s="590" t="s">
        <v>180</v>
      </c>
      <c r="F8" s="589" t="s">
        <v>1392</v>
      </c>
      <c r="G8" s="805" t="s">
        <v>564</v>
      </c>
      <c r="H8" s="591">
        <v>55</v>
      </c>
      <c r="I8" s="590">
        <v>55</v>
      </c>
      <c r="J8" s="637"/>
      <c r="K8" s="589" t="s">
        <v>1071</v>
      </c>
      <c r="L8" s="810">
        <v>2</v>
      </c>
      <c r="N8" s="807">
        <v>41339</v>
      </c>
    </row>
    <row r="9" spans="1:14">
      <c r="A9" s="804" t="s">
        <v>1397</v>
      </c>
      <c r="B9" s="583" t="s">
        <v>1097</v>
      </c>
      <c r="C9" s="243">
        <v>41324</v>
      </c>
      <c r="D9" s="243">
        <v>41324</v>
      </c>
      <c r="E9" s="584" t="s">
        <v>206</v>
      </c>
      <c r="F9" s="589" t="s">
        <v>1392</v>
      </c>
      <c r="G9" s="805" t="s">
        <v>995</v>
      </c>
      <c r="H9" s="589">
        <v>2634</v>
      </c>
      <c r="I9" s="583">
        <v>2634</v>
      </c>
      <c r="J9" s="589"/>
      <c r="K9" s="637" t="s">
        <v>1071</v>
      </c>
      <c r="L9" s="806">
        <v>2</v>
      </c>
      <c r="N9" s="807">
        <v>41340</v>
      </c>
    </row>
    <row r="10" spans="1:14">
      <c r="A10" s="688" t="s">
        <v>1397</v>
      </c>
      <c r="B10" s="583" t="s">
        <v>1097</v>
      </c>
      <c r="C10" s="243">
        <v>41324</v>
      </c>
      <c r="D10" s="243">
        <v>41324</v>
      </c>
      <c r="E10" s="589" t="s">
        <v>185</v>
      </c>
      <c r="F10" s="589" t="s">
        <v>1392</v>
      </c>
      <c r="G10" s="589" t="s">
        <v>563</v>
      </c>
      <c r="H10" s="589">
        <v>2411</v>
      </c>
      <c r="I10" s="583">
        <v>2411</v>
      </c>
      <c r="J10" s="589"/>
      <c r="K10" s="589" t="s">
        <v>1071</v>
      </c>
      <c r="L10" s="806">
        <v>2</v>
      </c>
      <c r="N10" s="807">
        <v>41326</v>
      </c>
    </row>
    <row r="11" spans="1:14">
      <c r="A11" s="688" t="s">
        <v>1398</v>
      </c>
      <c r="B11" s="583" t="s">
        <v>1097</v>
      </c>
      <c r="C11" s="243">
        <v>41324</v>
      </c>
      <c r="D11" s="243">
        <v>41324</v>
      </c>
      <c r="E11" s="589" t="s">
        <v>245</v>
      </c>
      <c r="F11" s="589" t="s">
        <v>1392</v>
      </c>
      <c r="G11" s="589" t="s">
        <v>565</v>
      </c>
      <c r="H11" s="589">
        <v>43</v>
      </c>
      <c r="I11" s="808" t="s">
        <v>1399</v>
      </c>
      <c r="J11" s="688"/>
      <c r="K11" s="637" t="s">
        <v>1071</v>
      </c>
      <c r="L11" s="809">
        <v>3</v>
      </c>
      <c r="N11" s="807">
        <v>41341</v>
      </c>
    </row>
    <row r="12" spans="1:14">
      <c r="A12" s="688" t="s">
        <v>1397</v>
      </c>
      <c r="B12" s="583" t="s">
        <v>1097</v>
      </c>
      <c r="C12" s="243">
        <v>41324</v>
      </c>
      <c r="D12" s="243">
        <v>41324</v>
      </c>
      <c r="E12" s="589" t="s">
        <v>179</v>
      </c>
      <c r="F12" s="589" t="s">
        <v>1392</v>
      </c>
      <c r="G12" s="805" t="s">
        <v>564</v>
      </c>
      <c r="H12" s="589">
        <v>79</v>
      </c>
      <c r="I12" s="583">
        <v>79</v>
      </c>
      <c r="J12" s="589"/>
      <c r="K12" s="589" t="s">
        <v>1071</v>
      </c>
      <c r="L12" s="806">
        <v>2</v>
      </c>
      <c r="N12" s="807">
        <v>41339</v>
      </c>
    </row>
    <row r="13" spans="1:14">
      <c r="A13" s="688" t="s">
        <v>1397</v>
      </c>
      <c r="B13" s="583" t="s">
        <v>1097</v>
      </c>
      <c r="C13" s="243">
        <v>41324</v>
      </c>
      <c r="D13" s="243">
        <v>41324</v>
      </c>
      <c r="E13" s="589" t="s">
        <v>184</v>
      </c>
      <c r="F13" s="589" t="s">
        <v>1392</v>
      </c>
      <c r="G13" s="589" t="s">
        <v>1396</v>
      </c>
      <c r="H13" s="592">
        <v>6.6</v>
      </c>
      <c r="I13" s="811">
        <v>6.6</v>
      </c>
      <c r="J13" s="589"/>
      <c r="K13" s="589" t="s">
        <v>1096</v>
      </c>
      <c r="L13" s="806">
        <v>4</v>
      </c>
      <c r="N13" s="807">
        <v>41327</v>
      </c>
    </row>
    <row r="14" spans="1:14">
      <c r="A14" s="589" t="s">
        <v>1398</v>
      </c>
      <c r="B14" s="583">
        <v>45</v>
      </c>
      <c r="C14" s="243">
        <v>41324</v>
      </c>
      <c r="D14" s="243">
        <v>41324</v>
      </c>
      <c r="E14" s="590" t="s">
        <v>180</v>
      </c>
      <c r="F14" s="589" t="s">
        <v>1392</v>
      </c>
      <c r="G14" s="805" t="s">
        <v>564</v>
      </c>
      <c r="H14" s="591">
        <v>13</v>
      </c>
      <c r="I14" s="590">
        <v>13</v>
      </c>
      <c r="J14" s="637"/>
      <c r="K14" s="589" t="s">
        <v>1071</v>
      </c>
      <c r="L14" s="810">
        <v>2</v>
      </c>
      <c r="N14" s="807">
        <v>41339</v>
      </c>
    </row>
    <row r="15" spans="1:14">
      <c r="A15" s="804" t="s">
        <v>1398</v>
      </c>
      <c r="B15" s="583">
        <v>45</v>
      </c>
      <c r="C15" s="243">
        <v>41324</v>
      </c>
      <c r="D15" s="243">
        <v>41324</v>
      </c>
      <c r="E15" s="589" t="s">
        <v>185</v>
      </c>
      <c r="F15" s="589" t="s">
        <v>1392</v>
      </c>
      <c r="G15" s="589" t="s">
        <v>563</v>
      </c>
      <c r="H15" s="589">
        <v>261</v>
      </c>
      <c r="I15" s="583">
        <v>261</v>
      </c>
      <c r="J15" s="589"/>
      <c r="K15" s="589" t="s">
        <v>1071</v>
      </c>
      <c r="L15" s="806">
        <v>2</v>
      </c>
      <c r="N15" s="807">
        <v>41326</v>
      </c>
    </row>
    <row r="16" spans="1:14">
      <c r="A16" s="804" t="s">
        <v>1400</v>
      </c>
      <c r="B16" s="583">
        <v>45</v>
      </c>
      <c r="C16" s="243">
        <v>41324</v>
      </c>
      <c r="D16" s="243">
        <v>41324</v>
      </c>
      <c r="E16" s="589" t="s">
        <v>245</v>
      </c>
      <c r="F16" s="589" t="s">
        <v>1392</v>
      </c>
      <c r="G16" s="589" t="s">
        <v>565</v>
      </c>
      <c r="H16" s="589">
        <v>60</v>
      </c>
      <c r="I16" s="808" t="s">
        <v>1401</v>
      </c>
      <c r="J16" s="688"/>
      <c r="K16" s="637" t="s">
        <v>1071</v>
      </c>
      <c r="L16" s="809">
        <v>3</v>
      </c>
      <c r="N16" s="807">
        <v>41341</v>
      </c>
    </row>
    <row r="17" spans="1:14">
      <c r="A17" s="804" t="s">
        <v>1398</v>
      </c>
      <c r="B17" s="583">
        <v>45</v>
      </c>
      <c r="C17" s="243">
        <v>41324</v>
      </c>
      <c r="D17" s="243">
        <v>41324</v>
      </c>
      <c r="E17" s="589" t="s">
        <v>179</v>
      </c>
      <c r="F17" s="589" t="s">
        <v>1392</v>
      </c>
      <c r="G17" s="805" t="s">
        <v>564</v>
      </c>
      <c r="H17" s="589">
        <v>39</v>
      </c>
      <c r="I17" s="583">
        <v>39</v>
      </c>
      <c r="J17" s="589"/>
      <c r="K17" s="589" t="s">
        <v>1071</v>
      </c>
      <c r="L17" s="806">
        <v>2</v>
      </c>
      <c r="N17" s="807">
        <v>41339</v>
      </c>
    </row>
    <row r="18" spans="1:14">
      <c r="A18" s="804" t="s">
        <v>1398</v>
      </c>
      <c r="B18" s="583">
        <v>45</v>
      </c>
      <c r="C18" s="243">
        <v>41324</v>
      </c>
      <c r="D18" s="243">
        <v>41324</v>
      </c>
      <c r="E18" s="589" t="s">
        <v>184</v>
      </c>
      <c r="F18" s="589" t="s">
        <v>1392</v>
      </c>
      <c r="G18" s="589" t="s">
        <v>1396</v>
      </c>
      <c r="H18" s="592">
        <v>7</v>
      </c>
      <c r="I18" s="811">
        <v>7</v>
      </c>
      <c r="J18" s="589"/>
      <c r="K18" s="589" t="s">
        <v>1096</v>
      </c>
      <c r="L18" s="806">
        <v>4</v>
      </c>
      <c r="N18" s="807">
        <v>41327</v>
      </c>
    </row>
    <row r="19" spans="1:14">
      <c r="A19" s="589" t="s">
        <v>1398</v>
      </c>
      <c r="B19" s="583">
        <v>45</v>
      </c>
      <c r="C19" s="243">
        <v>41324</v>
      </c>
      <c r="D19" s="243">
        <v>41324</v>
      </c>
      <c r="E19" s="584" t="s">
        <v>206</v>
      </c>
      <c r="F19" s="589" t="s">
        <v>1392</v>
      </c>
      <c r="G19" s="805" t="s">
        <v>995</v>
      </c>
      <c r="H19" s="589">
        <v>713</v>
      </c>
      <c r="I19" s="583">
        <v>713</v>
      </c>
      <c r="J19" s="589"/>
      <c r="K19" s="637" t="s">
        <v>1071</v>
      </c>
      <c r="L19" s="806">
        <v>2</v>
      </c>
      <c r="N19" s="807">
        <v>41340</v>
      </c>
    </row>
    <row r="20" spans="1:14">
      <c r="A20" s="589" t="s">
        <v>1400</v>
      </c>
      <c r="B20" s="585" t="s">
        <v>1098</v>
      </c>
      <c r="C20" s="243">
        <v>41324</v>
      </c>
      <c r="D20" s="243">
        <v>41324</v>
      </c>
      <c r="E20" s="590" t="s">
        <v>180</v>
      </c>
      <c r="F20" s="589" t="s">
        <v>1392</v>
      </c>
      <c r="G20" s="805" t="s">
        <v>564</v>
      </c>
      <c r="H20" s="591">
        <v>3</v>
      </c>
      <c r="I20" s="590">
        <v>3</v>
      </c>
      <c r="J20" s="637"/>
      <c r="K20" s="589" t="s">
        <v>1071</v>
      </c>
      <c r="L20" s="810">
        <v>2</v>
      </c>
      <c r="N20" s="807">
        <v>41339</v>
      </c>
    </row>
    <row r="21" spans="1:14">
      <c r="A21" s="589" t="s">
        <v>1400</v>
      </c>
      <c r="B21" s="585" t="s">
        <v>1098</v>
      </c>
      <c r="C21" s="243">
        <v>41324</v>
      </c>
      <c r="D21" s="243">
        <v>41324</v>
      </c>
      <c r="E21" s="589" t="s">
        <v>185</v>
      </c>
      <c r="F21" s="589" t="s">
        <v>1392</v>
      </c>
      <c r="G21" s="589" t="s">
        <v>563</v>
      </c>
      <c r="H21" s="589">
        <v>279</v>
      </c>
      <c r="I21" s="583">
        <v>279</v>
      </c>
      <c r="J21" s="589"/>
      <c r="K21" s="589" t="s">
        <v>1071</v>
      </c>
      <c r="L21" s="806">
        <v>2</v>
      </c>
      <c r="N21" s="807">
        <v>41326</v>
      </c>
    </row>
    <row r="22" spans="1:14">
      <c r="A22" s="589" t="s">
        <v>1400</v>
      </c>
      <c r="B22" s="585" t="s">
        <v>1098</v>
      </c>
      <c r="C22" s="243">
        <v>41324</v>
      </c>
      <c r="D22" s="243">
        <v>41324</v>
      </c>
      <c r="E22" s="589" t="s">
        <v>179</v>
      </c>
      <c r="F22" s="589" t="s">
        <v>1392</v>
      </c>
      <c r="G22" s="805" t="s">
        <v>564</v>
      </c>
      <c r="H22" s="589">
        <v>15</v>
      </c>
      <c r="I22" s="583">
        <v>15</v>
      </c>
      <c r="J22" s="589"/>
      <c r="K22" s="589" t="s">
        <v>1071</v>
      </c>
      <c r="L22" s="806">
        <v>2</v>
      </c>
      <c r="N22" s="807">
        <v>41339</v>
      </c>
    </row>
    <row r="23" spans="1:14">
      <c r="A23" s="589" t="s">
        <v>1400</v>
      </c>
      <c r="B23" s="585" t="s">
        <v>1098</v>
      </c>
      <c r="C23" s="243">
        <v>41324</v>
      </c>
      <c r="D23" s="243">
        <v>41324</v>
      </c>
      <c r="E23" s="589" t="s">
        <v>184</v>
      </c>
      <c r="F23" s="589" t="s">
        <v>1392</v>
      </c>
      <c r="G23" s="589" t="s">
        <v>1396</v>
      </c>
      <c r="H23" s="592"/>
      <c r="I23" s="811"/>
      <c r="J23" s="589" t="s">
        <v>1395</v>
      </c>
      <c r="K23" s="589" t="s">
        <v>1096</v>
      </c>
      <c r="L23" s="806">
        <v>4</v>
      </c>
      <c r="N23" s="807">
        <v>41327</v>
      </c>
    </row>
    <row r="24" spans="1:14">
      <c r="A24" s="804" t="s">
        <v>1400</v>
      </c>
      <c r="B24" s="585" t="s">
        <v>1098</v>
      </c>
      <c r="C24" s="243">
        <v>41324</v>
      </c>
      <c r="D24" s="243">
        <v>41324</v>
      </c>
      <c r="E24" s="584" t="s">
        <v>206</v>
      </c>
      <c r="F24" s="589" t="s">
        <v>1392</v>
      </c>
      <c r="G24" s="805" t="s">
        <v>995</v>
      </c>
      <c r="H24" s="589">
        <v>578</v>
      </c>
      <c r="I24" s="583">
        <v>578</v>
      </c>
      <c r="J24" s="589"/>
      <c r="K24" s="637" t="s">
        <v>1071</v>
      </c>
      <c r="L24" s="806">
        <v>2</v>
      </c>
      <c r="N24" s="807">
        <v>41340</v>
      </c>
    </row>
    <row r="25" spans="1:14">
      <c r="A25" s="804" t="s">
        <v>1400</v>
      </c>
      <c r="B25" s="583" t="s">
        <v>1098</v>
      </c>
      <c r="C25" s="243">
        <v>41324</v>
      </c>
      <c r="D25" s="243">
        <v>41324</v>
      </c>
      <c r="E25" s="584" t="s">
        <v>181</v>
      </c>
      <c r="F25" s="804" t="s">
        <v>1392</v>
      </c>
      <c r="G25" s="812" t="s">
        <v>1402</v>
      </c>
      <c r="H25" s="332"/>
      <c r="I25" s="813"/>
      <c r="J25" s="814" t="s">
        <v>1395</v>
      </c>
      <c r="K25" s="589" t="s">
        <v>1071</v>
      </c>
      <c r="L25" s="810">
        <v>0.1</v>
      </c>
      <c r="N25" s="807">
        <v>41336</v>
      </c>
    </row>
    <row r="26" spans="1:14">
      <c r="A26" s="804" t="s">
        <v>1400</v>
      </c>
      <c r="B26" s="583" t="s">
        <v>1098</v>
      </c>
      <c r="C26" s="243">
        <v>41324</v>
      </c>
      <c r="D26" s="243">
        <v>41324</v>
      </c>
      <c r="E26" s="584" t="s">
        <v>181</v>
      </c>
      <c r="F26" s="804" t="s">
        <v>1392</v>
      </c>
      <c r="G26" s="812" t="s">
        <v>1402</v>
      </c>
      <c r="H26" s="332"/>
      <c r="I26" s="813"/>
      <c r="J26" s="814" t="s">
        <v>1395</v>
      </c>
      <c r="K26" s="589" t="s">
        <v>1071</v>
      </c>
      <c r="L26" s="810">
        <v>0.1</v>
      </c>
      <c r="N26" s="807">
        <v>41336</v>
      </c>
    </row>
    <row r="27" spans="1:14">
      <c r="A27" s="589" t="s">
        <v>1403</v>
      </c>
      <c r="B27" s="583" t="s">
        <v>1099</v>
      </c>
      <c r="C27" s="243">
        <v>41324</v>
      </c>
      <c r="D27" s="243">
        <v>41324</v>
      </c>
      <c r="E27" s="590" t="s">
        <v>180</v>
      </c>
      <c r="F27" s="589" t="s">
        <v>1392</v>
      </c>
      <c r="G27" s="805" t="s">
        <v>564</v>
      </c>
      <c r="H27" s="591">
        <v>9</v>
      </c>
      <c r="I27" s="590">
        <v>9</v>
      </c>
      <c r="J27" s="637"/>
      <c r="K27" s="589" t="s">
        <v>1071</v>
      </c>
      <c r="L27" s="810">
        <v>2</v>
      </c>
      <c r="N27" s="807">
        <v>41339</v>
      </c>
    </row>
    <row r="28" spans="1:14">
      <c r="A28" s="589" t="s">
        <v>1403</v>
      </c>
      <c r="B28" s="583" t="s">
        <v>1099</v>
      </c>
      <c r="C28" s="243">
        <v>41324</v>
      </c>
      <c r="D28" s="243">
        <v>41324</v>
      </c>
      <c r="E28" s="589" t="s">
        <v>185</v>
      </c>
      <c r="F28" s="589" t="s">
        <v>1392</v>
      </c>
      <c r="G28" s="589" t="s">
        <v>563</v>
      </c>
      <c r="H28" s="589">
        <v>156</v>
      </c>
      <c r="I28" s="583">
        <v>156</v>
      </c>
      <c r="J28" s="589"/>
      <c r="K28" s="589" t="s">
        <v>1071</v>
      </c>
      <c r="L28" s="806">
        <v>2</v>
      </c>
      <c r="N28" s="807">
        <v>41326</v>
      </c>
    </row>
    <row r="29" spans="1:14">
      <c r="A29" s="589" t="s">
        <v>1403</v>
      </c>
      <c r="B29" s="583" t="s">
        <v>1099</v>
      </c>
      <c r="C29" s="243">
        <v>41324</v>
      </c>
      <c r="D29" s="243">
        <v>41324</v>
      </c>
      <c r="E29" s="589" t="s">
        <v>179</v>
      </c>
      <c r="F29" s="589" t="s">
        <v>1392</v>
      </c>
      <c r="G29" s="805" t="s">
        <v>564</v>
      </c>
      <c r="H29" s="589">
        <v>21</v>
      </c>
      <c r="I29" s="583">
        <v>21</v>
      </c>
      <c r="J29" s="589"/>
      <c r="K29" s="589" t="s">
        <v>1071</v>
      </c>
      <c r="L29" s="806">
        <v>2</v>
      </c>
      <c r="N29" s="807">
        <v>41339</v>
      </c>
    </row>
    <row r="30" spans="1:14">
      <c r="A30" s="589" t="s">
        <v>1403</v>
      </c>
      <c r="B30" s="583" t="s">
        <v>1099</v>
      </c>
      <c r="C30" s="243">
        <v>41324</v>
      </c>
      <c r="D30" s="243">
        <v>41324</v>
      </c>
      <c r="E30" s="589" t="s">
        <v>184</v>
      </c>
      <c r="F30" s="589" t="s">
        <v>1392</v>
      </c>
      <c r="G30" s="589" t="s">
        <v>1396</v>
      </c>
      <c r="H30" s="592"/>
      <c r="I30" s="811"/>
      <c r="J30" s="589" t="s">
        <v>1395</v>
      </c>
      <c r="K30" s="589" t="s">
        <v>1096</v>
      </c>
      <c r="L30" s="806">
        <v>4</v>
      </c>
      <c r="N30" s="807">
        <v>41327</v>
      </c>
    </row>
    <row r="31" spans="1:14">
      <c r="A31" s="589" t="s">
        <v>1403</v>
      </c>
      <c r="B31" s="583" t="s">
        <v>1099</v>
      </c>
      <c r="C31" s="243">
        <v>41324</v>
      </c>
      <c r="D31" s="243">
        <v>41324</v>
      </c>
      <c r="E31" s="584" t="s">
        <v>206</v>
      </c>
      <c r="F31" s="589" t="s">
        <v>1392</v>
      </c>
      <c r="G31" s="805" t="s">
        <v>995</v>
      </c>
      <c r="H31" s="589">
        <v>808</v>
      </c>
      <c r="I31" s="583">
        <v>808</v>
      </c>
      <c r="J31" s="589"/>
      <c r="K31" s="637" t="s">
        <v>1071</v>
      </c>
      <c r="L31" s="806">
        <v>2</v>
      </c>
      <c r="N31" s="807">
        <v>41340</v>
      </c>
    </row>
    <row r="32" spans="1:14">
      <c r="A32" s="589" t="s">
        <v>1404</v>
      </c>
      <c r="B32" s="583" t="s">
        <v>1405</v>
      </c>
      <c r="C32" s="243">
        <v>41324</v>
      </c>
      <c r="D32" s="243">
        <v>41324</v>
      </c>
      <c r="E32" s="589" t="s">
        <v>185</v>
      </c>
      <c r="F32" s="589" t="s">
        <v>1392</v>
      </c>
      <c r="G32" s="589" t="s">
        <v>563</v>
      </c>
      <c r="H32" s="589">
        <v>1756</v>
      </c>
      <c r="I32" s="583">
        <v>1756</v>
      </c>
      <c r="J32" s="589"/>
      <c r="K32" s="589" t="s">
        <v>1071</v>
      </c>
      <c r="L32" s="806">
        <v>2</v>
      </c>
      <c r="N32" s="807">
        <v>41326</v>
      </c>
    </row>
    <row r="33" spans="1:14">
      <c r="A33" s="589" t="s">
        <v>1404</v>
      </c>
      <c r="B33" s="583" t="s">
        <v>1405</v>
      </c>
      <c r="C33" s="243">
        <v>41324</v>
      </c>
      <c r="D33" s="243">
        <v>41324</v>
      </c>
      <c r="E33" s="589" t="s">
        <v>245</v>
      </c>
      <c r="F33" s="589" t="s">
        <v>1392</v>
      </c>
      <c r="G33" s="589" t="s">
        <v>565</v>
      </c>
      <c r="H33" s="589">
        <v>36</v>
      </c>
      <c r="I33" s="808" t="s">
        <v>1406</v>
      </c>
      <c r="J33" s="688"/>
      <c r="K33" s="637" t="s">
        <v>1071</v>
      </c>
      <c r="L33" s="809">
        <v>3</v>
      </c>
      <c r="N33" s="807">
        <v>41341</v>
      </c>
    </row>
    <row r="34" spans="1:14">
      <c r="A34" s="589" t="s">
        <v>1404</v>
      </c>
      <c r="B34" s="583" t="s">
        <v>1405</v>
      </c>
      <c r="C34" s="243">
        <v>41324</v>
      </c>
      <c r="D34" s="243">
        <v>41324</v>
      </c>
      <c r="E34" s="589" t="s">
        <v>179</v>
      </c>
      <c r="F34" s="589" t="s">
        <v>1392</v>
      </c>
      <c r="G34" s="805" t="s">
        <v>564</v>
      </c>
      <c r="H34" s="589">
        <v>30</v>
      </c>
      <c r="I34" s="583">
        <v>30</v>
      </c>
      <c r="J34" s="589"/>
      <c r="K34" s="589" t="s">
        <v>1071</v>
      </c>
      <c r="L34" s="806">
        <v>2</v>
      </c>
      <c r="N34" s="807">
        <v>41339</v>
      </c>
    </row>
    <row r="35" spans="1:14">
      <c r="A35" s="589" t="s">
        <v>1404</v>
      </c>
      <c r="B35" s="583" t="s">
        <v>1405</v>
      </c>
      <c r="C35" s="243">
        <v>41324</v>
      </c>
      <c r="D35" s="243">
        <v>41324</v>
      </c>
      <c r="E35" s="584" t="s">
        <v>206</v>
      </c>
      <c r="F35" s="589" t="s">
        <v>1392</v>
      </c>
      <c r="G35" s="805" t="s">
        <v>995</v>
      </c>
      <c r="H35" s="589">
        <v>1898</v>
      </c>
      <c r="I35" s="583">
        <v>1898</v>
      </c>
      <c r="J35" s="589"/>
      <c r="K35" s="637" t="s">
        <v>1071</v>
      </c>
      <c r="L35" s="806">
        <v>2</v>
      </c>
      <c r="N35" s="807">
        <v>41340</v>
      </c>
    </row>
    <row r="36" spans="1:14">
      <c r="A36" s="589" t="s">
        <v>1407</v>
      </c>
      <c r="B36" s="583" t="s">
        <v>1408</v>
      </c>
      <c r="C36" s="243">
        <v>41324</v>
      </c>
      <c r="D36" s="243">
        <v>41324</v>
      </c>
      <c r="E36" s="589" t="s">
        <v>185</v>
      </c>
      <c r="F36" s="589" t="s">
        <v>1392</v>
      </c>
      <c r="G36" s="589" t="s">
        <v>563</v>
      </c>
      <c r="H36" s="589">
        <v>1513</v>
      </c>
      <c r="I36" s="583">
        <v>1513</v>
      </c>
      <c r="J36" s="589"/>
      <c r="K36" s="589" t="s">
        <v>1071</v>
      </c>
      <c r="L36" s="806">
        <v>2</v>
      </c>
      <c r="N36" s="807">
        <v>41326</v>
      </c>
    </row>
    <row r="37" spans="1:14">
      <c r="A37" s="589" t="s">
        <v>1407</v>
      </c>
      <c r="B37" s="583" t="s">
        <v>1408</v>
      </c>
      <c r="C37" s="243">
        <v>41324</v>
      </c>
      <c r="D37" s="243">
        <v>41324</v>
      </c>
      <c r="E37" s="589" t="s">
        <v>245</v>
      </c>
      <c r="F37" s="589" t="s">
        <v>1392</v>
      </c>
      <c r="G37" s="589" t="s">
        <v>565</v>
      </c>
      <c r="H37" s="589">
        <v>28</v>
      </c>
      <c r="I37" s="808" t="s">
        <v>1409</v>
      </c>
      <c r="J37" s="688"/>
      <c r="K37" s="637" t="s">
        <v>1071</v>
      </c>
      <c r="L37" s="809">
        <v>3</v>
      </c>
      <c r="N37" s="807">
        <v>41341</v>
      </c>
    </row>
    <row r="38" spans="1:14">
      <c r="A38" s="589" t="s">
        <v>1407</v>
      </c>
      <c r="B38" s="583" t="s">
        <v>1408</v>
      </c>
      <c r="C38" s="243">
        <v>41324</v>
      </c>
      <c r="D38" s="243">
        <v>41324</v>
      </c>
      <c r="E38" s="589" t="s">
        <v>179</v>
      </c>
      <c r="F38" s="589" t="s">
        <v>1392</v>
      </c>
      <c r="G38" s="805" t="s">
        <v>564</v>
      </c>
      <c r="H38" s="589">
        <v>15</v>
      </c>
      <c r="I38" s="583">
        <v>15</v>
      </c>
      <c r="J38" s="589"/>
      <c r="K38" s="589" t="s">
        <v>1071</v>
      </c>
      <c r="L38" s="806">
        <v>2</v>
      </c>
      <c r="N38" s="807">
        <v>41339</v>
      </c>
    </row>
    <row r="39" spans="1:14">
      <c r="A39" s="589" t="s">
        <v>1407</v>
      </c>
      <c r="B39" s="583" t="s">
        <v>1408</v>
      </c>
      <c r="C39" s="243">
        <v>41324</v>
      </c>
      <c r="D39" s="243">
        <v>41324</v>
      </c>
      <c r="E39" s="584" t="s">
        <v>206</v>
      </c>
      <c r="F39" s="589" t="s">
        <v>1392</v>
      </c>
      <c r="G39" s="805" t="s">
        <v>995</v>
      </c>
      <c r="H39" s="589">
        <v>1667</v>
      </c>
      <c r="I39" s="583">
        <v>1667</v>
      </c>
      <c r="J39" s="589"/>
      <c r="K39" s="637" t="s">
        <v>1071</v>
      </c>
      <c r="L39" s="806">
        <v>2</v>
      </c>
      <c r="N39" s="807">
        <v>41340</v>
      </c>
    </row>
    <row r="40" spans="1:14">
      <c r="A40" s="589" t="s">
        <v>1410</v>
      </c>
      <c r="B40" s="583">
        <v>52</v>
      </c>
      <c r="C40" s="243">
        <v>41324</v>
      </c>
      <c r="D40" s="243">
        <v>41324</v>
      </c>
      <c r="E40" s="589" t="s">
        <v>185</v>
      </c>
      <c r="F40" s="589" t="s">
        <v>1392</v>
      </c>
      <c r="G40" s="589" t="s">
        <v>563</v>
      </c>
      <c r="H40" s="589">
        <v>507</v>
      </c>
      <c r="I40" s="583">
        <v>507</v>
      </c>
      <c r="J40" s="589"/>
      <c r="K40" s="589" t="s">
        <v>1071</v>
      </c>
      <c r="L40" s="806">
        <v>2</v>
      </c>
      <c r="N40" s="807">
        <v>41326</v>
      </c>
    </row>
    <row r="41" spans="1:14">
      <c r="A41" s="589" t="s">
        <v>1410</v>
      </c>
      <c r="B41" s="583">
        <v>52</v>
      </c>
      <c r="C41" s="243">
        <v>41324</v>
      </c>
      <c r="D41" s="243">
        <v>41324</v>
      </c>
      <c r="E41" s="589" t="s">
        <v>245</v>
      </c>
      <c r="F41" s="589" t="s">
        <v>1392</v>
      </c>
      <c r="G41" s="589" t="s">
        <v>565</v>
      </c>
      <c r="H41" s="589">
        <v>16</v>
      </c>
      <c r="I41" s="808" t="s">
        <v>1411</v>
      </c>
      <c r="J41" s="688"/>
      <c r="K41" s="637" t="s">
        <v>1071</v>
      </c>
      <c r="L41" s="809">
        <v>3</v>
      </c>
      <c r="N41" s="807">
        <v>41341</v>
      </c>
    </row>
    <row r="42" spans="1:14">
      <c r="A42" s="589" t="s">
        <v>1410</v>
      </c>
      <c r="B42" s="583">
        <v>52</v>
      </c>
      <c r="C42" s="243">
        <v>41324</v>
      </c>
      <c r="D42" s="243">
        <v>41324</v>
      </c>
      <c r="E42" s="589" t="s">
        <v>179</v>
      </c>
      <c r="F42" s="589" t="s">
        <v>1392</v>
      </c>
      <c r="G42" s="805" t="s">
        <v>564</v>
      </c>
      <c r="H42" s="589">
        <v>9</v>
      </c>
      <c r="I42" s="583">
        <v>9</v>
      </c>
      <c r="J42" s="589"/>
      <c r="K42" s="589" t="s">
        <v>1071</v>
      </c>
      <c r="L42" s="806">
        <v>2</v>
      </c>
      <c r="N42" s="807">
        <v>41339</v>
      </c>
    </row>
    <row r="43" spans="1:14">
      <c r="A43" s="589" t="s">
        <v>1410</v>
      </c>
      <c r="B43" s="583">
        <v>52</v>
      </c>
      <c r="C43" s="243">
        <v>41324</v>
      </c>
      <c r="D43" s="243">
        <v>41324</v>
      </c>
      <c r="E43" s="584" t="s">
        <v>206</v>
      </c>
      <c r="F43" s="589" t="s">
        <v>1392</v>
      </c>
      <c r="G43" s="805" t="s">
        <v>995</v>
      </c>
      <c r="H43" s="589">
        <v>514</v>
      </c>
      <c r="I43" s="583">
        <v>514</v>
      </c>
      <c r="J43" s="589"/>
      <c r="K43" s="637" t="s">
        <v>1071</v>
      </c>
      <c r="L43" s="806">
        <v>2</v>
      </c>
      <c r="N43" s="807">
        <v>41340</v>
      </c>
    </row>
    <row r="44" spans="1:14">
      <c r="A44" s="589" t="s">
        <v>1412</v>
      </c>
      <c r="B44" s="583">
        <v>53</v>
      </c>
      <c r="C44" s="243">
        <v>41324</v>
      </c>
      <c r="D44" s="243">
        <v>41324</v>
      </c>
      <c r="E44" s="589" t="s">
        <v>185</v>
      </c>
      <c r="F44" s="589" t="s">
        <v>1392</v>
      </c>
      <c r="G44" s="589" t="s">
        <v>563</v>
      </c>
      <c r="H44" s="589">
        <v>126</v>
      </c>
      <c r="I44" s="583">
        <v>126</v>
      </c>
      <c r="J44" s="589"/>
      <c r="K44" s="589" t="s">
        <v>1071</v>
      </c>
      <c r="L44" s="806">
        <v>2</v>
      </c>
      <c r="N44" s="807">
        <v>41326</v>
      </c>
    </row>
    <row r="45" spans="1:14">
      <c r="A45" s="589" t="s">
        <v>1412</v>
      </c>
      <c r="B45" s="583">
        <v>53</v>
      </c>
      <c r="C45" s="243">
        <v>41324</v>
      </c>
      <c r="D45" s="243">
        <v>41324</v>
      </c>
      <c r="E45" s="589" t="s">
        <v>245</v>
      </c>
      <c r="F45" s="589" t="s">
        <v>1392</v>
      </c>
      <c r="G45" s="589" t="s">
        <v>565</v>
      </c>
      <c r="H45" s="589">
        <v>20</v>
      </c>
      <c r="I45" s="808" t="s">
        <v>1413</v>
      </c>
      <c r="J45" s="688"/>
      <c r="K45" s="637" t="s">
        <v>1071</v>
      </c>
      <c r="L45" s="809">
        <v>3</v>
      </c>
      <c r="N45" s="807">
        <v>41341</v>
      </c>
    </row>
    <row r="46" spans="1:14">
      <c r="A46" s="589" t="s">
        <v>1412</v>
      </c>
      <c r="B46" s="583">
        <v>53</v>
      </c>
      <c r="C46" s="243">
        <v>41324</v>
      </c>
      <c r="D46" s="243">
        <v>41324</v>
      </c>
      <c r="E46" s="589" t="s">
        <v>179</v>
      </c>
      <c r="F46" s="589" t="s">
        <v>1392</v>
      </c>
      <c r="G46" s="805" t="s">
        <v>564</v>
      </c>
      <c r="H46" s="589">
        <v>13</v>
      </c>
      <c r="I46" s="583">
        <v>13</v>
      </c>
      <c r="J46" s="589"/>
      <c r="K46" s="589" t="s">
        <v>1071</v>
      </c>
      <c r="L46" s="806">
        <v>2</v>
      </c>
      <c r="N46" s="807">
        <v>41339</v>
      </c>
    </row>
    <row r="47" spans="1:14">
      <c r="A47" s="589" t="s">
        <v>1412</v>
      </c>
      <c r="B47" s="583">
        <v>53</v>
      </c>
      <c r="C47" s="243">
        <v>41324</v>
      </c>
      <c r="D47" s="243">
        <v>41324</v>
      </c>
      <c r="E47" s="584" t="s">
        <v>206</v>
      </c>
      <c r="F47" s="589" t="s">
        <v>1392</v>
      </c>
      <c r="G47" s="805" t="s">
        <v>995</v>
      </c>
      <c r="H47" s="589">
        <v>202</v>
      </c>
      <c r="I47" s="583">
        <v>202</v>
      </c>
      <c r="J47" s="589"/>
      <c r="K47" s="637" t="s">
        <v>1071</v>
      </c>
      <c r="L47" s="806">
        <v>2</v>
      </c>
      <c r="N47" s="807">
        <v>41340</v>
      </c>
    </row>
    <row r="48" spans="1:14">
      <c r="A48" s="589" t="s">
        <v>1414</v>
      </c>
      <c r="B48" s="583">
        <v>54</v>
      </c>
      <c r="C48" s="243">
        <v>41324</v>
      </c>
      <c r="D48" s="243">
        <v>41324</v>
      </c>
      <c r="E48" s="589" t="s">
        <v>185</v>
      </c>
      <c r="F48" s="589" t="s">
        <v>1392</v>
      </c>
      <c r="G48" s="589" t="s">
        <v>563</v>
      </c>
      <c r="H48" s="589">
        <v>217</v>
      </c>
      <c r="I48" s="583">
        <v>217</v>
      </c>
      <c r="J48" s="589"/>
      <c r="K48" s="589" t="s">
        <v>1071</v>
      </c>
      <c r="L48" s="806">
        <v>2</v>
      </c>
      <c r="N48" s="807">
        <v>41326</v>
      </c>
    </row>
    <row r="49" spans="1:14">
      <c r="A49" s="589" t="s">
        <v>1414</v>
      </c>
      <c r="B49" s="583">
        <v>54</v>
      </c>
      <c r="C49" s="243">
        <v>41324</v>
      </c>
      <c r="D49" s="243">
        <v>41324</v>
      </c>
      <c r="E49" s="589" t="s">
        <v>245</v>
      </c>
      <c r="F49" s="589" t="s">
        <v>1392</v>
      </c>
      <c r="G49" s="589" t="s">
        <v>565</v>
      </c>
      <c r="H49" s="589">
        <v>17</v>
      </c>
      <c r="I49" s="808" t="s">
        <v>1415</v>
      </c>
      <c r="J49" s="688"/>
      <c r="K49" s="637" t="s">
        <v>1071</v>
      </c>
      <c r="L49" s="809">
        <v>3</v>
      </c>
      <c r="N49" s="807">
        <v>41341</v>
      </c>
    </row>
    <row r="50" spans="1:14">
      <c r="A50" s="589" t="s">
        <v>1414</v>
      </c>
      <c r="B50" s="583">
        <v>54</v>
      </c>
      <c r="C50" s="243">
        <v>41324</v>
      </c>
      <c r="D50" s="243">
        <v>41324</v>
      </c>
      <c r="E50" s="589" t="s">
        <v>179</v>
      </c>
      <c r="F50" s="589" t="s">
        <v>1392</v>
      </c>
      <c r="G50" s="805" t="s">
        <v>564</v>
      </c>
      <c r="H50" s="589">
        <v>90</v>
      </c>
      <c r="I50" s="583">
        <v>90</v>
      </c>
      <c r="J50" s="589"/>
      <c r="K50" s="589" t="s">
        <v>1071</v>
      </c>
      <c r="L50" s="806">
        <v>2</v>
      </c>
      <c r="N50" s="807">
        <v>41339</v>
      </c>
    </row>
    <row r="51" spans="1:14">
      <c r="A51" s="589" t="s">
        <v>1414</v>
      </c>
      <c r="B51" s="583">
        <v>54</v>
      </c>
      <c r="C51" s="243">
        <v>41324</v>
      </c>
      <c r="D51" s="243">
        <v>41324</v>
      </c>
      <c r="E51" s="584" t="s">
        <v>206</v>
      </c>
      <c r="F51" s="589" t="s">
        <v>1392</v>
      </c>
      <c r="G51" s="805" t="s">
        <v>995</v>
      </c>
      <c r="H51" s="589">
        <v>391</v>
      </c>
      <c r="I51" s="583">
        <v>391</v>
      </c>
      <c r="J51" s="589"/>
      <c r="K51" s="637" t="s">
        <v>1071</v>
      </c>
      <c r="L51" s="806">
        <v>2</v>
      </c>
      <c r="N51" s="807">
        <v>41340</v>
      </c>
    </row>
    <row r="52" spans="1:14">
      <c r="A52" s="589" t="s">
        <v>1416</v>
      </c>
      <c r="B52" s="583">
        <v>55</v>
      </c>
      <c r="C52" s="243">
        <v>41324</v>
      </c>
      <c r="D52" s="243">
        <v>41324</v>
      </c>
      <c r="E52" s="589" t="s">
        <v>185</v>
      </c>
      <c r="F52" s="589" t="s">
        <v>1392</v>
      </c>
      <c r="G52" s="589" t="s">
        <v>563</v>
      </c>
      <c r="H52" s="589">
        <v>8</v>
      </c>
      <c r="I52" s="583">
        <v>8</v>
      </c>
      <c r="J52" s="589"/>
      <c r="K52" s="589" t="s">
        <v>1071</v>
      </c>
      <c r="L52" s="806">
        <v>2</v>
      </c>
      <c r="N52" s="807">
        <v>41326</v>
      </c>
    </row>
    <row r="53" spans="1:14">
      <c r="A53" s="589" t="s">
        <v>1416</v>
      </c>
      <c r="B53" s="583">
        <v>55</v>
      </c>
      <c r="C53" s="243">
        <v>41324</v>
      </c>
      <c r="D53" s="243">
        <v>41324</v>
      </c>
      <c r="E53" s="589" t="s">
        <v>245</v>
      </c>
      <c r="F53" s="589" t="s">
        <v>1392</v>
      </c>
      <c r="G53" s="589" t="s">
        <v>565</v>
      </c>
      <c r="H53" s="589">
        <v>18</v>
      </c>
      <c r="I53" s="808" t="s">
        <v>1417</v>
      </c>
      <c r="J53" s="688"/>
      <c r="K53" s="637" t="s">
        <v>1071</v>
      </c>
      <c r="L53" s="809">
        <v>3</v>
      </c>
      <c r="N53" s="807">
        <v>41341</v>
      </c>
    </row>
    <row r="54" spans="1:14">
      <c r="A54" s="589" t="s">
        <v>1416</v>
      </c>
      <c r="B54" s="583">
        <v>55</v>
      </c>
      <c r="C54" s="243">
        <v>41324</v>
      </c>
      <c r="D54" s="243">
        <v>41324</v>
      </c>
      <c r="E54" s="589" t="s">
        <v>179</v>
      </c>
      <c r="F54" s="589" t="s">
        <v>1392</v>
      </c>
      <c r="G54" s="805" t="s">
        <v>564</v>
      </c>
      <c r="H54" s="589">
        <v>41</v>
      </c>
      <c r="I54" s="583">
        <v>41</v>
      </c>
      <c r="J54" s="589"/>
      <c r="K54" s="589" t="s">
        <v>1071</v>
      </c>
      <c r="L54" s="806">
        <v>2</v>
      </c>
      <c r="N54" s="807">
        <v>41339</v>
      </c>
    </row>
    <row r="55" spans="1:14">
      <c r="A55" s="589" t="s">
        <v>1416</v>
      </c>
      <c r="B55" s="583">
        <v>55</v>
      </c>
      <c r="C55" s="243">
        <v>41324</v>
      </c>
      <c r="D55" s="243">
        <v>41324</v>
      </c>
      <c r="E55" s="584" t="s">
        <v>206</v>
      </c>
      <c r="F55" s="589" t="s">
        <v>1392</v>
      </c>
      <c r="G55" s="805" t="s">
        <v>995</v>
      </c>
      <c r="H55" s="589">
        <v>301</v>
      </c>
      <c r="I55" s="583">
        <v>301</v>
      </c>
      <c r="J55" s="589"/>
      <c r="K55" s="637" t="s">
        <v>1071</v>
      </c>
      <c r="L55" s="806">
        <v>2</v>
      </c>
      <c r="N55" s="807">
        <v>41340</v>
      </c>
    </row>
    <row r="56" spans="1:14" ht="13">
      <c r="A56" s="635" t="s">
        <v>1384</v>
      </c>
      <c r="B56" s="635" t="s">
        <v>1141</v>
      </c>
      <c r="C56" s="802" t="s">
        <v>1385</v>
      </c>
      <c r="D56" s="802" t="s">
        <v>1386</v>
      </c>
      <c r="E56" s="635" t="s">
        <v>1140</v>
      </c>
      <c r="F56" s="635" t="s">
        <v>1387</v>
      </c>
      <c r="G56" s="635" t="s">
        <v>1388</v>
      </c>
      <c r="H56" s="635" t="s">
        <v>1139</v>
      </c>
      <c r="I56" s="636" t="s">
        <v>1139</v>
      </c>
      <c r="J56" s="635" t="s">
        <v>1389</v>
      </c>
      <c r="K56" s="635" t="s">
        <v>1138</v>
      </c>
      <c r="L56" s="803" t="s">
        <v>1077</v>
      </c>
      <c r="N56" s="802" t="s">
        <v>1390</v>
      </c>
    </row>
    <row r="57" spans="1:14">
      <c r="A57" s="804" t="s">
        <v>1418</v>
      </c>
      <c r="B57" s="583" t="s">
        <v>1095</v>
      </c>
      <c r="C57" s="243">
        <v>41358</v>
      </c>
      <c r="D57" s="243">
        <v>41358</v>
      </c>
      <c r="E57" s="584" t="s">
        <v>206</v>
      </c>
      <c r="F57" s="589" t="s">
        <v>1392</v>
      </c>
      <c r="G57" s="805" t="s">
        <v>1070</v>
      </c>
      <c r="H57" s="589">
        <v>684</v>
      </c>
      <c r="I57" s="583">
        <v>684</v>
      </c>
      <c r="J57" s="589"/>
      <c r="K57" s="637" t="s">
        <v>1071</v>
      </c>
      <c r="L57" s="806">
        <v>4</v>
      </c>
      <c r="M57" s="806">
        <v>28</v>
      </c>
      <c r="N57" s="807">
        <v>41372</v>
      </c>
    </row>
    <row r="58" spans="1:14">
      <c r="A58" s="688" t="s">
        <v>1418</v>
      </c>
      <c r="B58" s="583" t="s">
        <v>1095</v>
      </c>
      <c r="C58" s="243">
        <v>41358</v>
      </c>
      <c r="D58" s="243">
        <v>41358</v>
      </c>
      <c r="E58" s="589" t="s">
        <v>185</v>
      </c>
      <c r="F58" s="589" t="s">
        <v>1392</v>
      </c>
      <c r="G58" s="589" t="s">
        <v>563</v>
      </c>
      <c r="H58" s="589">
        <v>452</v>
      </c>
      <c r="I58" s="583">
        <v>452</v>
      </c>
      <c r="J58" s="589"/>
      <c r="K58" s="589" t="s">
        <v>1071</v>
      </c>
      <c r="L58" s="806">
        <v>2</v>
      </c>
      <c r="M58" s="806">
        <v>14</v>
      </c>
      <c r="N58" s="807">
        <v>41360</v>
      </c>
    </row>
    <row r="59" spans="1:14">
      <c r="A59" s="688" t="s">
        <v>1418</v>
      </c>
      <c r="B59" s="583" t="s">
        <v>1095</v>
      </c>
      <c r="C59" s="243">
        <v>41358</v>
      </c>
      <c r="D59" s="243">
        <v>41358</v>
      </c>
      <c r="E59" s="589" t="s">
        <v>245</v>
      </c>
      <c r="F59" s="589" t="s">
        <v>1392</v>
      </c>
      <c r="G59" s="589" t="s">
        <v>565</v>
      </c>
      <c r="H59" s="589">
        <v>29</v>
      </c>
      <c r="I59" s="808">
        <v>29</v>
      </c>
      <c r="J59" s="688"/>
      <c r="K59" s="637" t="s">
        <v>1071</v>
      </c>
      <c r="L59" s="809">
        <v>3</v>
      </c>
      <c r="M59" s="809">
        <v>21</v>
      </c>
      <c r="N59" s="807">
        <v>41375</v>
      </c>
    </row>
    <row r="60" spans="1:14">
      <c r="A60" s="688" t="s">
        <v>1418</v>
      </c>
      <c r="B60" s="583" t="s">
        <v>1095</v>
      </c>
      <c r="C60" s="243">
        <v>41358</v>
      </c>
      <c r="D60" s="243">
        <v>41358</v>
      </c>
      <c r="E60" s="589" t="s">
        <v>179</v>
      </c>
      <c r="F60" s="589" t="s">
        <v>1392</v>
      </c>
      <c r="G60" s="805" t="s">
        <v>1000</v>
      </c>
      <c r="H60" s="589">
        <v>5</v>
      </c>
      <c r="I60" s="583">
        <v>5</v>
      </c>
      <c r="J60" s="589" t="s">
        <v>1419</v>
      </c>
      <c r="K60" s="589" t="s">
        <v>1071</v>
      </c>
      <c r="L60" s="806">
        <v>2</v>
      </c>
      <c r="M60" s="806">
        <v>14</v>
      </c>
      <c r="N60" s="807">
        <v>41372</v>
      </c>
    </row>
    <row r="61" spans="1:14">
      <c r="A61" s="589" t="s">
        <v>1418</v>
      </c>
      <c r="B61" s="583" t="s">
        <v>1095</v>
      </c>
      <c r="C61" s="243">
        <v>41358</v>
      </c>
      <c r="D61" s="243">
        <v>41358</v>
      </c>
      <c r="E61" s="590" t="s">
        <v>180</v>
      </c>
      <c r="F61" s="589" t="s">
        <v>1392</v>
      </c>
      <c r="G61" s="805" t="s">
        <v>564</v>
      </c>
      <c r="H61" s="591">
        <v>6</v>
      </c>
      <c r="I61" s="590">
        <v>6</v>
      </c>
      <c r="J61" s="637" t="s">
        <v>1419</v>
      </c>
      <c r="K61" s="589" t="s">
        <v>1071</v>
      </c>
      <c r="L61" s="810">
        <v>2</v>
      </c>
      <c r="M61" s="810">
        <v>14</v>
      </c>
      <c r="N61" s="807">
        <v>41372</v>
      </c>
    </row>
    <row r="62" spans="1:14">
      <c r="A62" s="688" t="s">
        <v>1418</v>
      </c>
      <c r="B62" s="583" t="s">
        <v>1095</v>
      </c>
      <c r="C62" s="243">
        <v>41358</v>
      </c>
      <c r="D62" s="243">
        <v>41358</v>
      </c>
      <c r="E62" s="589" t="s">
        <v>184</v>
      </c>
      <c r="F62" s="589" t="s">
        <v>1392</v>
      </c>
      <c r="G62" s="589" t="s">
        <v>1396</v>
      </c>
      <c r="H62" s="592">
        <v>6.4</v>
      </c>
      <c r="I62" s="811">
        <v>6.4</v>
      </c>
      <c r="J62" s="589"/>
      <c r="K62" s="589" t="s">
        <v>1096</v>
      </c>
      <c r="L62" s="806">
        <v>4</v>
      </c>
      <c r="M62" s="806"/>
      <c r="N62" s="807">
        <v>41359</v>
      </c>
    </row>
    <row r="63" spans="1:14">
      <c r="A63" s="589" t="s">
        <v>1420</v>
      </c>
      <c r="B63" s="583" t="s">
        <v>1097</v>
      </c>
      <c r="C63" s="243">
        <v>41358</v>
      </c>
      <c r="D63" s="243">
        <v>41358</v>
      </c>
      <c r="E63" s="590" t="s">
        <v>180</v>
      </c>
      <c r="F63" s="589" t="s">
        <v>1392</v>
      </c>
      <c r="G63" s="805" t="s">
        <v>564</v>
      </c>
      <c r="H63" s="591">
        <v>29</v>
      </c>
      <c r="I63" s="590">
        <v>29</v>
      </c>
      <c r="J63" s="637"/>
      <c r="K63" s="589" t="s">
        <v>1071</v>
      </c>
      <c r="L63" s="810">
        <v>2</v>
      </c>
      <c r="M63" s="810">
        <v>14</v>
      </c>
      <c r="N63" s="807">
        <v>41372</v>
      </c>
    </row>
    <row r="64" spans="1:14">
      <c r="A64" s="804" t="s">
        <v>1420</v>
      </c>
      <c r="B64" s="583" t="s">
        <v>1097</v>
      </c>
      <c r="C64" s="243">
        <v>41358</v>
      </c>
      <c r="D64" s="243">
        <v>41358</v>
      </c>
      <c r="E64" s="584" t="s">
        <v>206</v>
      </c>
      <c r="F64" s="589" t="s">
        <v>1392</v>
      </c>
      <c r="G64" s="805" t="s">
        <v>1070</v>
      </c>
      <c r="H64" s="589">
        <v>2870</v>
      </c>
      <c r="I64" s="583">
        <v>2870</v>
      </c>
      <c r="J64" s="589"/>
      <c r="K64" s="637" t="s">
        <v>1071</v>
      </c>
      <c r="L64" s="806">
        <v>4</v>
      </c>
      <c r="M64" s="806">
        <v>28</v>
      </c>
      <c r="N64" s="807">
        <v>41372</v>
      </c>
    </row>
    <row r="65" spans="1:14">
      <c r="A65" s="688" t="s">
        <v>1420</v>
      </c>
      <c r="B65" s="583" t="s">
        <v>1097</v>
      </c>
      <c r="C65" s="243">
        <v>41358</v>
      </c>
      <c r="D65" s="243">
        <v>41358</v>
      </c>
      <c r="E65" s="589" t="s">
        <v>185</v>
      </c>
      <c r="F65" s="589" t="s">
        <v>1392</v>
      </c>
      <c r="G65" s="589" t="s">
        <v>563</v>
      </c>
      <c r="H65" s="589">
        <v>2087</v>
      </c>
      <c r="I65" s="583">
        <v>2087</v>
      </c>
      <c r="J65" s="589"/>
      <c r="K65" s="589" t="s">
        <v>1071</v>
      </c>
      <c r="L65" s="806">
        <v>2</v>
      </c>
      <c r="M65" s="806">
        <v>14</v>
      </c>
      <c r="N65" s="807">
        <v>41360</v>
      </c>
    </row>
    <row r="66" spans="1:14">
      <c r="A66" s="688" t="s">
        <v>1421</v>
      </c>
      <c r="B66" s="583" t="s">
        <v>1097</v>
      </c>
      <c r="C66" s="243">
        <v>41358</v>
      </c>
      <c r="D66" s="243">
        <v>41358</v>
      </c>
      <c r="E66" s="589" t="s">
        <v>245</v>
      </c>
      <c r="F66" s="589" t="s">
        <v>1392</v>
      </c>
      <c r="G66" s="589" t="s">
        <v>565</v>
      </c>
      <c r="H66" s="589">
        <v>49</v>
      </c>
      <c r="I66" s="808">
        <v>49</v>
      </c>
      <c r="J66" s="688"/>
      <c r="K66" s="637" t="s">
        <v>1071</v>
      </c>
      <c r="L66" s="809">
        <v>3</v>
      </c>
      <c r="M66" s="809">
        <v>21</v>
      </c>
      <c r="N66" s="807">
        <v>41375</v>
      </c>
    </row>
    <row r="67" spans="1:14">
      <c r="A67" s="688" t="s">
        <v>1420</v>
      </c>
      <c r="B67" s="583" t="s">
        <v>1097</v>
      </c>
      <c r="C67" s="243">
        <v>41358</v>
      </c>
      <c r="D67" s="243">
        <v>41358</v>
      </c>
      <c r="E67" s="589" t="s">
        <v>179</v>
      </c>
      <c r="F67" s="589" t="s">
        <v>1392</v>
      </c>
      <c r="G67" s="805" t="s">
        <v>1000</v>
      </c>
      <c r="H67" s="589">
        <v>70</v>
      </c>
      <c r="I67" s="583">
        <v>70</v>
      </c>
      <c r="J67" s="589"/>
      <c r="K67" s="589" t="s">
        <v>1071</v>
      </c>
      <c r="L67" s="806">
        <v>2</v>
      </c>
      <c r="M67" s="806">
        <v>14</v>
      </c>
      <c r="N67" s="807">
        <v>41372</v>
      </c>
    </row>
    <row r="68" spans="1:14">
      <c r="A68" s="688" t="s">
        <v>1420</v>
      </c>
      <c r="B68" s="583" t="s">
        <v>1097</v>
      </c>
      <c r="C68" s="243">
        <v>41358</v>
      </c>
      <c r="D68" s="243">
        <v>41358</v>
      </c>
      <c r="E68" s="589" t="s">
        <v>184</v>
      </c>
      <c r="F68" s="589" t="s">
        <v>1392</v>
      </c>
      <c r="G68" s="589" t="s">
        <v>1396</v>
      </c>
      <c r="H68" s="592">
        <v>12.4</v>
      </c>
      <c r="I68" s="811">
        <v>12.4</v>
      </c>
      <c r="J68" s="589"/>
      <c r="K68" s="589" t="s">
        <v>1096</v>
      </c>
      <c r="L68" s="806">
        <v>4</v>
      </c>
      <c r="M68" s="806"/>
      <c r="N68" s="807">
        <v>41359</v>
      </c>
    </row>
    <row r="69" spans="1:14">
      <c r="A69" s="589" t="s">
        <v>1421</v>
      </c>
      <c r="B69" s="583">
        <v>45</v>
      </c>
      <c r="C69" s="243">
        <v>41358</v>
      </c>
      <c r="D69" s="243">
        <v>41358</v>
      </c>
      <c r="E69" s="590" t="s">
        <v>180</v>
      </c>
      <c r="F69" s="589" t="s">
        <v>1392</v>
      </c>
      <c r="G69" s="805" t="s">
        <v>564</v>
      </c>
      <c r="H69" s="591">
        <v>5</v>
      </c>
      <c r="I69" s="590">
        <v>5</v>
      </c>
      <c r="J69" s="637" t="s">
        <v>1419</v>
      </c>
      <c r="K69" s="589" t="s">
        <v>1071</v>
      </c>
      <c r="L69" s="810">
        <v>2</v>
      </c>
      <c r="M69" s="810">
        <v>14</v>
      </c>
      <c r="N69" s="807">
        <v>41372</v>
      </c>
    </row>
    <row r="70" spans="1:14">
      <c r="A70" s="804" t="s">
        <v>1421</v>
      </c>
      <c r="B70" s="583">
        <v>45</v>
      </c>
      <c r="C70" s="243">
        <v>41358</v>
      </c>
      <c r="D70" s="243">
        <v>41358</v>
      </c>
      <c r="E70" s="589" t="s">
        <v>185</v>
      </c>
      <c r="F70" s="589" t="s">
        <v>1392</v>
      </c>
      <c r="G70" s="589" t="s">
        <v>563</v>
      </c>
      <c r="H70" s="589">
        <v>168</v>
      </c>
      <c r="I70" s="583">
        <v>168</v>
      </c>
      <c r="J70" s="589"/>
      <c r="K70" s="589" t="s">
        <v>1071</v>
      </c>
      <c r="L70" s="806">
        <v>2</v>
      </c>
      <c r="M70" s="806">
        <v>14</v>
      </c>
      <c r="N70" s="807">
        <v>41360</v>
      </c>
    </row>
    <row r="71" spans="1:14">
      <c r="A71" s="804" t="s">
        <v>1422</v>
      </c>
      <c r="B71" s="583">
        <v>45</v>
      </c>
      <c r="C71" s="243">
        <v>41358</v>
      </c>
      <c r="D71" s="243">
        <v>41358</v>
      </c>
      <c r="E71" s="589" t="s">
        <v>245</v>
      </c>
      <c r="F71" s="589" t="s">
        <v>1392</v>
      </c>
      <c r="G71" s="589" t="s">
        <v>565</v>
      </c>
      <c r="H71" s="589">
        <v>50</v>
      </c>
      <c r="I71" s="808">
        <v>50</v>
      </c>
      <c r="J71" s="688"/>
      <c r="K71" s="637" t="s">
        <v>1071</v>
      </c>
      <c r="L71" s="809">
        <v>3</v>
      </c>
      <c r="M71" s="809">
        <v>21</v>
      </c>
      <c r="N71" s="807">
        <v>41375</v>
      </c>
    </row>
    <row r="72" spans="1:14">
      <c r="A72" s="804" t="s">
        <v>1421</v>
      </c>
      <c r="B72" s="583">
        <v>45</v>
      </c>
      <c r="C72" s="243">
        <v>41358</v>
      </c>
      <c r="D72" s="243">
        <v>41358</v>
      </c>
      <c r="E72" s="589" t="s">
        <v>179</v>
      </c>
      <c r="F72" s="589" t="s">
        <v>1392</v>
      </c>
      <c r="G72" s="805" t="s">
        <v>1000</v>
      </c>
      <c r="H72" s="589">
        <v>27</v>
      </c>
      <c r="I72" s="583">
        <v>27</v>
      </c>
      <c r="J72" s="589"/>
      <c r="K72" s="589" t="s">
        <v>1071</v>
      </c>
      <c r="L72" s="806">
        <v>2</v>
      </c>
      <c r="M72" s="806">
        <v>14</v>
      </c>
      <c r="N72" s="807">
        <v>41372</v>
      </c>
    </row>
    <row r="73" spans="1:14">
      <c r="A73" s="804" t="s">
        <v>1421</v>
      </c>
      <c r="B73" s="583">
        <v>45</v>
      </c>
      <c r="C73" s="243">
        <v>41358</v>
      </c>
      <c r="D73" s="243">
        <v>41358</v>
      </c>
      <c r="E73" s="589" t="s">
        <v>184</v>
      </c>
      <c r="F73" s="589" t="s">
        <v>1392</v>
      </c>
      <c r="G73" s="589" t="s">
        <v>1396</v>
      </c>
      <c r="H73" s="592">
        <v>8.1999999999999993</v>
      </c>
      <c r="I73" s="811">
        <v>8.1999999999999993</v>
      </c>
      <c r="J73" s="589"/>
      <c r="K73" s="589" t="s">
        <v>1096</v>
      </c>
      <c r="L73" s="806">
        <v>4</v>
      </c>
      <c r="M73" s="806"/>
      <c r="N73" s="807">
        <v>41359</v>
      </c>
    </row>
    <row r="74" spans="1:14">
      <c r="A74" s="589" t="s">
        <v>1421</v>
      </c>
      <c r="B74" s="583">
        <v>45</v>
      </c>
      <c r="C74" s="243">
        <v>41358</v>
      </c>
      <c r="D74" s="243">
        <v>41358</v>
      </c>
      <c r="E74" s="584" t="s">
        <v>206</v>
      </c>
      <c r="F74" s="589" t="s">
        <v>1392</v>
      </c>
      <c r="G74" s="805" t="s">
        <v>1070</v>
      </c>
      <c r="H74" s="589">
        <v>621</v>
      </c>
      <c r="I74" s="583">
        <v>621</v>
      </c>
      <c r="J74" s="589"/>
      <c r="K74" s="637" t="s">
        <v>1071</v>
      </c>
      <c r="L74" s="806">
        <v>4</v>
      </c>
      <c r="M74" s="806">
        <v>28</v>
      </c>
      <c r="N74" s="807">
        <v>41372</v>
      </c>
    </row>
    <row r="75" spans="1:14">
      <c r="A75" s="589" t="s">
        <v>1422</v>
      </c>
      <c r="B75" s="585" t="s">
        <v>1098</v>
      </c>
      <c r="C75" s="243">
        <v>41358</v>
      </c>
      <c r="D75" s="243">
        <v>41358</v>
      </c>
      <c r="E75" s="590" t="s">
        <v>180</v>
      </c>
      <c r="F75" s="589" t="s">
        <v>1392</v>
      </c>
      <c r="G75" s="805" t="s">
        <v>564</v>
      </c>
      <c r="H75" s="591">
        <v>4</v>
      </c>
      <c r="I75" s="590">
        <v>4</v>
      </c>
      <c r="J75" s="637" t="s">
        <v>1419</v>
      </c>
      <c r="K75" s="589" t="s">
        <v>1071</v>
      </c>
      <c r="L75" s="810">
        <v>2</v>
      </c>
      <c r="M75" s="810">
        <v>14</v>
      </c>
      <c r="N75" s="807">
        <v>41372</v>
      </c>
    </row>
    <row r="76" spans="1:14">
      <c r="A76" s="589" t="s">
        <v>1422</v>
      </c>
      <c r="B76" s="585" t="s">
        <v>1098</v>
      </c>
      <c r="C76" s="243">
        <v>41358</v>
      </c>
      <c r="D76" s="243">
        <v>41358</v>
      </c>
      <c r="E76" s="589" t="s">
        <v>185</v>
      </c>
      <c r="F76" s="589" t="s">
        <v>1392</v>
      </c>
      <c r="G76" s="589" t="s">
        <v>563</v>
      </c>
      <c r="H76" s="589">
        <v>174</v>
      </c>
      <c r="I76" s="583">
        <v>174</v>
      </c>
      <c r="J76" s="589"/>
      <c r="K76" s="589" t="s">
        <v>1071</v>
      </c>
      <c r="L76" s="806">
        <v>2</v>
      </c>
      <c r="M76" s="806">
        <v>14</v>
      </c>
      <c r="N76" s="807">
        <v>41360</v>
      </c>
    </row>
    <row r="77" spans="1:14">
      <c r="A77" s="589" t="s">
        <v>1422</v>
      </c>
      <c r="B77" s="585" t="s">
        <v>1098</v>
      </c>
      <c r="C77" s="243">
        <v>41358</v>
      </c>
      <c r="D77" s="243">
        <v>41358</v>
      </c>
      <c r="E77" s="589" t="s">
        <v>179</v>
      </c>
      <c r="F77" s="589" t="s">
        <v>1392</v>
      </c>
      <c r="G77" s="805" t="s">
        <v>1000</v>
      </c>
      <c r="H77" s="589">
        <v>25</v>
      </c>
      <c r="I77" s="583">
        <v>25</v>
      </c>
      <c r="J77" s="589"/>
      <c r="K77" s="589" t="s">
        <v>1071</v>
      </c>
      <c r="L77" s="806">
        <v>2</v>
      </c>
      <c r="M77" s="806">
        <v>14</v>
      </c>
      <c r="N77" s="807">
        <v>41372</v>
      </c>
    </row>
    <row r="78" spans="1:14">
      <c r="A78" s="589" t="s">
        <v>1422</v>
      </c>
      <c r="B78" s="585" t="s">
        <v>1098</v>
      </c>
      <c r="C78" s="243">
        <v>41358</v>
      </c>
      <c r="D78" s="243">
        <v>41358</v>
      </c>
      <c r="E78" s="589" t="s">
        <v>184</v>
      </c>
      <c r="F78" s="589" t="s">
        <v>1392</v>
      </c>
      <c r="G78" s="589" t="s">
        <v>1396</v>
      </c>
      <c r="H78" s="592">
        <v>7.4</v>
      </c>
      <c r="I78" s="811">
        <v>7.4</v>
      </c>
      <c r="J78" s="589" t="s">
        <v>1394</v>
      </c>
      <c r="K78" s="589" t="s">
        <v>1096</v>
      </c>
      <c r="L78" s="806">
        <v>4</v>
      </c>
      <c r="M78" s="806"/>
      <c r="N78" s="807">
        <v>41359</v>
      </c>
    </row>
    <row r="79" spans="1:14">
      <c r="A79" s="804" t="s">
        <v>1422</v>
      </c>
      <c r="B79" s="585" t="s">
        <v>1098</v>
      </c>
      <c r="C79" s="243">
        <v>41358</v>
      </c>
      <c r="D79" s="243">
        <v>41358</v>
      </c>
      <c r="E79" s="584" t="s">
        <v>206</v>
      </c>
      <c r="F79" s="589" t="s">
        <v>1392</v>
      </c>
      <c r="G79" s="805" t="s">
        <v>1070</v>
      </c>
      <c r="H79" s="589">
        <v>703</v>
      </c>
      <c r="I79" s="583">
        <v>703</v>
      </c>
      <c r="J79" s="589"/>
      <c r="K79" s="637" t="s">
        <v>1071</v>
      </c>
      <c r="L79" s="806">
        <v>4</v>
      </c>
      <c r="M79" s="806">
        <v>28</v>
      </c>
      <c r="N79" s="807">
        <v>41372</v>
      </c>
    </row>
    <row r="80" spans="1:14">
      <c r="A80" s="804" t="s">
        <v>1422</v>
      </c>
      <c r="B80" s="583" t="s">
        <v>1098</v>
      </c>
      <c r="C80" s="243">
        <v>41358</v>
      </c>
      <c r="D80" s="243">
        <v>41358</v>
      </c>
      <c r="E80" s="584" t="s">
        <v>181</v>
      </c>
      <c r="F80" s="804" t="s">
        <v>1392</v>
      </c>
      <c r="G80" s="812" t="s">
        <v>1402</v>
      </c>
      <c r="H80" s="332">
        <v>21.5</v>
      </c>
      <c r="I80" s="813">
        <v>21.5</v>
      </c>
      <c r="J80" s="814" t="s">
        <v>1394</v>
      </c>
      <c r="K80" s="589" t="s">
        <v>1071</v>
      </c>
      <c r="L80" s="810">
        <v>0.1</v>
      </c>
      <c r="M80" s="810"/>
      <c r="N80" s="807">
        <v>41369</v>
      </c>
    </row>
    <row r="81" spans="1:14">
      <c r="A81" s="804" t="s">
        <v>1422</v>
      </c>
      <c r="B81" s="583" t="s">
        <v>1098</v>
      </c>
      <c r="C81" s="243">
        <v>41358</v>
      </c>
      <c r="D81" s="243">
        <v>41358</v>
      </c>
      <c r="E81" s="584" t="s">
        <v>181</v>
      </c>
      <c r="F81" s="804" t="s">
        <v>1392</v>
      </c>
      <c r="G81" s="812" t="s">
        <v>1402</v>
      </c>
      <c r="H81" s="332">
        <v>18.899999999999999</v>
      </c>
      <c r="I81" s="813">
        <v>18.899999999999999</v>
      </c>
      <c r="J81" s="814" t="s">
        <v>1394</v>
      </c>
      <c r="K81" s="589" t="s">
        <v>1071</v>
      </c>
      <c r="L81" s="810">
        <v>0.1</v>
      </c>
      <c r="M81" s="810"/>
      <c r="N81" s="807">
        <v>41369</v>
      </c>
    </row>
    <row r="82" spans="1:14">
      <c r="A82" s="589" t="s">
        <v>1423</v>
      </c>
      <c r="B82" s="583" t="s">
        <v>1099</v>
      </c>
      <c r="C82" s="243">
        <v>41358</v>
      </c>
      <c r="D82" s="243">
        <v>41358</v>
      </c>
      <c r="E82" s="590" t="s">
        <v>180</v>
      </c>
      <c r="F82" s="589" t="s">
        <v>1392</v>
      </c>
      <c r="G82" s="805" t="s">
        <v>564</v>
      </c>
      <c r="H82" s="591">
        <v>3</v>
      </c>
      <c r="I82" s="590">
        <v>3</v>
      </c>
      <c r="J82" s="637" t="s">
        <v>1419</v>
      </c>
      <c r="K82" s="589" t="s">
        <v>1071</v>
      </c>
      <c r="L82" s="810">
        <v>2</v>
      </c>
      <c r="M82" s="810">
        <v>14</v>
      </c>
      <c r="N82" s="807">
        <v>41372</v>
      </c>
    </row>
    <row r="83" spans="1:14">
      <c r="A83" s="589" t="s">
        <v>1423</v>
      </c>
      <c r="B83" s="583" t="s">
        <v>1099</v>
      </c>
      <c r="C83" s="243">
        <v>41358</v>
      </c>
      <c r="D83" s="243">
        <v>41358</v>
      </c>
      <c r="E83" s="589" t="s">
        <v>185</v>
      </c>
      <c r="F83" s="589" t="s">
        <v>1392</v>
      </c>
      <c r="G83" s="589" t="s">
        <v>563</v>
      </c>
      <c r="H83" s="589">
        <v>181</v>
      </c>
      <c r="I83" s="583">
        <v>181</v>
      </c>
      <c r="J83" s="589"/>
      <c r="K83" s="589" t="s">
        <v>1071</v>
      </c>
      <c r="L83" s="806">
        <v>2</v>
      </c>
      <c r="M83" s="806">
        <v>14</v>
      </c>
      <c r="N83" s="807">
        <v>41360</v>
      </c>
    </row>
    <row r="84" spans="1:14">
      <c r="A84" s="589" t="s">
        <v>1423</v>
      </c>
      <c r="B84" s="583" t="s">
        <v>1099</v>
      </c>
      <c r="C84" s="243">
        <v>41358</v>
      </c>
      <c r="D84" s="243">
        <v>41358</v>
      </c>
      <c r="E84" s="589" t="s">
        <v>179</v>
      </c>
      <c r="F84" s="589" t="s">
        <v>1392</v>
      </c>
      <c r="G84" s="805" t="s">
        <v>1000</v>
      </c>
      <c r="H84" s="589">
        <v>27</v>
      </c>
      <c r="I84" s="583">
        <v>27</v>
      </c>
      <c r="J84" s="589"/>
      <c r="K84" s="589" t="s">
        <v>1071</v>
      </c>
      <c r="L84" s="806">
        <v>2</v>
      </c>
      <c r="M84" s="806">
        <v>14</v>
      </c>
      <c r="N84" s="807">
        <v>41372</v>
      </c>
    </row>
    <row r="85" spans="1:14">
      <c r="A85" s="589" t="s">
        <v>1423</v>
      </c>
      <c r="B85" s="583" t="s">
        <v>1099</v>
      </c>
      <c r="C85" s="243">
        <v>41358</v>
      </c>
      <c r="D85" s="243">
        <v>41358</v>
      </c>
      <c r="E85" s="589" t="s">
        <v>184</v>
      </c>
      <c r="F85" s="589" t="s">
        <v>1392</v>
      </c>
      <c r="G85" s="589" t="s">
        <v>1396</v>
      </c>
      <c r="H85" s="592">
        <v>7.8</v>
      </c>
      <c r="I85" s="811">
        <v>7.8</v>
      </c>
      <c r="J85" s="589" t="s">
        <v>1394</v>
      </c>
      <c r="K85" s="589" t="s">
        <v>1096</v>
      </c>
      <c r="L85" s="806">
        <v>4</v>
      </c>
      <c r="M85" s="806"/>
      <c r="N85" s="807">
        <v>41359</v>
      </c>
    </row>
    <row r="86" spans="1:14">
      <c r="A86" s="589" t="s">
        <v>1423</v>
      </c>
      <c r="B86" s="583" t="s">
        <v>1099</v>
      </c>
      <c r="C86" s="243">
        <v>41358</v>
      </c>
      <c r="D86" s="243">
        <v>41358</v>
      </c>
      <c r="E86" s="584" t="s">
        <v>206</v>
      </c>
      <c r="F86" s="589" t="s">
        <v>1392</v>
      </c>
      <c r="G86" s="805" t="s">
        <v>1070</v>
      </c>
      <c r="H86" s="589">
        <v>673</v>
      </c>
      <c r="I86" s="583">
        <v>673</v>
      </c>
      <c r="J86" s="589"/>
      <c r="K86" s="637" t="s">
        <v>1071</v>
      </c>
      <c r="L86" s="806">
        <v>4</v>
      </c>
      <c r="M86" s="806">
        <v>28</v>
      </c>
      <c r="N86" s="807">
        <v>41372</v>
      </c>
    </row>
    <row r="87" spans="1:14">
      <c r="A87" s="589" t="s">
        <v>1424</v>
      </c>
      <c r="B87" s="583">
        <v>52</v>
      </c>
      <c r="C87" s="243">
        <v>41358</v>
      </c>
      <c r="D87" s="243">
        <v>41358</v>
      </c>
      <c r="E87" s="589" t="s">
        <v>185</v>
      </c>
      <c r="F87" s="589" t="s">
        <v>1392</v>
      </c>
      <c r="G87" s="589" t="s">
        <v>563</v>
      </c>
      <c r="H87" s="589">
        <v>425</v>
      </c>
      <c r="I87" s="583">
        <v>425</v>
      </c>
      <c r="J87" s="589"/>
      <c r="K87" s="589" t="s">
        <v>1071</v>
      </c>
      <c r="L87" s="806">
        <v>2</v>
      </c>
      <c r="M87" s="806">
        <v>14</v>
      </c>
      <c r="N87" s="807">
        <v>41360</v>
      </c>
    </row>
    <row r="88" spans="1:14">
      <c r="A88" s="589" t="s">
        <v>1424</v>
      </c>
      <c r="B88" s="583">
        <v>52</v>
      </c>
      <c r="C88" s="243">
        <v>41358</v>
      </c>
      <c r="D88" s="243">
        <v>41358</v>
      </c>
      <c r="E88" s="589" t="s">
        <v>245</v>
      </c>
      <c r="F88" s="589" t="s">
        <v>1392</v>
      </c>
      <c r="G88" s="589" t="s">
        <v>565</v>
      </c>
      <c r="H88" s="589">
        <v>39</v>
      </c>
      <c r="I88" s="808">
        <v>39</v>
      </c>
      <c r="J88" s="688"/>
      <c r="K88" s="637" t="s">
        <v>1071</v>
      </c>
      <c r="L88" s="809">
        <v>3</v>
      </c>
      <c r="M88" s="809">
        <v>21</v>
      </c>
      <c r="N88" s="807">
        <v>41375</v>
      </c>
    </row>
    <row r="89" spans="1:14">
      <c r="A89" s="589" t="s">
        <v>1424</v>
      </c>
      <c r="B89" s="583">
        <v>52</v>
      </c>
      <c r="C89" s="243">
        <v>41358</v>
      </c>
      <c r="D89" s="243">
        <v>41358</v>
      </c>
      <c r="E89" s="589" t="s">
        <v>179</v>
      </c>
      <c r="F89" s="589" t="s">
        <v>1392</v>
      </c>
      <c r="G89" s="805" t="s">
        <v>1000</v>
      </c>
      <c r="H89" s="589">
        <v>51</v>
      </c>
      <c r="I89" s="583">
        <v>51</v>
      </c>
      <c r="J89" s="589"/>
      <c r="K89" s="589" t="s">
        <v>1071</v>
      </c>
      <c r="L89" s="806">
        <v>2</v>
      </c>
      <c r="M89" s="806">
        <v>14</v>
      </c>
      <c r="N89" s="807">
        <v>41372</v>
      </c>
    </row>
    <row r="90" spans="1:14">
      <c r="A90" s="589" t="s">
        <v>1424</v>
      </c>
      <c r="B90" s="583">
        <v>52</v>
      </c>
      <c r="C90" s="243">
        <v>41358</v>
      </c>
      <c r="D90" s="243">
        <v>41358</v>
      </c>
      <c r="E90" s="584" t="s">
        <v>206</v>
      </c>
      <c r="F90" s="589" t="s">
        <v>1392</v>
      </c>
      <c r="G90" s="805" t="s">
        <v>1070</v>
      </c>
      <c r="H90" s="589">
        <v>651</v>
      </c>
      <c r="I90" s="583">
        <v>651</v>
      </c>
      <c r="J90" s="589"/>
      <c r="K90" s="637" t="s">
        <v>1071</v>
      </c>
      <c r="L90" s="806">
        <v>4</v>
      </c>
      <c r="M90" s="806">
        <v>28</v>
      </c>
      <c r="N90" s="807">
        <v>41372</v>
      </c>
    </row>
    <row r="91" spans="1:14">
      <c r="A91" s="589" t="s">
        <v>1425</v>
      </c>
      <c r="B91" s="583">
        <v>53</v>
      </c>
      <c r="C91" s="243">
        <v>41358</v>
      </c>
      <c r="D91" s="243">
        <v>41358</v>
      </c>
      <c r="E91" s="589" t="s">
        <v>185</v>
      </c>
      <c r="F91" s="589" t="s">
        <v>1392</v>
      </c>
      <c r="G91" s="589" t="s">
        <v>563</v>
      </c>
      <c r="H91" s="589">
        <v>139</v>
      </c>
      <c r="I91" s="583">
        <v>139</v>
      </c>
      <c r="J91" s="589"/>
      <c r="K91" s="589" t="s">
        <v>1071</v>
      </c>
      <c r="L91" s="806">
        <v>2</v>
      </c>
      <c r="M91" s="806">
        <v>14</v>
      </c>
      <c r="N91" s="807">
        <v>41360</v>
      </c>
    </row>
    <row r="92" spans="1:14">
      <c r="A92" s="589" t="s">
        <v>1425</v>
      </c>
      <c r="B92" s="583">
        <v>53</v>
      </c>
      <c r="C92" s="243">
        <v>41358</v>
      </c>
      <c r="D92" s="243">
        <v>41358</v>
      </c>
      <c r="E92" s="589" t="s">
        <v>245</v>
      </c>
      <c r="F92" s="589" t="s">
        <v>1392</v>
      </c>
      <c r="G92" s="589" t="s">
        <v>565</v>
      </c>
      <c r="H92" s="589">
        <v>33</v>
      </c>
      <c r="I92" s="808">
        <v>33</v>
      </c>
      <c r="J92" s="688"/>
      <c r="K92" s="637" t="s">
        <v>1071</v>
      </c>
      <c r="L92" s="809">
        <v>3</v>
      </c>
      <c r="M92" s="809">
        <v>21</v>
      </c>
      <c r="N92" s="807">
        <v>41375</v>
      </c>
    </row>
    <row r="93" spans="1:14">
      <c r="A93" s="589" t="s">
        <v>1425</v>
      </c>
      <c r="B93" s="583">
        <v>53</v>
      </c>
      <c r="C93" s="243">
        <v>41358</v>
      </c>
      <c r="D93" s="243">
        <v>41358</v>
      </c>
      <c r="E93" s="589" t="s">
        <v>179</v>
      </c>
      <c r="F93" s="589" t="s">
        <v>1392</v>
      </c>
      <c r="G93" s="805" t="s">
        <v>1000</v>
      </c>
      <c r="H93" s="589">
        <v>9</v>
      </c>
      <c r="I93" s="583">
        <v>9</v>
      </c>
      <c r="J93" s="589" t="s">
        <v>1419</v>
      </c>
      <c r="K93" s="589" t="s">
        <v>1071</v>
      </c>
      <c r="L93" s="806">
        <v>2</v>
      </c>
      <c r="M93" s="806">
        <v>14</v>
      </c>
      <c r="N93" s="807">
        <v>41372</v>
      </c>
    </row>
    <row r="94" spans="1:14">
      <c r="A94" s="589" t="s">
        <v>1425</v>
      </c>
      <c r="B94" s="583">
        <v>53</v>
      </c>
      <c r="C94" s="243">
        <v>41358</v>
      </c>
      <c r="D94" s="243">
        <v>41358</v>
      </c>
      <c r="E94" s="584" t="s">
        <v>206</v>
      </c>
      <c r="F94" s="589" t="s">
        <v>1392</v>
      </c>
      <c r="G94" s="805" t="s">
        <v>1070</v>
      </c>
      <c r="H94" s="589">
        <v>291</v>
      </c>
      <c r="I94" s="583">
        <v>291</v>
      </c>
      <c r="J94" s="589"/>
      <c r="K94" s="637" t="s">
        <v>1071</v>
      </c>
      <c r="L94" s="806">
        <v>4</v>
      </c>
      <c r="M94" s="806">
        <v>28</v>
      </c>
      <c r="N94" s="807">
        <v>41372</v>
      </c>
    </row>
    <row r="95" spans="1:14">
      <c r="A95" s="589" t="s">
        <v>1426</v>
      </c>
      <c r="B95" s="583">
        <v>54</v>
      </c>
      <c r="C95" s="243">
        <v>41358</v>
      </c>
      <c r="D95" s="243">
        <v>41358</v>
      </c>
      <c r="E95" s="589" t="s">
        <v>185</v>
      </c>
      <c r="F95" s="589" t="s">
        <v>1392</v>
      </c>
      <c r="G95" s="589" t="s">
        <v>563</v>
      </c>
      <c r="H95" s="589">
        <v>149</v>
      </c>
      <c r="I95" s="583">
        <v>149</v>
      </c>
      <c r="J95" s="589"/>
      <c r="K95" s="589" t="s">
        <v>1071</v>
      </c>
      <c r="L95" s="806">
        <v>2</v>
      </c>
      <c r="M95" s="806">
        <v>14</v>
      </c>
      <c r="N95" s="807">
        <v>41360</v>
      </c>
    </row>
    <row r="96" spans="1:14">
      <c r="A96" s="589" t="s">
        <v>1426</v>
      </c>
      <c r="B96" s="583">
        <v>54</v>
      </c>
      <c r="C96" s="243">
        <v>41358</v>
      </c>
      <c r="D96" s="243">
        <v>41358</v>
      </c>
      <c r="E96" s="589" t="s">
        <v>245</v>
      </c>
      <c r="F96" s="589" t="s">
        <v>1392</v>
      </c>
      <c r="G96" s="589" t="s">
        <v>565</v>
      </c>
      <c r="H96" s="589">
        <v>27</v>
      </c>
      <c r="I96" s="808">
        <v>27</v>
      </c>
      <c r="J96" s="688"/>
      <c r="K96" s="637" t="s">
        <v>1071</v>
      </c>
      <c r="L96" s="809">
        <v>3</v>
      </c>
      <c r="M96" s="809">
        <v>21</v>
      </c>
      <c r="N96" s="807">
        <v>41375</v>
      </c>
    </row>
    <row r="97" spans="1:14">
      <c r="A97" s="589" t="s">
        <v>1426</v>
      </c>
      <c r="B97" s="583">
        <v>54</v>
      </c>
      <c r="C97" s="243">
        <v>41358</v>
      </c>
      <c r="D97" s="243">
        <v>41358</v>
      </c>
      <c r="E97" s="589" t="s">
        <v>179</v>
      </c>
      <c r="F97" s="589" t="s">
        <v>1392</v>
      </c>
      <c r="G97" s="805" t="s">
        <v>1000</v>
      </c>
      <c r="H97" s="589">
        <v>122</v>
      </c>
      <c r="I97" s="583">
        <v>122</v>
      </c>
      <c r="J97" s="589"/>
      <c r="K97" s="589" t="s">
        <v>1071</v>
      </c>
      <c r="L97" s="806">
        <v>2</v>
      </c>
      <c r="M97" s="806">
        <v>14</v>
      </c>
      <c r="N97" s="807">
        <v>41372</v>
      </c>
    </row>
    <row r="98" spans="1:14">
      <c r="A98" s="589" t="s">
        <v>1426</v>
      </c>
      <c r="B98" s="583">
        <v>54</v>
      </c>
      <c r="C98" s="243">
        <v>41358</v>
      </c>
      <c r="D98" s="243">
        <v>41358</v>
      </c>
      <c r="E98" s="584" t="s">
        <v>206</v>
      </c>
      <c r="F98" s="589" t="s">
        <v>1392</v>
      </c>
      <c r="G98" s="805" t="s">
        <v>1070</v>
      </c>
      <c r="H98" s="589">
        <v>319</v>
      </c>
      <c r="I98" s="583">
        <v>319</v>
      </c>
      <c r="J98" s="589"/>
      <c r="K98" s="637" t="s">
        <v>1071</v>
      </c>
      <c r="L98" s="806">
        <v>4</v>
      </c>
      <c r="M98" s="806">
        <v>28</v>
      </c>
      <c r="N98" s="807">
        <v>41372</v>
      </c>
    </row>
    <row r="99" spans="1:14">
      <c r="A99" s="589" t="s">
        <v>1427</v>
      </c>
      <c r="B99" s="583">
        <v>55</v>
      </c>
      <c r="C99" s="243">
        <v>41358</v>
      </c>
      <c r="D99" s="243">
        <v>41358</v>
      </c>
      <c r="E99" s="589" t="s">
        <v>185</v>
      </c>
      <c r="F99" s="589" t="s">
        <v>1392</v>
      </c>
      <c r="G99" s="589" t="s">
        <v>563</v>
      </c>
      <c r="H99" s="589">
        <v>133</v>
      </c>
      <c r="I99" s="583">
        <v>133</v>
      </c>
      <c r="J99" s="589"/>
      <c r="K99" s="589" t="s">
        <v>1071</v>
      </c>
      <c r="L99" s="806">
        <v>2</v>
      </c>
      <c r="M99" s="806">
        <v>14</v>
      </c>
      <c r="N99" s="807">
        <v>41360</v>
      </c>
    </row>
    <row r="100" spans="1:14">
      <c r="A100" s="589" t="s">
        <v>1427</v>
      </c>
      <c r="B100" s="583">
        <v>55</v>
      </c>
      <c r="C100" s="243">
        <v>41358</v>
      </c>
      <c r="D100" s="243">
        <v>41358</v>
      </c>
      <c r="E100" s="589" t="s">
        <v>245</v>
      </c>
      <c r="F100" s="589" t="s">
        <v>1392</v>
      </c>
      <c r="G100" s="589" t="s">
        <v>565</v>
      </c>
      <c r="H100" s="589">
        <v>46</v>
      </c>
      <c r="I100" s="808">
        <v>46</v>
      </c>
      <c r="J100" s="688"/>
      <c r="K100" s="637" t="s">
        <v>1071</v>
      </c>
      <c r="L100" s="809">
        <v>3</v>
      </c>
      <c r="M100" s="809">
        <v>21</v>
      </c>
      <c r="N100" s="807">
        <v>41375</v>
      </c>
    </row>
    <row r="101" spans="1:14">
      <c r="A101" s="589" t="s">
        <v>1427</v>
      </c>
      <c r="B101" s="583">
        <v>55</v>
      </c>
      <c r="C101" s="243">
        <v>41358</v>
      </c>
      <c r="D101" s="243">
        <v>41358</v>
      </c>
      <c r="E101" s="589" t="s">
        <v>179</v>
      </c>
      <c r="F101" s="589" t="s">
        <v>1392</v>
      </c>
      <c r="G101" s="805" t="s">
        <v>1000</v>
      </c>
      <c r="H101" s="589">
        <v>47</v>
      </c>
      <c r="I101" s="583">
        <v>47</v>
      </c>
      <c r="J101" s="589"/>
      <c r="K101" s="589" t="s">
        <v>1071</v>
      </c>
      <c r="L101" s="806">
        <v>2</v>
      </c>
      <c r="M101" s="806">
        <v>14</v>
      </c>
      <c r="N101" s="807">
        <v>41372</v>
      </c>
    </row>
    <row r="102" spans="1:14">
      <c r="A102" s="589" t="s">
        <v>1427</v>
      </c>
      <c r="B102" s="583">
        <v>55</v>
      </c>
      <c r="C102" s="243">
        <v>41358</v>
      </c>
      <c r="D102" s="243">
        <v>41358</v>
      </c>
      <c r="E102" s="584" t="s">
        <v>206</v>
      </c>
      <c r="F102" s="589" t="s">
        <v>1392</v>
      </c>
      <c r="G102" s="805" t="s">
        <v>1070</v>
      </c>
      <c r="H102" s="589">
        <v>318</v>
      </c>
      <c r="I102" s="583">
        <v>318</v>
      </c>
      <c r="J102" s="589"/>
      <c r="K102" s="637" t="s">
        <v>1071</v>
      </c>
      <c r="L102" s="806">
        <v>4</v>
      </c>
      <c r="M102" s="806">
        <v>28</v>
      </c>
      <c r="N102" s="807">
        <v>41372</v>
      </c>
    </row>
    <row r="104" spans="1:14">
      <c r="A104" s="688" t="s">
        <v>1428</v>
      </c>
      <c r="B104" s="583">
        <v>64</v>
      </c>
      <c r="C104" s="243">
        <v>41361</v>
      </c>
      <c r="D104" s="243">
        <v>41361</v>
      </c>
      <c r="E104" s="589" t="s">
        <v>185</v>
      </c>
      <c r="F104" s="589" t="s">
        <v>1392</v>
      </c>
      <c r="G104" s="589" t="s">
        <v>563</v>
      </c>
      <c r="H104" s="589">
        <v>480</v>
      </c>
      <c r="I104" s="583">
        <v>480</v>
      </c>
      <c r="J104" s="589"/>
      <c r="K104" s="589" t="s">
        <v>1071</v>
      </c>
      <c r="L104" s="806">
        <v>2</v>
      </c>
      <c r="M104" s="806">
        <v>14</v>
      </c>
      <c r="N104" s="807">
        <v>41362</v>
      </c>
    </row>
    <row r="105" spans="1:14">
      <c r="A105" s="688" t="s">
        <v>1428</v>
      </c>
      <c r="B105" s="583">
        <v>64</v>
      </c>
      <c r="C105" s="243">
        <v>41361</v>
      </c>
      <c r="D105" s="243">
        <v>41361</v>
      </c>
      <c r="E105" s="589" t="s">
        <v>245</v>
      </c>
      <c r="F105" s="589" t="s">
        <v>1392</v>
      </c>
      <c r="G105" s="589" t="s">
        <v>1072</v>
      </c>
      <c r="H105" s="589">
        <v>70</v>
      </c>
      <c r="I105" s="583">
        <v>70</v>
      </c>
      <c r="J105" s="688"/>
      <c r="K105" s="637" t="s">
        <v>1071</v>
      </c>
      <c r="L105" s="809">
        <v>3</v>
      </c>
      <c r="M105" s="809">
        <v>21</v>
      </c>
      <c r="N105" s="807">
        <v>41375</v>
      </c>
    </row>
    <row r="106" spans="1:14">
      <c r="A106" s="688" t="s">
        <v>1428</v>
      </c>
      <c r="B106" s="583">
        <v>64</v>
      </c>
      <c r="C106" s="243">
        <v>41361</v>
      </c>
      <c r="D106" s="243">
        <v>41361</v>
      </c>
      <c r="E106" s="589" t="s">
        <v>179</v>
      </c>
      <c r="F106" s="589" t="s">
        <v>1392</v>
      </c>
      <c r="G106" s="805" t="s">
        <v>1073</v>
      </c>
      <c r="H106" s="589">
        <v>66</v>
      </c>
      <c r="I106" s="583">
        <v>66</v>
      </c>
      <c r="J106" s="589"/>
      <c r="K106" s="589" t="s">
        <v>1071</v>
      </c>
      <c r="L106" s="806">
        <v>2</v>
      </c>
      <c r="M106" s="806">
        <v>14</v>
      </c>
      <c r="N106" s="807">
        <v>41373</v>
      </c>
    </row>
    <row r="107" spans="1:14">
      <c r="A107" s="804" t="s">
        <v>1428</v>
      </c>
      <c r="B107" s="583">
        <v>64</v>
      </c>
      <c r="C107" s="243">
        <v>41361</v>
      </c>
      <c r="D107" s="243">
        <v>41361</v>
      </c>
      <c r="E107" s="584" t="s">
        <v>206</v>
      </c>
      <c r="F107" s="589" t="s">
        <v>1392</v>
      </c>
      <c r="G107" s="805" t="s">
        <v>1070</v>
      </c>
      <c r="H107" s="589">
        <v>713</v>
      </c>
      <c r="I107" s="583">
        <v>713</v>
      </c>
      <c r="J107" s="589"/>
      <c r="K107" s="637" t="s">
        <v>1071</v>
      </c>
      <c r="L107" s="806">
        <v>6</v>
      </c>
      <c r="M107" s="806">
        <v>42</v>
      </c>
      <c r="N107" s="807">
        <v>41373</v>
      </c>
    </row>
    <row r="108" spans="1:14">
      <c r="A108" s="688" t="s">
        <v>1429</v>
      </c>
      <c r="B108" s="583">
        <v>32</v>
      </c>
      <c r="C108" s="243">
        <v>41361</v>
      </c>
      <c r="D108" s="243">
        <v>41361</v>
      </c>
      <c r="E108" s="589" t="s">
        <v>185</v>
      </c>
      <c r="F108" s="589" t="s">
        <v>1392</v>
      </c>
      <c r="G108" s="589" t="s">
        <v>563</v>
      </c>
      <c r="H108" s="589">
        <v>604</v>
      </c>
      <c r="I108" s="583">
        <v>604</v>
      </c>
      <c r="J108" s="589"/>
      <c r="K108" s="589" t="s">
        <v>1071</v>
      </c>
      <c r="L108" s="806">
        <v>2</v>
      </c>
      <c r="M108" s="806">
        <v>14</v>
      </c>
      <c r="N108" s="807">
        <v>41362</v>
      </c>
    </row>
    <row r="109" spans="1:14">
      <c r="A109" s="688" t="s">
        <v>1429</v>
      </c>
      <c r="B109" s="583">
        <v>32</v>
      </c>
      <c r="C109" s="243">
        <v>41361</v>
      </c>
      <c r="D109" s="243">
        <v>41361</v>
      </c>
      <c r="E109" s="589" t="s">
        <v>245</v>
      </c>
      <c r="F109" s="589" t="s">
        <v>1392</v>
      </c>
      <c r="G109" s="589" t="s">
        <v>1072</v>
      </c>
      <c r="H109" s="589">
        <v>36</v>
      </c>
      <c r="I109" s="583">
        <v>36</v>
      </c>
      <c r="J109" s="688"/>
      <c r="K109" s="637" t="s">
        <v>1071</v>
      </c>
      <c r="L109" s="809">
        <v>3</v>
      </c>
      <c r="M109" s="809">
        <v>21</v>
      </c>
      <c r="N109" s="807">
        <v>41375</v>
      </c>
    </row>
    <row r="110" spans="1:14">
      <c r="A110" s="688" t="s">
        <v>1429</v>
      </c>
      <c r="B110" s="583">
        <v>32</v>
      </c>
      <c r="C110" s="243">
        <v>41361</v>
      </c>
      <c r="D110" s="243">
        <v>41361</v>
      </c>
      <c r="E110" s="589" t="s">
        <v>179</v>
      </c>
      <c r="F110" s="589" t="s">
        <v>1392</v>
      </c>
      <c r="G110" s="805" t="s">
        <v>1073</v>
      </c>
      <c r="H110" s="589">
        <v>111</v>
      </c>
      <c r="I110" s="583">
        <v>111</v>
      </c>
      <c r="J110" s="589"/>
      <c r="K110" s="589" t="s">
        <v>1071</v>
      </c>
      <c r="L110" s="806">
        <v>2</v>
      </c>
      <c r="M110" s="806">
        <v>14</v>
      </c>
      <c r="N110" s="807">
        <v>41373</v>
      </c>
    </row>
    <row r="111" spans="1:14">
      <c r="A111" s="804" t="s">
        <v>1429</v>
      </c>
      <c r="B111" s="583">
        <v>32</v>
      </c>
      <c r="C111" s="243">
        <v>41361</v>
      </c>
      <c r="D111" s="243">
        <v>41361</v>
      </c>
      <c r="E111" s="584" t="s">
        <v>206</v>
      </c>
      <c r="F111" s="589" t="s">
        <v>1392</v>
      </c>
      <c r="G111" s="805" t="s">
        <v>1070</v>
      </c>
      <c r="H111" s="589">
        <v>973</v>
      </c>
      <c r="I111" s="583">
        <v>973</v>
      </c>
      <c r="J111" s="589"/>
      <c r="K111" s="637" t="s">
        <v>1071</v>
      </c>
      <c r="L111" s="806">
        <v>6</v>
      </c>
      <c r="M111" s="806">
        <v>42</v>
      </c>
      <c r="N111" s="807">
        <v>41373</v>
      </c>
    </row>
    <row r="112" spans="1:14">
      <c r="A112" s="804" t="s">
        <v>1430</v>
      </c>
      <c r="B112" s="583">
        <v>5</v>
      </c>
      <c r="C112" s="243">
        <v>41361</v>
      </c>
      <c r="D112" s="243">
        <v>41361</v>
      </c>
      <c r="E112" s="589" t="s">
        <v>185</v>
      </c>
      <c r="F112" s="589" t="s">
        <v>1392</v>
      </c>
      <c r="G112" s="589" t="s">
        <v>563</v>
      </c>
      <c r="H112" s="589">
        <v>222</v>
      </c>
      <c r="I112" s="583">
        <v>222</v>
      </c>
      <c r="J112" s="589"/>
      <c r="K112" s="589" t="s">
        <v>1071</v>
      </c>
      <c r="L112" s="806">
        <v>2</v>
      </c>
      <c r="M112" s="806">
        <v>14</v>
      </c>
      <c r="N112" s="807">
        <v>41362</v>
      </c>
    </row>
    <row r="113" spans="1:14">
      <c r="A113" s="804" t="s">
        <v>1430</v>
      </c>
      <c r="B113" s="583">
        <v>5</v>
      </c>
      <c r="C113" s="243">
        <v>41361</v>
      </c>
      <c r="D113" s="243">
        <v>41361</v>
      </c>
      <c r="E113" s="589" t="s">
        <v>245</v>
      </c>
      <c r="F113" s="589" t="s">
        <v>1392</v>
      </c>
      <c r="G113" s="589" t="s">
        <v>1072</v>
      </c>
      <c r="H113" s="589">
        <v>71</v>
      </c>
      <c r="I113" s="583">
        <v>71</v>
      </c>
      <c r="J113" s="688"/>
      <c r="K113" s="637" t="s">
        <v>1071</v>
      </c>
      <c r="L113" s="809">
        <v>3</v>
      </c>
      <c r="M113" s="809">
        <v>21</v>
      </c>
      <c r="N113" s="807">
        <v>41375</v>
      </c>
    </row>
    <row r="114" spans="1:14">
      <c r="A114" s="804" t="s">
        <v>1430</v>
      </c>
      <c r="B114" s="583">
        <v>5</v>
      </c>
      <c r="C114" s="243">
        <v>41361</v>
      </c>
      <c r="D114" s="243">
        <v>41361</v>
      </c>
      <c r="E114" s="589" t="s">
        <v>179</v>
      </c>
      <c r="F114" s="589" t="s">
        <v>1392</v>
      </c>
      <c r="G114" s="805" t="s">
        <v>1073</v>
      </c>
      <c r="H114" s="589">
        <v>18</v>
      </c>
      <c r="I114" s="583">
        <v>18</v>
      </c>
      <c r="J114" s="589"/>
      <c r="K114" s="589" t="s">
        <v>1071</v>
      </c>
      <c r="L114" s="806">
        <v>2</v>
      </c>
      <c r="M114" s="806">
        <v>14</v>
      </c>
      <c r="N114" s="807">
        <v>41373</v>
      </c>
    </row>
    <row r="115" spans="1:14">
      <c r="A115" s="589" t="s">
        <v>1430</v>
      </c>
      <c r="B115" s="583">
        <v>5</v>
      </c>
      <c r="C115" s="243">
        <v>41361</v>
      </c>
      <c r="D115" s="243">
        <v>41361</v>
      </c>
      <c r="E115" s="584" t="s">
        <v>206</v>
      </c>
      <c r="F115" s="589" t="s">
        <v>1392</v>
      </c>
      <c r="G115" s="805" t="s">
        <v>1070</v>
      </c>
      <c r="H115" s="589">
        <v>524</v>
      </c>
      <c r="I115" s="583">
        <v>524</v>
      </c>
      <c r="J115" s="589"/>
      <c r="K115" s="637" t="s">
        <v>1071</v>
      </c>
      <c r="L115" s="806">
        <v>6</v>
      </c>
      <c r="M115" s="806">
        <v>42</v>
      </c>
      <c r="N115" s="807">
        <v>41373</v>
      </c>
    </row>
    <row r="116" spans="1:14">
      <c r="A116" s="589" t="s">
        <v>1431</v>
      </c>
      <c r="B116" s="585" t="s">
        <v>439</v>
      </c>
      <c r="C116" s="243">
        <v>41361</v>
      </c>
      <c r="D116" s="243">
        <v>41361</v>
      </c>
      <c r="E116" s="589" t="s">
        <v>185</v>
      </c>
      <c r="F116" s="589" t="s">
        <v>1392</v>
      </c>
      <c r="G116" s="589" t="s">
        <v>563</v>
      </c>
      <c r="H116" s="589">
        <v>628</v>
      </c>
      <c r="I116" s="583">
        <v>628</v>
      </c>
      <c r="J116" s="589"/>
      <c r="K116" s="589" t="s">
        <v>1071</v>
      </c>
      <c r="L116" s="806">
        <v>2</v>
      </c>
      <c r="M116" s="806">
        <v>14</v>
      </c>
      <c r="N116" s="807">
        <v>41362</v>
      </c>
    </row>
    <row r="117" spans="1:14">
      <c r="A117" s="804" t="s">
        <v>1431</v>
      </c>
      <c r="B117" s="585" t="s">
        <v>439</v>
      </c>
      <c r="C117" s="243">
        <v>41361</v>
      </c>
      <c r="D117" s="243">
        <v>41361</v>
      </c>
      <c r="E117" s="589" t="s">
        <v>245</v>
      </c>
      <c r="F117" s="589" t="s">
        <v>1392</v>
      </c>
      <c r="G117" s="589" t="s">
        <v>1072</v>
      </c>
      <c r="H117" s="589">
        <v>56</v>
      </c>
      <c r="I117" s="583">
        <v>56</v>
      </c>
      <c r="J117" s="688"/>
      <c r="K117" s="637" t="s">
        <v>1071</v>
      </c>
      <c r="L117" s="809">
        <v>3</v>
      </c>
      <c r="M117" s="809">
        <v>21</v>
      </c>
      <c r="N117" s="807">
        <v>41375</v>
      </c>
    </row>
    <row r="118" spans="1:14">
      <c r="A118" s="589" t="s">
        <v>1431</v>
      </c>
      <c r="B118" s="585" t="s">
        <v>439</v>
      </c>
      <c r="C118" s="243">
        <v>41361</v>
      </c>
      <c r="D118" s="243">
        <v>41361</v>
      </c>
      <c r="E118" s="589" t="s">
        <v>179</v>
      </c>
      <c r="F118" s="589" t="s">
        <v>1392</v>
      </c>
      <c r="G118" s="805" t="s">
        <v>1073</v>
      </c>
      <c r="H118" s="589">
        <v>16</v>
      </c>
      <c r="I118" s="583">
        <v>16</v>
      </c>
      <c r="J118" s="589"/>
      <c r="K118" s="589" t="s">
        <v>1071</v>
      </c>
      <c r="L118" s="806">
        <v>2</v>
      </c>
      <c r="M118" s="806">
        <v>14</v>
      </c>
      <c r="N118" s="807">
        <v>41373</v>
      </c>
    </row>
    <row r="119" spans="1:14">
      <c r="A119" s="804" t="s">
        <v>1431</v>
      </c>
      <c r="B119" s="585" t="s">
        <v>439</v>
      </c>
      <c r="C119" s="243">
        <v>41361</v>
      </c>
      <c r="D119" s="243">
        <v>41361</v>
      </c>
      <c r="E119" s="584" t="s">
        <v>206</v>
      </c>
      <c r="F119" s="589" t="s">
        <v>1392</v>
      </c>
      <c r="G119" s="805" t="s">
        <v>1070</v>
      </c>
      <c r="H119" s="589">
        <v>823</v>
      </c>
      <c r="I119" s="583">
        <v>823</v>
      </c>
      <c r="J119" s="589"/>
      <c r="K119" s="637" t="s">
        <v>1071</v>
      </c>
      <c r="L119" s="806">
        <v>6</v>
      </c>
      <c r="M119" s="806">
        <v>42</v>
      </c>
      <c r="N119" s="807">
        <v>41373</v>
      </c>
    </row>
    <row r="120" spans="1:14">
      <c r="A120" s="589" t="s">
        <v>1432</v>
      </c>
      <c r="B120" s="583">
        <v>9</v>
      </c>
      <c r="C120" s="243">
        <v>41361</v>
      </c>
      <c r="D120" s="243">
        <v>41361</v>
      </c>
      <c r="E120" s="589" t="s">
        <v>185</v>
      </c>
      <c r="F120" s="589" t="s">
        <v>1392</v>
      </c>
      <c r="G120" s="589" t="s">
        <v>563</v>
      </c>
      <c r="H120" s="589">
        <v>385</v>
      </c>
      <c r="I120" s="583">
        <v>385</v>
      </c>
      <c r="J120" s="589"/>
      <c r="K120" s="589" t="s">
        <v>1071</v>
      </c>
      <c r="L120" s="806">
        <v>2</v>
      </c>
      <c r="M120" s="806">
        <v>14</v>
      </c>
      <c r="N120" s="807">
        <v>41362</v>
      </c>
    </row>
    <row r="121" spans="1:14">
      <c r="A121" s="589" t="s">
        <v>1432</v>
      </c>
      <c r="B121" s="583">
        <v>9</v>
      </c>
      <c r="C121" s="243">
        <v>41361</v>
      </c>
      <c r="D121" s="243">
        <v>41361</v>
      </c>
      <c r="E121" s="589" t="s">
        <v>245</v>
      </c>
      <c r="F121" s="589" t="s">
        <v>1392</v>
      </c>
      <c r="G121" s="589" t="s">
        <v>1072</v>
      </c>
      <c r="H121" s="589">
        <v>59</v>
      </c>
      <c r="I121" s="583">
        <v>59</v>
      </c>
      <c r="J121" s="688"/>
      <c r="K121" s="637" t="s">
        <v>1071</v>
      </c>
      <c r="L121" s="809">
        <v>3</v>
      </c>
      <c r="M121" s="809">
        <v>21</v>
      </c>
      <c r="N121" s="807">
        <v>41375</v>
      </c>
    </row>
    <row r="122" spans="1:14">
      <c r="A122" s="589" t="s">
        <v>1432</v>
      </c>
      <c r="B122" s="583">
        <v>9</v>
      </c>
      <c r="C122" s="243">
        <v>41361</v>
      </c>
      <c r="D122" s="243">
        <v>41361</v>
      </c>
      <c r="E122" s="589" t="s">
        <v>179</v>
      </c>
      <c r="F122" s="589" t="s">
        <v>1392</v>
      </c>
      <c r="G122" s="805" t="s">
        <v>1073</v>
      </c>
      <c r="H122" s="589">
        <v>18</v>
      </c>
      <c r="I122" s="583">
        <v>18</v>
      </c>
      <c r="J122" s="589"/>
      <c r="K122" s="589" t="s">
        <v>1071</v>
      </c>
      <c r="L122" s="806">
        <v>2</v>
      </c>
      <c r="M122" s="806">
        <v>14</v>
      </c>
      <c r="N122" s="807">
        <v>41373</v>
      </c>
    </row>
    <row r="123" spans="1:14">
      <c r="A123" s="589" t="s">
        <v>1432</v>
      </c>
      <c r="B123" s="583">
        <v>9</v>
      </c>
      <c r="C123" s="243">
        <v>41361</v>
      </c>
      <c r="D123" s="243">
        <v>41361</v>
      </c>
      <c r="E123" s="584" t="s">
        <v>206</v>
      </c>
      <c r="F123" s="589" t="s">
        <v>1392</v>
      </c>
      <c r="G123" s="805" t="s">
        <v>1070</v>
      </c>
      <c r="H123" s="589">
        <v>567</v>
      </c>
      <c r="I123" s="583">
        <v>567</v>
      </c>
      <c r="J123" s="589"/>
      <c r="K123" s="637" t="s">
        <v>1071</v>
      </c>
      <c r="L123" s="806">
        <v>6</v>
      </c>
      <c r="M123" s="806">
        <v>42</v>
      </c>
      <c r="N123" s="807">
        <v>41373</v>
      </c>
    </row>
    <row r="124" spans="1:14">
      <c r="A124" s="589" t="s">
        <v>1433</v>
      </c>
      <c r="B124" s="583">
        <v>12</v>
      </c>
      <c r="C124" s="243">
        <v>41361</v>
      </c>
      <c r="D124" s="243">
        <v>41361</v>
      </c>
      <c r="E124" s="589" t="s">
        <v>185</v>
      </c>
      <c r="F124" s="589" t="s">
        <v>1392</v>
      </c>
      <c r="G124" s="589" t="s">
        <v>563</v>
      </c>
      <c r="H124" s="589">
        <v>725</v>
      </c>
      <c r="I124" s="583">
        <v>725</v>
      </c>
      <c r="J124" s="589"/>
      <c r="K124" s="589" t="s">
        <v>1071</v>
      </c>
      <c r="L124" s="806">
        <v>2</v>
      </c>
      <c r="M124" s="806">
        <v>14</v>
      </c>
      <c r="N124" s="807">
        <v>41362</v>
      </c>
    </row>
    <row r="125" spans="1:14">
      <c r="A125" s="589" t="s">
        <v>1433</v>
      </c>
      <c r="B125" s="583">
        <v>12</v>
      </c>
      <c r="C125" s="243">
        <v>41361</v>
      </c>
      <c r="D125" s="243">
        <v>41361</v>
      </c>
      <c r="E125" s="589" t="s">
        <v>245</v>
      </c>
      <c r="F125" s="589" t="s">
        <v>1392</v>
      </c>
      <c r="G125" s="589" t="s">
        <v>1072</v>
      </c>
      <c r="H125" s="589">
        <v>37</v>
      </c>
      <c r="I125" s="583">
        <v>37</v>
      </c>
      <c r="J125" s="688"/>
      <c r="K125" s="637" t="s">
        <v>1071</v>
      </c>
      <c r="L125" s="809">
        <v>3</v>
      </c>
      <c r="M125" s="809">
        <v>21</v>
      </c>
      <c r="N125" s="807">
        <v>41375</v>
      </c>
    </row>
    <row r="126" spans="1:14">
      <c r="A126" s="589" t="s">
        <v>1433</v>
      </c>
      <c r="B126" s="583">
        <v>12</v>
      </c>
      <c r="C126" s="243">
        <v>41361</v>
      </c>
      <c r="D126" s="243">
        <v>41361</v>
      </c>
      <c r="E126" s="589" t="s">
        <v>179</v>
      </c>
      <c r="F126" s="589" t="s">
        <v>1392</v>
      </c>
      <c r="G126" s="805" t="s">
        <v>1073</v>
      </c>
      <c r="H126" s="589">
        <v>29</v>
      </c>
      <c r="I126" s="583">
        <v>29</v>
      </c>
      <c r="J126" s="589"/>
      <c r="K126" s="589" t="s">
        <v>1071</v>
      </c>
      <c r="L126" s="806">
        <v>2</v>
      </c>
      <c r="M126" s="806">
        <v>14</v>
      </c>
      <c r="N126" s="807">
        <v>41373</v>
      </c>
    </row>
    <row r="127" spans="1:14">
      <c r="A127" s="589" t="s">
        <v>1433</v>
      </c>
      <c r="B127" s="583">
        <v>12</v>
      </c>
      <c r="C127" s="243">
        <v>41361</v>
      </c>
      <c r="D127" s="243">
        <v>41361</v>
      </c>
      <c r="E127" s="584" t="s">
        <v>206</v>
      </c>
      <c r="F127" s="589" t="s">
        <v>1392</v>
      </c>
      <c r="G127" s="805" t="s">
        <v>1070</v>
      </c>
      <c r="H127" s="589">
        <v>937</v>
      </c>
      <c r="I127" s="583">
        <v>937</v>
      </c>
      <c r="J127" s="589"/>
      <c r="K127" s="637" t="s">
        <v>1071</v>
      </c>
      <c r="L127" s="806">
        <v>6</v>
      </c>
      <c r="M127" s="806">
        <v>42</v>
      </c>
      <c r="N127" s="807">
        <v>41373</v>
      </c>
    </row>
    <row r="128" spans="1:14">
      <c r="A128" s="589" t="s">
        <v>1434</v>
      </c>
      <c r="B128" s="583" t="s">
        <v>440</v>
      </c>
      <c r="C128" s="243">
        <v>41361</v>
      </c>
      <c r="D128" s="243">
        <v>41361</v>
      </c>
      <c r="E128" s="589" t="s">
        <v>185</v>
      </c>
      <c r="F128" s="589" t="s">
        <v>1392</v>
      </c>
      <c r="G128" s="589" t="s">
        <v>563</v>
      </c>
      <c r="H128" s="589">
        <v>720</v>
      </c>
      <c r="I128" s="583">
        <v>720</v>
      </c>
      <c r="J128" s="589"/>
      <c r="K128" s="589" t="s">
        <v>1071</v>
      </c>
      <c r="L128" s="806">
        <v>2</v>
      </c>
      <c r="M128" s="806">
        <v>14</v>
      </c>
      <c r="N128" s="807">
        <v>41362</v>
      </c>
    </row>
    <row r="129" spans="1:14">
      <c r="A129" s="589" t="s">
        <v>1434</v>
      </c>
      <c r="B129" s="583" t="s">
        <v>440</v>
      </c>
      <c r="C129" s="243">
        <v>41361</v>
      </c>
      <c r="D129" s="243">
        <v>41361</v>
      </c>
      <c r="E129" s="589" t="s">
        <v>245</v>
      </c>
      <c r="F129" s="589" t="s">
        <v>1392</v>
      </c>
      <c r="G129" s="589" t="s">
        <v>1072</v>
      </c>
      <c r="H129" s="589">
        <v>36</v>
      </c>
      <c r="I129" s="583">
        <v>36</v>
      </c>
      <c r="J129" s="688"/>
      <c r="K129" s="637" t="s">
        <v>1071</v>
      </c>
      <c r="L129" s="809">
        <v>3</v>
      </c>
      <c r="M129" s="809">
        <v>21</v>
      </c>
      <c r="N129" s="807">
        <v>41375</v>
      </c>
    </row>
    <row r="130" spans="1:14">
      <c r="A130" s="589" t="s">
        <v>1434</v>
      </c>
      <c r="B130" s="583" t="s">
        <v>440</v>
      </c>
      <c r="C130" s="243">
        <v>41361</v>
      </c>
      <c r="D130" s="243">
        <v>41361</v>
      </c>
      <c r="E130" s="589" t="s">
        <v>179</v>
      </c>
      <c r="F130" s="589" t="s">
        <v>1392</v>
      </c>
      <c r="G130" s="805" t="s">
        <v>1073</v>
      </c>
      <c r="H130" s="589">
        <v>31</v>
      </c>
      <c r="I130" s="583">
        <v>31</v>
      </c>
      <c r="J130" s="589"/>
      <c r="K130" s="589" t="s">
        <v>1071</v>
      </c>
      <c r="L130" s="806">
        <v>2</v>
      </c>
      <c r="M130" s="806">
        <v>14</v>
      </c>
      <c r="N130" s="807">
        <v>41373</v>
      </c>
    </row>
    <row r="131" spans="1:14">
      <c r="A131" s="589" t="s">
        <v>1434</v>
      </c>
      <c r="B131" s="583" t="s">
        <v>440</v>
      </c>
      <c r="C131" s="243">
        <v>41361</v>
      </c>
      <c r="D131" s="243">
        <v>41361</v>
      </c>
      <c r="E131" s="584" t="s">
        <v>206</v>
      </c>
      <c r="F131" s="589" t="s">
        <v>1392</v>
      </c>
      <c r="G131" s="805" t="s">
        <v>1070</v>
      </c>
      <c r="H131" s="589">
        <v>997</v>
      </c>
      <c r="I131" s="583">
        <v>997</v>
      </c>
      <c r="J131" s="589"/>
      <c r="K131" s="637" t="s">
        <v>1071</v>
      </c>
      <c r="L131" s="806">
        <v>6</v>
      </c>
      <c r="M131" s="806">
        <v>42</v>
      </c>
      <c r="N131" s="807">
        <v>41373</v>
      </c>
    </row>
    <row r="132" spans="1:14">
      <c r="A132" s="589" t="s">
        <v>1435</v>
      </c>
      <c r="B132" s="583" t="s">
        <v>1137</v>
      </c>
      <c r="C132" s="243">
        <v>41361</v>
      </c>
      <c r="D132" s="243">
        <v>41361</v>
      </c>
      <c r="E132" s="589" t="s">
        <v>185</v>
      </c>
      <c r="F132" s="589" t="s">
        <v>1392</v>
      </c>
      <c r="G132" s="589" t="s">
        <v>563</v>
      </c>
      <c r="H132" s="589">
        <v>687</v>
      </c>
      <c r="I132" s="583">
        <v>687</v>
      </c>
      <c r="J132" s="589"/>
      <c r="K132" s="589" t="s">
        <v>1071</v>
      </c>
      <c r="L132" s="806">
        <v>2</v>
      </c>
      <c r="M132" s="806">
        <v>14</v>
      </c>
      <c r="N132" s="807">
        <v>41362</v>
      </c>
    </row>
    <row r="133" spans="1:14">
      <c r="A133" s="589" t="s">
        <v>1435</v>
      </c>
      <c r="B133" s="583" t="s">
        <v>1137</v>
      </c>
      <c r="C133" s="243">
        <v>41361</v>
      </c>
      <c r="D133" s="243">
        <v>41361</v>
      </c>
      <c r="E133" s="589" t="s">
        <v>245</v>
      </c>
      <c r="F133" s="589" t="s">
        <v>1392</v>
      </c>
      <c r="G133" s="589" t="s">
        <v>1072</v>
      </c>
      <c r="H133" s="589">
        <v>32</v>
      </c>
      <c r="I133" s="583">
        <v>32</v>
      </c>
      <c r="J133" s="688"/>
      <c r="K133" s="637" t="s">
        <v>1071</v>
      </c>
      <c r="L133" s="809">
        <v>3</v>
      </c>
      <c r="M133" s="809">
        <v>21</v>
      </c>
      <c r="N133" s="807">
        <v>41375</v>
      </c>
    </row>
    <row r="134" spans="1:14">
      <c r="A134" s="589" t="s">
        <v>1435</v>
      </c>
      <c r="B134" s="583" t="s">
        <v>1137</v>
      </c>
      <c r="C134" s="243">
        <v>41361</v>
      </c>
      <c r="D134" s="243">
        <v>41361</v>
      </c>
      <c r="E134" s="589" t="s">
        <v>179</v>
      </c>
      <c r="F134" s="589" t="s">
        <v>1392</v>
      </c>
      <c r="G134" s="805" t="s">
        <v>1073</v>
      </c>
      <c r="H134" s="589">
        <v>26</v>
      </c>
      <c r="I134" s="583">
        <v>26</v>
      </c>
      <c r="J134" s="589"/>
      <c r="K134" s="589" t="s">
        <v>1071</v>
      </c>
      <c r="L134" s="806">
        <v>2</v>
      </c>
      <c r="M134" s="806">
        <v>14</v>
      </c>
      <c r="N134" s="807">
        <v>41373</v>
      </c>
    </row>
    <row r="135" spans="1:14">
      <c r="A135" s="589" t="s">
        <v>1435</v>
      </c>
      <c r="B135" s="583" t="s">
        <v>1137</v>
      </c>
      <c r="C135" s="243">
        <v>41361</v>
      </c>
      <c r="D135" s="243">
        <v>41361</v>
      </c>
      <c r="E135" s="584" t="s">
        <v>206</v>
      </c>
      <c r="F135" s="589" t="s">
        <v>1392</v>
      </c>
      <c r="G135" s="805" t="s">
        <v>1070</v>
      </c>
      <c r="H135" s="589">
        <v>880</v>
      </c>
      <c r="I135" s="583">
        <v>880</v>
      </c>
      <c r="J135" s="589"/>
      <c r="K135" s="637" t="s">
        <v>1071</v>
      </c>
      <c r="L135" s="806">
        <v>6</v>
      </c>
      <c r="M135" s="806">
        <v>42</v>
      </c>
      <c r="N135" s="807">
        <v>41373</v>
      </c>
    </row>
    <row r="136" spans="1:14">
      <c r="A136" s="589" t="s">
        <v>1436</v>
      </c>
      <c r="B136" s="583">
        <v>34</v>
      </c>
      <c r="C136" s="243">
        <v>41361</v>
      </c>
      <c r="D136" s="243">
        <v>41361</v>
      </c>
      <c r="E136" s="589" t="s">
        <v>185</v>
      </c>
      <c r="F136" s="589" t="s">
        <v>1392</v>
      </c>
      <c r="G136" s="589" t="s">
        <v>563</v>
      </c>
      <c r="H136" s="589">
        <v>889</v>
      </c>
      <c r="I136" s="583">
        <v>889</v>
      </c>
      <c r="J136" s="589"/>
      <c r="K136" s="589" t="s">
        <v>1071</v>
      </c>
      <c r="L136" s="806">
        <v>2</v>
      </c>
      <c r="M136" s="806">
        <v>14</v>
      </c>
      <c r="N136" s="807">
        <v>41362</v>
      </c>
    </row>
    <row r="137" spans="1:14">
      <c r="A137" s="589" t="s">
        <v>1436</v>
      </c>
      <c r="B137" s="583">
        <v>34</v>
      </c>
      <c r="C137" s="243">
        <v>41361</v>
      </c>
      <c r="D137" s="243">
        <v>41361</v>
      </c>
      <c r="E137" s="589" t="s">
        <v>245</v>
      </c>
      <c r="F137" s="589" t="s">
        <v>1392</v>
      </c>
      <c r="G137" s="589" t="s">
        <v>1072</v>
      </c>
      <c r="H137" s="589">
        <v>28</v>
      </c>
      <c r="I137" s="583">
        <v>28</v>
      </c>
      <c r="J137" s="688"/>
      <c r="K137" s="637" t="s">
        <v>1071</v>
      </c>
      <c r="L137" s="809">
        <v>3</v>
      </c>
      <c r="M137" s="809">
        <v>21</v>
      </c>
      <c r="N137" s="807">
        <v>41375</v>
      </c>
    </row>
    <row r="138" spans="1:14">
      <c r="A138" s="589" t="s">
        <v>1436</v>
      </c>
      <c r="B138" s="583">
        <v>34</v>
      </c>
      <c r="C138" s="243">
        <v>41361</v>
      </c>
      <c r="D138" s="243">
        <v>41361</v>
      </c>
      <c r="E138" s="589" t="s">
        <v>179</v>
      </c>
      <c r="F138" s="589" t="s">
        <v>1392</v>
      </c>
      <c r="G138" s="805" t="s">
        <v>1073</v>
      </c>
      <c r="H138" s="589">
        <v>5</v>
      </c>
      <c r="I138" s="583">
        <v>5</v>
      </c>
      <c r="J138" s="589" t="s">
        <v>1419</v>
      </c>
      <c r="K138" s="589" t="s">
        <v>1071</v>
      </c>
      <c r="L138" s="806">
        <v>2</v>
      </c>
      <c r="M138" s="806">
        <v>14</v>
      </c>
      <c r="N138" s="807">
        <v>41373</v>
      </c>
    </row>
    <row r="139" spans="1:14">
      <c r="A139" s="589" t="s">
        <v>1436</v>
      </c>
      <c r="B139" s="583">
        <v>34</v>
      </c>
      <c r="C139" s="243">
        <v>41361</v>
      </c>
      <c r="D139" s="243">
        <v>41361</v>
      </c>
      <c r="E139" s="584" t="s">
        <v>206</v>
      </c>
      <c r="F139" s="589" t="s">
        <v>1392</v>
      </c>
      <c r="G139" s="805" t="s">
        <v>1070</v>
      </c>
      <c r="H139" s="589">
        <v>1134</v>
      </c>
      <c r="I139" s="583">
        <v>1134</v>
      </c>
      <c r="J139" s="589"/>
      <c r="K139" s="637" t="s">
        <v>1071</v>
      </c>
      <c r="L139" s="806">
        <v>6</v>
      </c>
      <c r="M139" s="806">
        <v>42</v>
      </c>
      <c r="N139" s="807">
        <v>41373</v>
      </c>
    </row>
    <row r="140" spans="1:14">
      <c r="A140" s="589" t="s">
        <v>1437</v>
      </c>
      <c r="B140" s="583">
        <v>18</v>
      </c>
      <c r="C140" s="243">
        <v>41361</v>
      </c>
      <c r="D140" s="243">
        <v>41361</v>
      </c>
      <c r="E140" s="589" t="s">
        <v>185</v>
      </c>
      <c r="F140" s="589" t="s">
        <v>1392</v>
      </c>
      <c r="G140" s="589" t="s">
        <v>563</v>
      </c>
      <c r="H140" s="589">
        <v>70</v>
      </c>
      <c r="I140" s="583">
        <v>70</v>
      </c>
      <c r="J140" s="589"/>
      <c r="K140" s="589" t="s">
        <v>1071</v>
      </c>
      <c r="L140" s="806">
        <v>2</v>
      </c>
      <c r="M140" s="806">
        <v>14</v>
      </c>
      <c r="N140" s="807">
        <v>41362</v>
      </c>
    </row>
    <row r="141" spans="1:14">
      <c r="A141" s="589" t="s">
        <v>1437</v>
      </c>
      <c r="B141" s="583">
        <v>18</v>
      </c>
      <c r="C141" s="243">
        <v>41361</v>
      </c>
      <c r="D141" s="243">
        <v>41361</v>
      </c>
      <c r="E141" s="589" t="s">
        <v>245</v>
      </c>
      <c r="F141" s="589" t="s">
        <v>1392</v>
      </c>
      <c r="G141" s="589" t="s">
        <v>1072</v>
      </c>
      <c r="H141" s="589">
        <v>39</v>
      </c>
      <c r="I141" s="583">
        <v>39</v>
      </c>
      <c r="J141" s="688"/>
      <c r="K141" s="637" t="s">
        <v>1071</v>
      </c>
      <c r="L141" s="809">
        <v>3</v>
      </c>
      <c r="M141" s="809">
        <v>21</v>
      </c>
      <c r="N141" s="807">
        <v>41375</v>
      </c>
    </row>
    <row r="142" spans="1:14">
      <c r="A142" s="589" t="s">
        <v>1437</v>
      </c>
      <c r="B142" s="583">
        <v>18</v>
      </c>
      <c r="C142" s="243">
        <v>41361</v>
      </c>
      <c r="D142" s="243">
        <v>41361</v>
      </c>
      <c r="E142" s="589" t="s">
        <v>179</v>
      </c>
      <c r="F142" s="589" t="s">
        <v>1392</v>
      </c>
      <c r="G142" s="805" t="s">
        <v>1073</v>
      </c>
      <c r="H142" s="589">
        <v>86</v>
      </c>
      <c r="I142" s="583">
        <v>86</v>
      </c>
      <c r="J142" s="589"/>
      <c r="K142" s="589" t="s">
        <v>1071</v>
      </c>
      <c r="L142" s="806">
        <v>2</v>
      </c>
      <c r="M142" s="806">
        <v>14</v>
      </c>
      <c r="N142" s="807">
        <v>41376</v>
      </c>
    </row>
    <row r="143" spans="1:14">
      <c r="A143" s="589" t="s">
        <v>1437</v>
      </c>
      <c r="B143" s="583">
        <v>18</v>
      </c>
      <c r="C143" s="243">
        <v>41361</v>
      </c>
      <c r="D143" s="243">
        <v>41361</v>
      </c>
      <c r="E143" s="584" t="s">
        <v>206</v>
      </c>
      <c r="F143" s="589" t="s">
        <v>1392</v>
      </c>
      <c r="G143" s="805" t="s">
        <v>1070</v>
      </c>
      <c r="H143" s="589">
        <v>739</v>
      </c>
      <c r="I143" s="583">
        <v>739</v>
      </c>
      <c r="J143" s="589"/>
      <c r="K143" s="637" t="s">
        <v>1071</v>
      </c>
      <c r="L143" s="806">
        <v>6</v>
      </c>
      <c r="M143" s="806">
        <v>42</v>
      </c>
      <c r="N143" s="807">
        <v>41376</v>
      </c>
    </row>
    <row r="144" spans="1:14">
      <c r="A144" s="589" t="s">
        <v>1438</v>
      </c>
      <c r="B144" s="583">
        <v>19</v>
      </c>
      <c r="C144" s="243">
        <v>41361</v>
      </c>
      <c r="D144" s="243">
        <v>41361</v>
      </c>
      <c r="E144" s="589" t="s">
        <v>185</v>
      </c>
      <c r="F144" s="589" t="s">
        <v>1392</v>
      </c>
      <c r="G144" s="589" t="s">
        <v>563</v>
      </c>
      <c r="H144" s="589">
        <v>760</v>
      </c>
      <c r="I144" s="583">
        <v>760</v>
      </c>
      <c r="J144" s="589"/>
      <c r="K144" s="589" t="s">
        <v>1071</v>
      </c>
      <c r="L144" s="806">
        <v>2</v>
      </c>
      <c r="M144" s="806">
        <v>14</v>
      </c>
      <c r="N144" s="807">
        <v>41362</v>
      </c>
    </row>
    <row r="145" spans="1:14">
      <c r="A145" s="589" t="s">
        <v>1438</v>
      </c>
      <c r="B145" s="583">
        <v>19</v>
      </c>
      <c r="C145" s="243">
        <v>41361</v>
      </c>
      <c r="D145" s="243">
        <v>41361</v>
      </c>
      <c r="E145" s="589" t="s">
        <v>245</v>
      </c>
      <c r="F145" s="589" t="s">
        <v>1392</v>
      </c>
      <c r="G145" s="589" t="s">
        <v>1072</v>
      </c>
      <c r="H145" s="589">
        <v>61</v>
      </c>
      <c r="I145" s="583">
        <v>61</v>
      </c>
      <c r="J145" s="688"/>
      <c r="K145" s="637" t="s">
        <v>1071</v>
      </c>
      <c r="L145" s="809">
        <v>3</v>
      </c>
      <c r="M145" s="809">
        <v>21</v>
      </c>
      <c r="N145" s="807">
        <v>41375</v>
      </c>
    </row>
    <row r="146" spans="1:14">
      <c r="A146" s="589" t="s">
        <v>1438</v>
      </c>
      <c r="B146" s="583">
        <v>19</v>
      </c>
      <c r="C146" s="243">
        <v>41361</v>
      </c>
      <c r="D146" s="243">
        <v>41361</v>
      </c>
      <c r="E146" s="589" t="s">
        <v>179</v>
      </c>
      <c r="F146" s="589" t="s">
        <v>1392</v>
      </c>
      <c r="G146" s="805" t="s">
        <v>1073</v>
      </c>
      <c r="H146" s="589">
        <v>54</v>
      </c>
      <c r="I146" s="583">
        <v>54</v>
      </c>
      <c r="J146" s="589"/>
      <c r="K146" s="589" t="s">
        <v>1071</v>
      </c>
      <c r="L146" s="806">
        <v>2</v>
      </c>
      <c r="M146" s="806">
        <v>14</v>
      </c>
      <c r="N146" s="807">
        <v>41376</v>
      </c>
    </row>
    <row r="147" spans="1:14">
      <c r="A147" s="589" t="s">
        <v>1438</v>
      </c>
      <c r="B147" s="583">
        <v>19</v>
      </c>
      <c r="C147" s="243">
        <v>41361</v>
      </c>
      <c r="D147" s="243">
        <v>41361</v>
      </c>
      <c r="E147" s="584" t="s">
        <v>206</v>
      </c>
      <c r="F147" s="589" t="s">
        <v>1392</v>
      </c>
      <c r="G147" s="805" t="s">
        <v>1070</v>
      </c>
      <c r="H147" s="589">
        <v>1075</v>
      </c>
      <c r="I147" s="583">
        <v>1075</v>
      </c>
      <c r="J147" s="589"/>
      <c r="K147" s="637" t="s">
        <v>1071</v>
      </c>
      <c r="L147" s="806">
        <v>6</v>
      </c>
      <c r="M147" s="806">
        <v>42</v>
      </c>
      <c r="N147" s="807">
        <v>41376</v>
      </c>
    </row>
    <row r="148" spans="1:14">
      <c r="A148" s="589" t="s">
        <v>1439</v>
      </c>
      <c r="B148" s="583" t="s">
        <v>1049</v>
      </c>
      <c r="C148" s="243">
        <v>41361</v>
      </c>
      <c r="D148" s="243">
        <v>41361</v>
      </c>
      <c r="E148" s="589" t="s">
        <v>185</v>
      </c>
      <c r="F148" s="589" t="s">
        <v>1392</v>
      </c>
      <c r="G148" s="589" t="s">
        <v>563</v>
      </c>
      <c r="H148" s="589">
        <v>10427</v>
      </c>
      <c r="I148" s="583">
        <v>10427</v>
      </c>
      <c r="J148" s="589"/>
      <c r="K148" s="589" t="s">
        <v>1071</v>
      </c>
      <c r="L148" s="806">
        <v>2</v>
      </c>
      <c r="M148" s="806">
        <v>14</v>
      </c>
      <c r="N148" s="807">
        <v>41362</v>
      </c>
    </row>
    <row r="149" spans="1:14">
      <c r="A149" s="589" t="s">
        <v>1439</v>
      </c>
      <c r="B149" s="583" t="s">
        <v>1049</v>
      </c>
      <c r="C149" s="243">
        <v>41361</v>
      </c>
      <c r="D149" s="243">
        <v>41361</v>
      </c>
      <c r="E149" s="589" t="s">
        <v>245</v>
      </c>
      <c r="F149" s="589" t="s">
        <v>1392</v>
      </c>
      <c r="G149" s="589" t="s">
        <v>1072</v>
      </c>
      <c r="H149" s="589">
        <v>32</v>
      </c>
      <c r="I149" s="583">
        <v>32</v>
      </c>
      <c r="J149" s="688"/>
      <c r="K149" s="637" t="s">
        <v>1071</v>
      </c>
      <c r="L149" s="809">
        <v>3</v>
      </c>
      <c r="M149" s="809">
        <v>21</v>
      </c>
      <c r="N149" s="807">
        <v>41375</v>
      </c>
    </row>
    <row r="150" spans="1:14">
      <c r="A150" s="589" t="s">
        <v>1439</v>
      </c>
      <c r="B150" s="583" t="s">
        <v>1049</v>
      </c>
      <c r="C150" s="243">
        <v>41361</v>
      </c>
      <c r="D150" s="243">
        <v>41361</v>
      </c>
      <c r="E150" s="589" t="s">
        <v>179</v>
      </c>
      <c r="F150" s="589" t="s">
        <v>1392</v>
      </c>
      <c r="G150" s="805" t="s">
        <v>1073</v>
      </c>
      <c r="H150" s="589">
        <v>103</v>
      </c>
      <c r="I150" s="583">
        <v>103</v>
      </c>
      <c r="J150" s="589"/>
      <c r="K150" s="589" t="s">
        <v>1071</v>
      </c>
      <c r="L150" s="806">
        <v>2</v>
      </c>
      <c r="M150" s="806">
        <v>14</v>
      </c>
      <c r="N150" s="807">
        <v>41376</v>
      </c>
    </row>
    <row r="151" spans="1:14">
      <c r="A151" s="589" t="s">
        <v>1439</v>
      </c>
      <c r="B151" s="583" t="s">
        <v>1049</v>
      </c>
      <c r="C151" s="243">
        <v>41361</v>
      </c>
      <c r="D151" s="243">
        <v>41361</v>
      </c>
      <c r="E151" s="584" t="s">
        <v>206</v>
      </c>
      <c r="F151" s="589" t="s">
        <v>1392</v>
      </c>
      <c r="G151" s="805" t="s">
        <v>1070</v>
      </c>
      <c r="H151" s="589">
        <v>12421</v>
      </c>
      <c r="I151" s="583">
        <v>12421</v>
      </c>
      <c r="J151" s="589"/>
      <c r="K151" s="637" t="s">
        <v>1071</v>
      </c>
      <c r="L151" s="806">
        <v>6</v>
      </c>
      <c r="M151" s="806">
        <v>42</v>
      </c>
      <c r="N151" s="807">
        <v>41376</v>
      </c>
    </row>
    <row r="152" spans="1:14">
      <c r="A152" s="589" t="s">
        <v>1440</v>
      </c>
      <c r="B152" s="583" t="s">
        <v>1074</v>
      </c>
      <c r="C152" s="243">
        <v>41361</v>
      </c>
      <c r="D152" s="243">
        <v>41361</v>
      </c>
      <c r="E152" s="589" t="s">
        <v>185</v>
      </c>
      <c r="F152" s="589" t="s">
        <v>1392</v>
      </c>
      <c r="G152" s="589" t="s">
        <v>563</v>
      </c>
      <c r="H152" s="589">
        <v>1781</v>
      </c>
      <c r="I152" s="583">
        <v>1781</v>
      </c>
      <c r="J152" s="589"/>
      <c r="K152" s="589" t="s">
        <v>1071</v>
      </c>
      <c r="L152" s="806">
        <v>2</v>
      </c>
      <c r="M152" s="806">
        <v>14</v>
      </c>
      <c r="N152" s="807">
        <v>41362</v>
      </c>
    </row>
    <row r="153" spans="1:14">
      <c r="A153" s="589" t="s">
        <v>1440</v>
      </c>
      <c r="B153" s="583" t="s">
        <v>1074</v>
      </c>
      <c r="C153" s="243">
        <v>41361</v>
      </c>
      <c r="D153" s="243">
        <v>41361</v>
      </c>
      <c r="E153" s="589" t="s">
        <v>245</v>
      </c>
      <c r="F153" s="589" t="s">
        <v>1392</v>
      </c>
      <c r="G153" s="589" t="s">
        <v>1072</v>
      </c>
      <c r="H153" s="589">
        <v>29</v>
      </c>
      <c r="I153" s="583">
        <v>29</v>
      </c>
      <c r="J153" s="688"/>
      <c r="K153" s="637" t="s">
        <v>1071</v>
      </c>
      <c r="L153" s="809">
        <v>3</v>
      </c>
      <c r="M153" s="809">
        <v>21</v>
      </c>
      <c r="N153" s="807">
        <v>41375</v>
      </c>
    </row>
    <row r="154" spans="1:14">
      <c r="A154" s="589" t="s">
        <v>1440</v>
      </c>
      <c r="B154" s="583" t="s">
        <v>1074</v>
      </c>
      <c r="C154" s="243">
        <v>41361</v>
      </c>
      <c r="D154" s="243">
        <v>41361</v>
      </c>
      <c r="E154" s="589" t="s">
        <v>179</v>
      </c>
      <c r="F154" s="589" t="s">
        <v>1392</v>
      </c>
      <c r="G154" s="805" t="s">
        <v>1073</v>
      </c>
      <c r="H154" s="589">
        <v>106</v>
      </c>
      <c r="I154" s="583">
        <v>106</v>
      </c>
      <c r="J154" s="589"/>
      <c r="K154" s="589" t="s">
        <v>1071</v>
      </c>
      <c r="L154" s="806">
        <v>2</v>
      </c>
      <c r="M154" s="806">
        <v>14</v>
      </c>
      <c r="N154" s="807">
        <v>41376</v>
      </c>
    </row>
    <row r="155" spans="1:14">
      <c r="A155" s="589" t="s">
        <v>1440</v>
      </c>
      <c r="B155" s="583" t="s">
        <v>1074</v>
      </c>
      <c r="C155" s="243">
        <v>41361</v>
      </c>
      <c r="D155" s="243">
        <v>41361</v>
      </c>
      <c r="E155" s="584" t="s">
        <v>206</v>
      </c>
      <c r="F155" s="589" t="s">
        <v>1392</v>
      </c>
      <c r="G155" s="805" t="s">
        <v>1070</v>
      </c>
      <c r="H155" s="589">
        <v>3104</v>
      </c>
      <c r="I155" s="583">
        <v>3104</v>
      </c>
      <c r="J155" s="589"/>
      <c r="K155" s="637" t="s">
        <v>1071</v>
      </c>
      <c r="L155" s="806">
        <v>6</v>
      </c>
      <c r="M155" s="806">
        <v>42</v>
      </c>
      <c r="N155" s="807">
        <v>41376</v>
      </c>
    </row>
    <row r="156" spans="1:14">
      <c r="A156" s="589" t="s">
        <v>1441</v>
      </c>
      <c r="B156" s="583" t="s">
        <v>1075</v>
      </c>
      <c r="C156" s="243">
        <v>41361</v>
      </c>
      <c r="D156" s="243">
        <v>41361</v>
      </c>
      <c r="E156" s="589" t="s">
        <v>185</v>
      </c>
      <c r="F156" s="589" t="s">
        <v>1392</v>
      </c>
      <c r="G156" s="589" t="s">
        <v>563</v>
      </c>
      <c r="H156" s="589">
        <v>17003</v>
      </c>
      <c r="I156" s="583">
        <v>17003</v>
      </c>
      <c r="J156" s="589"/>
      <c r="K156" s="589" t="s">
        <v>1071</v>
      </c>
      <c r="L156" s="806">
        <v>2</v>
      </c>
      <c r="M156" s="806">
        <v>14</v>
      </c>
      <c r="N156" s="807">
        <v>41362</v>
      </c>
    </row>
    <row r="157" spans="1:14">
      <c r="A157" s="589" t="s">
        <v>1441</v>
      </c>
      <c r="B157" s="583" t="s">
        <v>1075</v>
      </c>
      <c r="C157" s="243">
        <v>41361</v>
      </c>
      <c r="D157" s="243">
        <v>41361</v>
      </c>
      <c r="E157" s="589" t="s">
        <v>245</v>
      </c>
      <c r="F157" s="589" t="s">
        <v>1392</v>
      </c>
      <c r="G157" s="589" t="s">
        <v>1072</v>
      </c>
      <c r="H157" s="589">
        <v>311</v>
      </c>
      <c r="I157" s="583">
        <v>311</v>
      </c>
      <c r="J157" s="688"/>
      <c r="K157" s="637" t="s">
        <v>1071</v>
      </c>
      <c r="L157" s="809">
        <v>3</v>
      </c>
      <c r="M157" s="809">
        <v>21</v>
      </c>
      <c r="N157" s="807">
        <v>41375</v>
      </c>
    </row>
    <row r="158" spans="1:14">
      <c r="A158" s="589" t="s">
        <v>1441</v>
      </c>
      <c r="B158" s="583" t="s">
        <v>1075</v>
      </c>
      <c r="C158" s="243">
        <v>41361</v>
      </c>
      <c r="D158" s="243">
        <v>41361</v>
      </c>
      <c r="E158" s="589" t="s">
        <v>179</v>
      </c>
      <c r="F158" s="589" t="s">
        <v>1392</v>
      </c>
      <c r="G158" s="805" t="s">
        <v>1073</v>
      </c>
      <c r="H158" s="589">
        <v>616</v>
      </c>
      <c r="I158" s="583">
        <v>616</v>
      </c>
      <c r="J158" s="589"/>
      <c r="K158" s="589" t="s">
        <v>1071</v>
      </c>
      <c r="L158" s="806">
        <v>2</v>
      </c>
      <c r="M158" s="806">
        <v>14</v>
      </c>
      <c r="N158" s="807">
        <v>41376</v>
      </c>
    </row>
    <row r="159" spans="1:14">
      <c r="A159" s="589" t="s">
        <v>1441</v>
      </c>
      <c r="B159" s="583" t="s">
        <v>1075</v>
      </c>
      <c r="C159" s="243">
        <v>41361</v>
      </c>
      <c r="D159" s="243">
        <v>41361</v>
      </c>
      <c r="E159" s="584" t="s">
        <v>206</v>
      </c>
      <c r="F159" s="589" t="s">
        <v>1392</v>
      </c>
      <c r="G159" s="805" t="s">
        <v>1070</v>
      </c>
      <c r="H159" s="589">
        <v>22097</v>
      </c>
      <c r="I159" s="583">
        <v>22097</v>
      </c>
      <c r="J159" s="589"/>
      <c r="K159" s="637" t="s">
        <v>1071</v>
      </c>
      <c r="L159" s="806">
        <v>6</v>
      </c>
      <c r="M159" s="806">
        <v>42</v>
      </c>
      <c r="N159" s="807">
        <v>41376</v>
      </c>
    </row>
    <row r="160" spans="1:14">
      <c r="A160" s="589" t="s">
        <v>1442</v>
      </c>
      <c r="B160" s="583" t="s">
        <v>404</v>
      </c>
      <c r="C160" s="243">
        <v>41361</v>
      </c>
      <c r="D160" s="243">
        <v>41361</v>
      </c>
      <c r="E160" s="589" t="s">
        <v>185</v>
      </c>
      <c r="F160" s="589" t="s">
        <v>1392</v>
      </c>
      <c r="G160" s="589" t="s">
        <v>563</v>
      </c>
      <c r="H160" s="589">
        <v>5374</v>
      </c>
      <c r="I160" s="583">
        <v>5374</v>
      </c>
      <c r="J160" s="589"/>
      <c r="K160" s="589" t="s">
        <v>1071</v>
      </c>
      <c r="L160" s="806">
        <v>2</v>
      </c>
      <c r="M160" s="806">
        <v>14</v>
      </c>
      <c r="N160" s="807">
        <v>41362</v>
      </c>
    </row>
    <row r="161" spans="1:14">
      <c r="A161" s="589" t="s">
        <v>1442</v>
      </c>
      <c r="B161" s="583" t="s">
        <v>404</v>
      </c>
      <c r="C161" s="243">
        <v>41361</v>
      </c>
      <c r="D161" s="243">
        <v>41361</v>
      </c>
      <c r="E161" s="589" t="s">
        <v>245</v>
      </c>
      <c r="F161" s="589" t="s">
        <v>1392</v>
      </c>
      <c r="G161" s="589" t="s">
        <v>1072</v>
      </c>
      <c r="H161" s="589">
        <v>66</v>
      </c>
      <c r="I161" s="583">
        <v>66</v>
      </c>
      <c r="J161" s="688"/>
      <c r="K161" s="637" t="s">
        <v>1071</v>
      </c>
      <c r="L161" s="809">
        <v>3</v>
      </c>
      <c r="M161" s="809">
        <v>21</v>
      </c>
      <c r="N161" s="807">
        <v>41375</v>
      </c>
    </row>
    <row r="162" spans="1:14">
      <c r="A162" s="589" t="s">
        <v>1442</v>
      </c>
      <c r="B162" s="583" t="s">
        <v>404</v>
      </c>
      <c r="C162" s="243">
        <v>41361</v>
      </c>
      <c r="D162" s="243">
        <v>41361</v>
      </c>
      <c r="E162" s="589" t="s">
        <v>179</v>
      </c>
      <c r="F162" s="589" t="s">
        <v>1392</v>
      </c>
      <c r="G162" s="805" t="s">
        <v>1073</v>
      </c>
      <c r="H162" s="589">
        <v>246</v>
      </c>
      <c r="I162" s="583">
        <v>246</v>
      </c>
      <c r="J162" s="589"/>
      <c r="K162" s="589" t="s">
        <v>1071</v>
      </c>
      <c r="L162" s="806">
        <v>2</v>
      </c>
      <c r="M162" s="806">
        <v>14</v>
      </c>
      <c r="N162" s="807">
        <v>41376</v>
      </c>
    </row>
    <row r="163" spans="1:14">
      <c r="A163" s="589" t="s">
        <v>1442</v>
      </c>
      <c r="B163" s="583" t="s">
        <v>404</v>
      </c>
      <c r="C163" s="243">
        <v>41361</v>
      </c>
      <c r="D163" s="243">
        <v>41361</v>
      </c>
      <c r="E163" s="584" t="s">
        <v>206</v>
      </c>
      <c r="F163" s="589" t="s">
        <v>1392</v>
      </c>
      <c r="G163" s="805" t="s">
        <v>1070</v>
      </c>
      <c r="H163" s="589">
        <v>7279</v>
      </c>
      <c r="I163" s="583">
        <v>7279</v>
      </c>
      <c r="J163" s="589"/>
      <c r="K163" s="637" t="s">
        <v>1071</v>
      </c>
      <c r="L163" s="806">
        <v>6</v>
      </c>
      <c r="M163" s="806">
        <v>42</v>
      </c>
      <c r="N163" s="807">
        <v>41376</v>
      </c>
    </row>
    <row r="164" spans="1:14">
      <c r="A164" s="589" t="s">
        <v>1443</v>
      </c>
      <c r="B164" s="583" t="s">
        <v>1076</v>
      </c>
      <c r="C164" s="243">
        <v>41361</v>
      </c>
      <c r="D164" s="243">
        <v>41361</v>
      </c>
      <c r="E164" s="589" t="s">
        <v>185</v>
      </c>
      <c r="F164" s="589" t="s">
        <v>1392</v>
      </c>
      <c r="G164" s="589" t="s">
        <v>563</v>
      </c>
      <c r="H164" s="589">
        <v>5828</v>
      </c>
      <c r="I164" s="583">
        <v>5828</v>
      </c>
      <c r="J164" s="589"/>
      <c r="K164" s="589" t="s">
        <v>1071</v>
      </c>
      <c r="L164" s="806">
        <v>2</v>
      </c>
      <c r="M164" s="806">
        <v>14</v>
      </c>
      <c r="N164" s="807">
        <v>41362</v>
      </c>
    </row>
    <row r="165" spans="1:14">
      <c r="A165" s="589" t="s">
        <v>1443</v>
      </c>
      <c r="B165" s="583" t="s">
        <v>1076</v>
      </c>
      <c r="C165" s="243">
        <v>41361</v>
      </c>
      <c r="D165" s="243">
        <v>41361</v>
      </c>
      <c r="E165" s="589" t="s">
        <v>245</v>
      </c>
      <c r="F165" s="589" t="s">
        <v>1392</v>
      </c>
      <c r="G165" s="589" t="s">
        <v>1072</v>
      </c>
      <c r="H165" s="589">
        <v>56</v>
      </c>
      <c r="I165" s="583">
        <v>56</v>
      </c>
      <c r="J165" s="688"/>
      <c r="K165" s="637" t="s">
        <v>1071</v>
      </c>
      <c r="L165" s="809">
        <v>3</v>
      </c>
      <c r="M165" s="809">
        <v>21</v>
      </c>
      <c r="N165" s="807">
        <v>41375</v>
      </c>
    </row>
    <row r="166" spans="1:14">
      <c r="A166" s="589" t="s">
        <v>1443</v>
      </c>
      <c r="B166" s="583" t="s">
        <v>1076</v>
      </c>
      <c r="C166" s="243">
        <v>41361</v>
      </c>
      <c r="D166" s="243">
        <v>41361</v>
      </c>
      <c r="E166" s="589" t="s">
        <v>179</v>
      </c>
      <c r="F166" s="589" t="s">
        <v>1392</v>
      </c>
      <c r="G166" s="805" t="s">
        <v>1073</v>
      </c>
      <c r="H166" s="589">
        <v>2579</v>
      </c>
      <c r="I166" s="583">
        <v>2579</v>
      </c>
      <c r="J166" s="589"/>
      <c r="K166" s="589" t="s">
        <v>1071</v>
      </c>
      <c r="L166" s="806">
        <v>2</v>
      </c>
      <c r="M166" s="806">
        <v>14</v>
      </c>
      <c r="N166" s="807">
        <v>41376</v>
      </c>
    </row>
    <row r="167" spans="1:14">
      <c r="A167" s="589" t="s">
        <v>1443</v>
      </c>
      <c r="B167" s="583" t="s">
        <v>1076</v>
      </c>
      <c r="C167" s="243">
        <v>41361</v>
      </c>
      <c r="D167" s="243">
        <v>41361</v>
      </c>
      <c r="E167" s="584" t="s">
        <v>206</v>
      </c>
      <c r="F167" s="589" t="s">
        <v>1392</v>
      </c>
      <c r="G167" s="805" t="s">
        <v>1070</v>
      </c>
      <c r="H167" s="589">
        <v>13045</v>
      </c>
      <c r="I167" s="583">
        <v>13045</v>
      </c>
      <c r="J167" s="589"/>
      <c r="K167" s="637" t="s">
        <v>1071</v>
      </c>
      <c r="L167" s="806">
        <v>6</v>
      </c>
      <c r="M167" s="806">
        <v>42</v>
      </c>
      <c r="N167" s="807">
        <v>41376</v>
      </c>
    </row>
    <row r="169" spans="1:14">
      <c r="A169" s="804" t="s">
        <v>1444</v>
      </c>
      <c r="B169" s="583" t="s">
        <v>1445</v>
      </c>
      <c r="C169" s="243">
        <v>41340</v>
      </c>
      <c r="D169" s="243">
        <v>41340</v>
      </c>
      <c r="E169" s="584" t="s">
        <v>206</v>
      </c>
      <c r="F169" s="589" t="s">
        <v>1392</v>
      </c>
      <c r="G169" s="584" t="s">
        <v>996</v>
      </c>
      <c r="H169" s="589">
        <v>13663</v>
      </c>
      <c r="I169" s="583">
        <v>13663</v>
      </c>
      <c r="J169" s="589"/>
      <c r="K169" s="637" t="s">
        <v>1071</v>
      </c>
      <c r="L169" s="806">
        <v>4</v>
      </c>
      <c r="M169" s="688">
        <v>28</v>
      </c>
      <c r="N169" s="807">
        <v>41348</v>
      </c>
    </row>
    <row r="170" spans="1:14">
      <c r="A170" s="804" t="s">
        <v>1444</v>
      </c>
      <c r="B170" s="583" t="s">
        <v>1445</v>
      </c>
      <c r="C170" s="243">
        <v>41340</v>
      </c>
      <c r="D170" s="243">
        <v>41340</v>
      </c>
      <c r="E170" s="589" t="s">
        <v>185</v>
      </c>
      <c r="F170" s="589" t="s">
        <v>1392</v>
      </c>
      <c r="G170" s="589" t="s">
        <v>563</v>
      </c>
      <c r="H170" s="589">
        <v>13418</v>
      </c>
      <c r="I170" s="583">
        <v>13418</v>
      </c>
      <c r="J170" s="589"/>
      <c r="K170" s="589" t="s">
        <v>1071</v>
      </c>
      <c r="L170" s="806">
        <v>2</v>
      </c>
      <c r="M170" s="688">
        <v>14</v>
      </c>
      <c r="N170" s="807">
        <v>41352</v>
      </c>
    </row>
    <row r="171" spans="1:14">
      <c r="A171" s="804" t="s">
        <v>1444</v>
      </c>
      <c r="B171" s="583" t="s">
        <v>1445</v>
      </c>
      <c r="C171" s="243">
        <v>41340</v>
      </c>
      <c r="D171" s="243">
        <v>41340</v>
      </c>
      <c r="E171" s="589" t="s">
        <v>245</v>
      </c>
      <c r="F171" s="589" t="s">
        <v>1392</v>
      </c>
      <c r="G171" s="589" t="s">
        <v>990</v>
      </c>
      <c r="H171" s="589">
        <v>6</v>
      </c>
      <c r="I171" s="808">
        <v>6</v>
      </c>
      <c r="J171" s="589" t="s">
        <v>1419</v>
      </c>
      <c r="K171" s="637" t="s">
        <v>1071</v>
      </c>
      <c r="L171" s="809">
        <v>3</v>
      </c>
      <c r="M171" s="688">
        <v>21</v>
      </c>
      <c r="N171" s="807">
        <v>41341</v>
      </c>
    </row>
    <row r="172" spans="1:14">
      <c r="A172" s="804" t="s">
        <v>1444</v>
      </c>
      <c r="B172" s="583" t="s">
        <v>1445</v>
      </c>
      <c r="C172" s="243">
        <v>41340</v>
      </c>
      <c r="D172" s="243">
        <v>41340</v>
      </c>
      <c r="E172" s="589" t="s">
        <v>179</v>
      </c>
      <c r="F172" s="589" t="s">
        <v>1392</v>
      </c>
      <c r="G172" s="584" t="s">
        <v>1000</v>
      </c>
      <c r="H172" s="589" t="s">
        <v>1394</v>
      </c>
      <c r="I172" s="583"/>
      <c r="J172" s="589" t="s">
        <v>1395</v>
      </c>
      <c r="K172" s="589" t="s">
        <v>1071</v>
      </c>
      <c r="L172" s="806">
        <v>2</v>
      </c>
      <c r="M172" s="688">
        <v>14</v>
      </c>
      <c r="N172" s="807">
        <v>41348</v>
      </c>
    </row>
    <row r="174" spans="1:14">
      <c r="A174" s="804" t="s">
        <v>1447</v>
      </c>
      <c r="B174" s="583">
        <v>64</v>
      </c>
      <c r="C174" s="243">
        <v>41389</v>
      </c>
      <c r="D174" s="243">
        <v>41389</v>
      </c>
      <c r="E174" s="584" t="s">
        <v>206</v>
      </c>
      <c r="F174" s="589" t="s">
        <v>1392</v>
      </c>
      <c r="G174" s="805" t="s">
        <v>996</v>
      </c>
      <c r="H174" s="589">
        <v>619</v>
      </c>
      <c r="I174" s="583">
        <v>619</v>
      </c>
      <c r="J174" s="589"/>
      <c r="K174" s="637" t="s">
        <v>1071</v>
      </c>
      <c r="L174" s="806">
        <v>6</v>
      </c>
      <c r="M174" s="806">
        <v>42</v>
      </c>
      <c r="N174" s="807">
        <v>41401</v>
      </c>
    </row>
    <row r="175" spans="1:14">
      <c r="A175" s="688" t="s">
        <v>1447</v>
      </c>
      <c r="B175" s="583">
        <v>64</v>
      </c>
      <c r="C175" s="243">
        <v>41389</v>
      </c>
      <c r="D175" s="243">
        <v>41389</v>
      </c>
      <c r="E175" s="589" t="s">
        <v>185</v>
      </c>
      <c r="F175" s="589" t="s">
        <v>1392</v>
      </c>
      <c r="G175" s="589" t="s">
        <v>563</v>
      </c>
      <c r="H175" s="589">
        <v>327</v>
      </c>
      <c r="I175" s="583">
        <v>327</v>
      </c>
      <c r="J175" s="589"/>
      <c r="K175" s="589" t="s">
        <v>1071</v>
      </c>
      <c r="L175" s="806">
        <v>2</v>
      </c>
      <c r="M175" s="806">
        <v>14</v>
      </c>
      <c r="N175" s="807">
        <v>41395</v>
      </c>
    </row>
    <row r="176" spans="1:14">
      <c r="A176" s="688" t="s">
        <v>1447</v>
      </c>
      <c r="B176" s="583">
        <v>64</v>
      </c>
      <c r="C176" s="243">
        <v>41389</v>
      </c>
      <c r="D176" s="243">
        <v>41389</v>
      </c>
      <c r="E176" s="589" t="s">
        <v>245</v>
      </c>
      <c r="F176" s="589" t="s">
        <v>1392</v>
      </c>
      <c r="G176" s="589" t="s">
        <v>990</v>
      </c>
      <c r="H176" s="589">
        <v>24</v>
      </c>
      <c r="I176" s="808" t="s">
        <v>1448</v>
      </c>
      <c r="J176" s="688"/>
      <c r="K176" s="637" t="s">
        <v>1071</v>
      </c>
      <c r="L176" s="809">
        <v>3</v>
      </c>
      <c r="M176" s="809">
        <v>21</v>
      </c>
      <c r="N176" s="807">
        <v>41402</v>
      </c>
    </row>
    <row r="177" spans="1:14">
      <c r="A177" s="688" t="s">
        <v>1447</v>
      </c>
      <c r="B177" s="583">
        <v>64</v>
      </c>
      <c r="C177" s="243">
        <v>41389</v>
      </c>
      <c r="D177" s="243">
        <v>41389</v>
      </c>
      <c r="E177" s="589" t="s">
        <v>179</v>
      </c>
      <c r="F177" s="589" t="s">
        <v>1392</v>
      </c>
      <c r="G177" s="805" t="s">
        <v>1000</v>
      </c>
      <c r="H177" s="589">
        <v>46</v>
      </c>
      <c r="I177" s="583">
        <v>46</v>
      </c>
      <c r="J177" s="589"/>
      <c r="K177" s="589" t="s">
        <v>1071</v>
      </c>
      <c r="L177" s="806">
        <v>2</v>
      </c>
      <c r="M177" s="806">
        <v>14</v>
      </c>
      <c r="N177" s="807">
        <v>41401</v>
      </c>
    </row>
    <row r="178" spans="1:14">
      <c r="A178" s="804" t="s">
        <v>1449</v>
      </c>
      <c r="B178" s="583">
        <v>32</v>
      </c>
      <c r="C178" s="243">
        <v>41389</v>
      </c>
      <c r="D178" s="243">
        <v>41389</v>
      </c>
      <c r="E178" s="584" t="s">
        <v>206</v>
      </c>
      <c r="F178" s="589" t="s">
        <v>1392</v>
      </c>
      <c r="G178" s="805" t="s">
        <v>996</v>
      </c>
      <c r="H178" s="589">
        <v>1137</v>
      </c>
      <c r="I178" s="583">
        <v>1137</v>
      </c>
      <c r="J178" s="589"/>
      <c r="K178" s="637" t="s">
        <v>1071</v>
      </c>
      <c r="L178" s="806">
        <v>6</v>
      </c>
      <c r="M178" s="806">
        <v>42</v>
      </c>
      <c r="N178" s="807">
        <v>41401</v>
      </c>
    </row>
    <row r="179" spans="1:14">
      <c r="A179" s="688" t="s">
        <v>1449</v>
      </c>
      <c r="B179" s="583">
        <v>32</v>
      </c>
      <c r="C179" s="243">
        <v>41389</v>
      </c>
      <c r="D179" s="243">
        <v>41389</v>
      </c>
      <c r="E179" s="589" t="s">
        <v>185</v>
      </c>
      <c r="F179" s="589" t="s">
        <v>1392</v>
      </c>
      <c r="G179" s="589" t="s">
        <v>563</v>
      </c>
      <c r="H179" s="589">
        <v>474</v>
      </c>
      <c r="I179" s="583">
        <v>474</v>
      </c>
      <c r="J179" s="589"/>
      <c r="K179" s="589" t="s">
        <v>1071</v>
      </c>
      <c r="L179" s="806">
        <v>2</v>
      </c>
      <c r="M179" s="806">
        <v>14</v>
      </c>
      <c r="N179" s="807">
        <v>41395</v>
      </c>
    </row>
    <row r="180" spans="1:14">
      <c r="A180" s="688" t="s">
        <v>1449</v>
      </c>
      <c r="B180" s="583">
        <v>32</v>
      </c>
      <c r="C180" s="243">
        <v>41389</v>
      </c>
      <c r="D180" s="243">
        <v>41389</v>
      </c>
      <c r="E180" s="589" t="s">
        <v>245</v>
      </c>
      <c r="F180" s="589" t="s">
        <v>1392</v>
      </c>
      <c r="G180" s="589" t="s">
        <v>990</v>
      </c>
      <c r="H180" s="589">
        <v>20</v>
      </c>
      <c r="I180" s="808" t="s">
        <v>1413</v>
      </c>
      <c r="J180" s="589" t="s">
        <v>1419</v>
      </c>
      <c r="K180" s="637" t="s">
        <v>1071</v>
      </c>
      <c r="L180" s="809">
        <v>3</v>
      </c>
      <c r="M180" s="809">
        <v>21</v>
      </c>
      <c r="N180" s="807">
        <v>41402</v>
      </c>
    </row>
    <row r="181" spans="1:14">
      <c r="A181" s="688" t="s">
        <v>1449</v>
      </c>
      <c r="B181" s="583">
        <v>32</v>
      </c>
      <c r="C181" s="243">
        <v>41389</v>
      </c>
      <c r="D181" s="243">
        <v>41389</v>
      </c>
      <c r="E181" s="589" t="s">
        <v>179</v>
      </c>
      <c r="F181" s="589" t="s">
        <v>1392</v>
      </c>
      <c r="G181" s="805" t="s">
        <v>1000</v>
      </c>
      <c r="H181" s="589">
        <v>166</v>
      </c>
      <c r="I181" s="583">
        <v>166</v>
      </c>
      <c r="J181" s="589"/>
      <c r="K181" s="589" t="s">
        <v>1071</v>
      </c>
      <c r="L181" s="806">
        <v>2</v>
      </c>
      <c r="M181" s="806">
        <v>14</v>
      </c>
      <c r="N181" s="807">
        <v>41401</v>
      </c>
    </row>
    <row r="182" spans="1:14">
      <c r="A182" s="804" t="s">
        <v>1450</v>
      </c>
      <c r="B182" s="583">
        <v>5</v>
      </c>
      <c r="C182" s="243">
        <v>41389</v>
      </c>
      <c r="D182" s="243">
        <v>41389</v>
      </c>
      <c r="E182" s="589" t="s">
        <v>185</v>
      </c>
      <c r="F182" s="589" t="s">
        <v>1392</v>
      </c>
      <c r="G182" s="589" t="s">
        <v>563</v>
      </c>
      <c r="H182" s="589">
        <v>280</v>
      </c>
      <c r="I182" s="583">
        <v>280</v>
      </c>
      <c r="J182" s="589"/>
      <c r="K182" s="589" t="s">
        <v>1071</v>
      </c>
      <c r="L182" s="806">
        <v>2</v>
      </c>
      <c r="M182" s="806">
        <v>14</v>
      </c>
      <c r="N182" s="807">
        <v>41395</v>
      </c>
    </row>
    <row r="183" spans="1:14">
      <c r="A183" s="804" t="s">
        <v>1450</v>
      </c>
      <c r="B183" s="583">
        <v>5</v>
      </c>
      <c r="C183" s="243">
        <v>41389</v>
      </c>
      <c r="D183" s="243">
        <v>41389</v>
      </c>
      <c r="E183" s="589" t="s">
        <v>245</v>
      </c>
      <c r="F183" s="589" t="s">
        <v>1392</v>
      </c>
      <c r="G183" s="589" t="s">
        <v>990</v>
      </c>
      <c r="H183" s="589">
        <v>8</v>
      </c>
      <c r="I183" s="808" t="s">
        <v>1451</v>
      </c>
      <c r="J183" s="589" t="s">
        <v>1419</v>
      </c>
      <c r="K183" s="637" t="s">
        <v>1071</v>
      </c>
      <c r="L183" s="809">
        <v>3</v>
      </c>
      <c r="M183" s="809">
        <v>21</v>
      </c>
      <c r="N183" s="807">
        <v>41402</v>
      </c>
    </row>
    <row r="184" spans="1:14">
      <c r="A184" s="804" t="s">
        <v>1450</v>
      </c>
      <c r="B184" s="583">
        <v>5</v>
      </c>
      <c r="C184" s="243">
        <v>41389</v>
      </c>
      <c r="D184" s="243">
        <v>41389</v>
      </c>
      <c r="E184" s="589" t="s">
        <v>179</v>
      </c>
      <c r="F184" s="589" t="s">
        <v>1392</v>
      </c>
      <c r="G184" s="805" t="s">
        <v>1000</v>
      </c>
      <c r="H184" s="589">
        <v>16</v>
      </c>
      <c r="I184" s="583">
        <v>16</v>
      </c>
      <c r="J184" s="589"/>
      <c r="K184" s="589" t="s">
        <v>1071</v>
      </c>
      <c r="L184" s="806">
        <v>2</v>
      </c>
      <c r="M184" s="806">
        <v>14</v>
      </c>
      <c r="N184" s="807">
        <v>41401</v>
      </c>
    </row>
    <row r="185" spans="1:14">
      <c r="A185" s="589" t="s">
        <v>1450</v>
      </c>
      <c r="B185" s="583">
        <v>5</v>
      </c>
      <c r="C185" s="243">
        <v>41389</v>
      </c>
      <c r="D185" s="243">
        <v>41389</v>
      </c>
      <c r="E185" s="584" t="s">
        <v>206</v>
      </c>
      <c r="F185" s="589" t="s">
        <v>1392</v>
      </c>
      <c r="G185" s="805" t="s">
        <v>996</v>
      </c>
      <c r="H185" s="589">
        <v>507</v>
      </c>
      <c r="I185" s="583">
        <v>507</v>
      </c>
      <c r="J185" s="589"/>
      <c r="K185" s="637" t="s">
        <v>1071</v>
      </c>
      <c r="L185" s="806">
        <v>6</v>
      </c>
      <c r="M185" s="806">
        <v>42</v>
      </c>
      <c r="N185" s="807">
        <v>41401</v>
      </c>
    </row>
    <row r="186" spans="1:14">
      <c r="A186" s="589" t="s">
        <v>1452</v>
      </c>
      <c r="B186" s="585" t="s">
        <v>439</v>
      </c>
      <c r="C186" s="243">
        <v>41389</v>
      </c>
      <c r="D186" s="243">
        <v>41389</v>
      </c>
      <c r="E186" s="589" t="s">
        <v>185</v>
      </c>
      <c r="F186" s="589" t="s">
        <v>1392</v>
      </c>
      <c r="G186" s="589" t="s">
        <v>563</v>
      </c>
      <c r="H186" s="589">
        <v>652</v>
      </c>
      <c r="I186" s="583">
        <v>652</v>
      </c>
      <c r="J186" s="589"/>
      <c r="K186" s="589" t="s">
        <v>1071</v>
      </c>
      <c r="L186" s="806">
        <v>2</v>
      </c>
      <c r="M186" s="806">
        <v>14</v>
      </c>
      <c r="N186" s="807">
        <v>41395</v>
      </c>
    </row>
    <row r="187" spans="1:14">
      <c r="A187" s="589" t="s">
        <v>1452</v>
      </c>
      <c r="B187" s="585" t="s">
        <v>439</v>
      </c>
      <c r="C187" s="243">
        <v>41389</v>
      </c>
      <c r="D187" s="243">
        <v>41389</v>
      </c>
      <c r="E187" s="589" t="s">
        <v>245</v>
      </c>
      <c r="F187" s="589" t="s">
        <v>1392</v>
      </c>
      <c r="G187" s="589" t="s">
        <v>990</v>
      </c>
      <c r="H187" s="589">
        <v>12</v>
      </c>
      <c r="I187" s="808" t="s">
        <v>1453</v>
      </c>
      <c r="J187" s="589" t="s">
        <v>1419</v>
      </c>
      <c r="K187" s="637" t="s">
        <v>1071</v>
      </c>
      <c r="L187" s="809">
        <v>3</v>
      </c>
      <c r="M187" s="809">
        <v>21</v>
      </c>
      <c r="N187" s="807">
        <v>41402</v>
      </c>
    </row>
    <row r="188" spans="1:14">
      <c r="A188" s="589" t="s">
        <v>1452</v>
      </c>
      <c r="B188" s="585" t="s">
        <v>439</v>
      </c>
      <c r="C188" s="243">
        <v>41389</v>
      </c>
      <c r="D188" s="243">
        <v>41389</v>
      </c>
      <c r="E188" s="589" t="s">
        <v>179</v>
      </c>
      <c r="F188" s="589" t="s">
        <v>1392</v>
      </c>
      <c r="G188" s="805" t="s">
        <v>1000</v>
      </c>
      <c r="H188" s="589">
        <v>23</v>
      </c>
      <c r="I188" s="583">
        <v>23</v>
      </c>
      <c r="J188" s="589"/>
      <c r="K188" s="589" t="s">
        <v>1071</v>
      </c>
      <c r="L188" s="806">
        <v>2</v>
      </c>
      <c r="M188" s="806">
        <v>14</v>
      </c>
      <c r="N188" s="807">
        <v>41401</v>
      </c>
    </row>
    <row r="189" spans="1:14">
      <c r="A189" s="804" t="s">
        <v>1452</v>
      </c>
      <c r="B189" s="585" t="s">
        <v>439</v>
      </c>
      <c r="C189" s="243">
        <v>41389</v>
      </c>
      <c r="D189" s="243">
        <v>41389</v>
      </c>
      <c r="E189" s="584" t="s">
        <v>206</v>
      </c>
      <c r="F189" s="589" t="s">
        <v>1392</v>
      </c>
      <c r="G189" s="805" t="s">
        <v>996</v>
      </c>
      <c r="H189" s="589">
        <v>927</v>
      </c>
      <c r="I189" s="583">
        <v>927</v>
      </c>
      <c r="J189" s="589"/>
      <c r="K189" s="637" t="s">
        <v>1071</v>
      </c>
      <c r="L189" s="806">
        <v>6</v>
      </c>
      <c r="M189" s="806">
        <v>42</v>
      </c>
      <c r="N189" s="807">
        <v>41401</v>
      </c>
    </row>
    <row r="190" spans="1:14">
      <c r="A190" s="589" t="s">
        <v>1454</v>
      </c>
      <c r="B190" s="583">
        <v>9</v>
      </c>
      <c r="C190" s="243">
        <v>41389</v>
      </c>
      <c r="D190" s="243">
        <v>41389</v>
      </c>
      <c r="E190" s="589" t="s">
        <v>185</v>
      </c>
      <c r="F190" s="589" t="s">
        <v>1392</v>
      </c>
      <c r="G190" s="589" t="s">
        <v>563</v>
      </c>
      <c r="H190" s="589">
        <v>312</v>
      </c>
      <c r="I190" s="583">
        <v>312</v>
      </c>
      <c r="J190" s="589"/>
      <c r="K190" s="589" t="s">
        <v>1071</v>
      </c>
      <c r="L190" s="806">
        <v>2</v>
      </c>
      <c r="M190" s="806">
        <v>14</v>
      </c>
      <c r="N190" s="807">
        <v>41395</v>
      </c>
    </row>
    <row r="191" spans="1:14">
      <c r="A191" s="589" t="s">
        <v>1454</v>
      </c>
      <c r="B191" s="583">
        <v>9</v>
      </c>
      <c r="C191" s="243">
        <v>41389</v>
      </c>
      <c r="D191" s="243">
        <v>41389</v>
      </c>
      <c r="E191" s="589" t="s">
        <v>245</v>
      </c>
      <c r="F191" s="589" t="s">
        <v>1392</v>
      </c>
      <c r="G191" s="589" t="s">
        <v>990</v>
      </c>
      <c r="H191" s="589">
        <v>13</v>
      </c>
      <c r="I191" s="808" t="s">
        <v>1455</v>
      </c>
      <c r="J191" s="589" t="s">
        <v>1419</v>
      </c>
      <c r="K191" s="637" t="s">
        <v>1071</v>
      </c>
      <c r="L191" s="809">
        <v>3</v>
      </c>
      <c r="M191" s="809">
        <v>21</v>
      </c>
      <c r="N191" s="807">
        <v>41402</v>
      </c>
    </row>
    <row r="192" spans="1:14">
      <c r="A192" s="589" t="s">
        <v>1454</v>
      </c>
      <c r="B192" s="583">
        <v>9</v>
      </c>
      <c r="C192" s="243">
        <v>41389</v>
      </c>
      <c r="D192" s="243">
        <v>41389</v>
      </c>
      <c r="E192" s="589" t="s">
        <v>179</v>
      </c>
      <c r="F192" s="589" t="s">
        <v>1392</v>
      </c>
      <c r="G192" s="805" t="s">
        <v>1000</v>
      </c>
      <c r="H192" s="589">
        <v>19</v>
      </c>
      <c r="I192" s="583">
        <v>19</v>
      </c>
      <c r="J192" s="589"/>
      <c r="K192" s="589" t="s">
        <v>1071</v>
      </c>
      <c r="L192" s="806">
        <v>2</v>
      </c>
      <c r="M192" s="806">
        <v>14</v>
      </c>
      <c r="N192" s="807">
        <v>41401</v>
      </c>
    </row>
    <row r="193" spans="1:14">
      <c r="A193" s="589" t="s">
        <v>1454</v>
      </c>
      <c r="B193" s="583">
        <v>9</v>
      </c>
      <c r="C193" s="243">
        <v>41389</v>
      </c>
      <c r="D193" s="243">
        <v>41389</v>
      </c>
      <c r="E193" s="584" t="s">
        <v>206</v>
      </c>
      <c r="F193" s="589" t="s">
        <v>1392</v>
      </c>
      <c r="G193" s="805" t="s">
        <v>996</v>
      </c>
      <c r="H193" s="589">
        <v>563</v>
      </c>
      <c r="I193" s="583">
        <v>563</v>
      </c>
      <c r="J193" s="589"/>
      <c r="K193" s="637" t="s">
        <v>1071</v>
      </c>
      <c r="L193" s="806">
        <v>6</v>
      </c>
      <c r="M193" s="806">
        <v>42</v>
      </c>
      <c r="N193" s="807">
        <v>41401</v>
      </c>
    </row>
    <row r="194" spans="1:14">
      <c r="A194" s="804" t="s">
        <v>1456</v>
      </c>
      <c r="B194" s="583">
        <v>12</v>
      </c>
      <c r="C194" s="243">
        <v>41389</v>
      </c>
      <c r="D194" s="243">
        <v>41389</v>
      </c>
      <c r="E194" s="584" t="s">
        <v>206</v>
      </c>
      <c r="F194" s="589" t="s">
        <v>1392</v>
      </c>
      <c r="G194" s="805" t="s">
        <v>996</v>
      </c>
      <c r="H194" s="589">
        <v>820</v>
      </c>
      <c r="I194" s="583">
        <v>820</v>
      </c>
      <c r="J194" s="589"/>
      <c r="K194" s="637" t="s">
        <v>1071</v>
      </c>
      <c r="L194" s="806">
        <v>6</v>
      </c>
      <c r="M194" s="806">
        <v>42</v>
      </c>
      <c r="N194" s="807">
        <v>41401</v>
      </c>
    </row>
    <row r="195" spans="1:14">
      <c r="A195" s="688" t="s">
        <v>1456</v>
      </c>
      <c r="B195" s="583">
        <v>12</v>
      </c>
      <c r="C195" s="243">
        <v>41389</v>
      </c>
      <c r="D195" s="243">
        <v>41389</v>
      </c>
      <c r="E195" s="589" t="s">
        <v>185</v>
      </c>
      <c r="F195" s="589" t="s">
        <v>1392</v>
      </c>
      <c r="G195" s="589" t="s">
        <v>563</v>
      </c>
      <c r="H195" s="589">
        <v>531</v>
      </c>
      <c r="I195" s="583">
        <v>531</v>
      </c>
      <c r="J195" s="589"/>
      <c r="K195" s="589" t="s">
        <v>1071</v>
      </c>
      <c r="L195" s="806">
        <v>2</v>
      </c>
      <c r="M195" s="806">
        <v>14</v>
      </c>
      <c r="N195" s="807">
        <v>41395</v>
      </c>
    </row>
    <row r="196" spans="1:14">
      <c r="A196" s="688" t="s">
        <v>1456</v>
      </c>
      <c r="B196" s="583">
        <v>12</v>
      </c>
      <c r="C196" s="243">
        <v>41389</v>
      </c>
      <c r="D196" s="243">
        <v>41389</v>
      </c>
      <c r="E196" s="589" t="s">
        <v>245</v>
      </c>
      <c r="F196" s="589" t="s">
        <v>1392</v>
      </c>
      <c r="G196" s="589" t="s">
        <v>990</v>
      </c>
      <c r="H196" s="589">
        <v>13</v>
      </c>
      <c r="I196" s="808" t="s">
        <v>1455</v>
      </c>
      <c r="J196" s="589" t="s">
        <v>1419</v>
      </c>
      <c r="K196" s="637" t="s">
        <v>1071</v>
      </c>
      <c r="L196" s="809">
        <v>3</v>
      </c>
      <c r="M196" s="809">
        <v>21</v>
      </c>
      <c r="N196" s="807">
        <v>41402</v>
      </c>
    </row>
    <row r="197" spans="1:14">
      <c r="A197" s="688" t="s">
        <v>1456</v>
      </c>
      <c r="B197" s="583">
        <v>12</v>
      </c>
      <c r="C197" s="243">
        <v>41389</v>
      </c>
      <c r="D197" s="243">
        <v>41389</v>
      </c>
      <c r="E197" s="589" t="s">
        <v>179</v>
      </c>
      <c r="F197" s="589" t="s">
        <v>1392</v>
      </c>
      <c r="G197" s="805" t="s">
        <v>1000</v>
      </c>
      <c r="H197" s="589">
        <v>35</v>
      </c>
      <c r="I197" s="583">
        <v>35</v>
      </c>
      <c r="J197" s="589"/>
      <c r="K197" s="589" t="s">
        <v>1071</v>
      </c>
      <c r="L197" s="806">
        <v>2</v>
      </c>
      <c r="M197" s="806">
        <v>14</v>
      </c>
      <c r="N197" s="807">
        <v>41401</v>
      </c>
    </row>
    <row r="198" spans="1:14">
      <c r="A198" s="804" t="s">
        <v>1457</v>
      </c>
      <c r="B198" s="583" t="s">
        <v>440</v>
      </c>
      <c r="C198" s="243">
        <v>41389</v>
      </c>
      <c r="D198" s="243">
        <v>41389</v>
      </c>
      <c r="E198" s="584" t="s">
        <v>206</v>
      </c>
      <c r="F198" s="589" t="s">
        <v>1392</v>
      </c>
      <c r="G198" s="805" t="s">
        <v>996</v>
      </c>
      <c r="H198" s="589">
        <v>644</v>
      </c>
      <c r="I198" s="583">
        <v>644</v>
      </c>
      <c r="J198" s="589"/>
      <c r="K198" s="637" t="s">
        <v>1071</v>
      </c>
      <c r="L198" s="806">
        <v>6</v>
      </c>
      <c r="M198" s="806">
        <v>42</v>
      </c>
      <c r="N198" s="807">
        <v>41401</v>
      </c>
    </row>
    <row r="199" spans="1:14">
      <c r="A199" s="688" t="s">
        <v>1457</v>
      </c>
      <c r="B199" s="583" t="s">
        <v>440</v>
      </c>
      <c r="C199" s="243">
        <v>41389</v>
      </c>
      <c r="D199" s="243">
        <v>41389</v>
      </c>
      <c r="E199" s="589" t="s">
        <v>185</v>
      </c>
      <c r="F199" s="589" t="s">
        <v>1392</v>
      </c>
      <c r="G199" s="589" t="s">
        <v>563</v>
      </c>
      <c r="H199" s="589">
        <v>380</v>
      </c>
      <c r="I199" s="583">
        <v>380</v>
      </c>
      <c r="J199" s="589"/>
      <c r="K199" s="589" t="s">
        <v>1071</v>
      </c>
      <c r="L199" s="806">
        <v>2</v>
      </c>
      <c r="M199" s="806">
        <v>14</v>
      </c>
      <c r="N199" s="807">
        <v>41395</v>
      </c>
    </row>
    <row r="200" spans="1:14">
      <c r="A200" s="688" t="s">
        <v>1457</v>
      </c>
      <c r="B200" s="583" t="s">
        <v>440</v>
      </c>
      <c r="C200" s="243">
        <v>41389</v>
      </c>
      <c r="D200" s="243">
        <v>41389</v>
      </c>
      <c r="E200" s="589" t="s">
        <v>245</v>
      </c>
      <c r="F200" s="589" t="s">
        <v>1392</v>
      </c>
      <c r="G200" s="589" t="s">
        <v>990</v>
      </c>
      <c r="H200" s="589">
        <v>18</v>
      </c>
      <c r="I200" s="808" t="s">
        <v>1417</v>
      </c>
      <c r="J200" s="589" t="s">
        <v>1419</v>
      </c>
      <c r="K200" s="637" t="s">
        <v>1071</v>
      </c>
      <c r="L200" s="809">
        <v>3</v>
      </c>
      <c r="M200" s="809">
        <v>21</v>
      </c>
      <c r="N200" s="807">
        <v>41402</v>
      </c>
    </row>
    <row r="201" spans="1:14">
      <c r="A201" s="688" t="s">
        <v>1457</v>
      </c>
      <c r="B201" s="583" t="s">
        <v>440</v>
      </c>
      <c r="C201" s="243">
        <v>41389</v>
      </c>
      <c r="D201" s="243">
        <v>41389</v>
      </c>
      <c r="E201" s="589" t="s">
        <v>179</v>
      </c>
      <c r="F201" s="589" t="s">
        <v>1392</v>
      </c>
      <c r="G201" s="805" t="s">
        <v>1000</v>
      </c>
      <c r="H201" s="589">
        <v>21</v>
      </c>
      <c r="I201" s="583">
        <v>21</v>
      </c>
      <c r="J201" s="589"/>
      <c r="K201" s="589" t="s">
        <v>1071</v>
      </c>
      <c r="L201" s="806">
        <v>2</v>
      </c>
      <c r="M201" s="806">
        <v>14</v>
      </c>
      <c r="N201" s="807">
        <v>41401</v>
      </c>
    </row>
    <row r="202" spans="1:14">
      <c r="A202" s="804" t="s">
        <v>1458</v>
      </c>
      <c r="B202" s="583" t="s">
        <v>1137</v>
      </c>
      <c r="C202" s="243">
        <v>41389</v>
      </c>
      <c r="D202" s="243">
        <v>41389</v>
      </c>
      <c r="E202" s="584" t="s">
        <v>206</v>
      </c>
      <c r="F202" s="589" t="s">
        <v>1392</v>
      </c>
      <c r="G202" s="805" t="s">
        <v>996</v>
      </c>
      <c r="H202" s="589">
        <v>786</v>
      </c>
      <c r="I202" s="583">
        <v>786</v>
      </c>
      <c r="J202" s="589"/>
      <c r="K202" s="637" t="s">
        <v>1071</v>
      </c>
      <c r="L202" s="806">
        <v>6</v>
      </c>
      <c r="M202" s="806">
        <v>42</v>
      </c>
      <c r="N202" s="807">
        <v>41401</v>
      </c>
    </row>
    <row r="203" spans="1:14">
      <c r="A203" s="688" t="s">
        <v>1458</v>
      </c>
      <c r="B203" s="583" t="s">
        <v>1137</v>
      </c>
      <c r="C203" s="243">
        <v>41389</v>
      </c>
      <c r="D203" s="243">
        <v>41389</v>
      </c>
      <c r="E203" s="589" t="s">
        <v>185</v>
      </c>
      <c r="F203" s="589" t="s">
        <v>1392</v>
      </c>
      <c r="G203" s="589" t="s">
        <v>563</v>
      </c>
      <c r="H203" s="589">
        <v>520</v>
      </c>
      <c r="I203" s="583">
        <v>520</v>
      </c>
      <c r="J203" s="589"/>
      <c r="K203" s="589" t="s">
        <v>1071</v>
      </c>
      <c r="L203" s="806">
        <v>2</v>
      </c>
      <c r="M203" s="806">
        <v>14</v>
      </c>
      <c r="N203" s="807">
        <v>41395</v>
      </c>
    </row>
    <row r="204" spans="1:14">
      <c r="A204" s="688" t="s">
        <v>1458</v>
      </c>
      <c r="B204" s="583" t="s">
        <v>1137</v>
      </c>
      <c r="C204" s="243">
        <v>41389</v>
      </c>
      <c r="D204" s="243">
        <v>41389</v>
      </c>
      <c r="E204" s="589" t="s">
        <v>245</v>
      </c>
      <c r="F204" s="589" t="s">
        <v>1392</v>
      </c>
      <c r="G204" s="589" t="s">
        <v>990</v>
      </c>
      <c r="H204" s="589">
        <v>12</v>
      </c>
      <c r="I204" s="808" t="s">
        <v>1453</v>
      </c>
      <c r="J204" s="589" t="s">
        <v>1419</v>
      </c>
      <c r="K204" s="637" t="s">
        <v>1071</v>
      </c>
      <c r="L204" s="809">
        <v>3</v>
      </c>
      <c r="M204" s="809">
        <v>21</v>
      </c>
      <c r="N204" s="807">
        <v>41402</v>
      </c>
    </row>
    <row r="205" spans="1:14">
      <c r="A205" s="688" t="s">
        <v>1458</v>
      </c>
      <c r="B205" s="583" t="s">
        <v>1137</v>
      </c>
      <c r="C205" s="243">
        <v>41389</v>
      </c>
      <c r="D205" s="243">
        <v>41389</v>
      </c>
      <c r="E205" s="589" t="s">
        <v>179</v>
      </c>
      <c r="F205" s="589" t="s">
        <v>1392</v>
      </c>
      <c r="G205" s="805" t="s">
        <v>1000</v>
      </c>
      <c r="H205" s="589">
        <v>17</v>
      </c>
      <c r="I205" s="583">
        <v>17</v>
      </c>
      <c r="J205" s="589"/>
      <c r="K205" s="589" t="s">
        <v>1071</v>
      </c>
      <c r="L205" s="806">
        <v>2</v>
      </c>
      <c r="M205" s="806">
        <v>14</v>
      </c>
      <c r="N205" s="807">
        <v>41401</v>
      </c>
    </row>
    <row r="206" spans="1:14">
      <c r="A206" s="804" t="s">
        <v>1459</v>
      </c>
      <c r="B206" s="583">
        <v>34</v>
      </c>
      <c r="C206" s="243">
        <v>41389</v>
      </c>
      <c r="D206" s="243">
        <v>41389</v>
      </c>
      <c r="E206" s="584" t="s">
        <v>206</v>
      </c>
      <c r="F206" s="589" t="s">
        <v>1392</v>
      </c>
      <c r="G206" s="805" t="s">
        <v>996</v>
      </c>
      <c r="H206" s="589">
        <v>1522</v>
      </c>
      <c r="I206" s="583">
        <v>1522</v>
      </c>
      <c r="J206" s="589"/>
      <c r="K206" s="637" t="s">
        <v>1071</v>
      </c>
      <c r="L206" s="806">
        <v>6</v>
      </c>
      <c r="M206" s="806">
        <v>42</v>
      </c>
      <c r="N206" s="807">
        <v>41401</v>
      </c>
    </row>
    <row r="207" spans="1:14">
      <c r="A207" s="688" t="s">
        <v>1459</v>
      </c>
      <c r="B207" s="583">
        <v>34</v>
      </c>
      <c r="C207" s="243">
        <v>41389</v>
      </c>
      <c r="D207" s="243">
        <v>41389</v>
      </c>
      <c r="E207" s="589" t="s">
        <v>185</v>
      </c>
      <c r="F207" s="589" t="s">
        <v>1392</v>
      </c>
      <c r="G207" s="589" t="s">
        <v>563</v>
      </c>
      <c r="H207" s="589">
        <v>1251</v>
      </c>
      <c r="I207" s="583">
        <v>1251</v>
      </c>
      <c r="J207" s="589"/>
      <c r="K207" s="589" t="s">
        <v>1071</v>
      </c>
      <c r="L207" s="806">
        <v>2</v>
      </c>
      <c r="M207" s="806">
        <v>14</v>
      </c>
      <c r="N207" s="807">
        <v>41395</v>
      </c>
    </row>
    <row r="208" spans="1:14">
      <c r="A208" s="688" t="s">
        <v>1459</v>
      </c>
      <c r="B208" s="583">
        <v>34</v>
      </c>
      <c r="C208" s="243">
        <v>41389</v>
      </c>
      <c r="D208" s="243">
        <v>41389</v>
      </c>
      <c r="E208" s="589" t="s">
        <v>245</v>
      </c>
      <c r="F208" s="589" t="s">
        <v>1392</v>
      </c>
      <c r="G208" s="589" t="s">
        <v>990</v>
      </c>
      <c r="H208" s="589">
        <v>25</v>
      </c>
      <c r="I208" s="808" t="s">
        <v>1460</v>
      </c>
      <c r="J208" s="688"/>
      <c r="K208" s="637" t="s">
        <v>1071</v>
      </c>
      <c r="L208" s="809">
        <v>3</v>
      </c>
      <c r="M208" s="809">
        <v>21</v>
      </c>
      <c r="N208" s="807">
        <v>41402</v>
      </c>
    </row>
    <row r="209" spans="1:14">
      <c r="A209" s="688" t="s">
        <v>1459</v>
      </c>
      <c r="B209" s="583">
        <v>34</v>
      </c>
      <c r="C209" s="243">
        <v>41389</v>
      </c>
      <c r="D209" s="243">
        <v>41389</v>
      </c>
      <c r="E209" s="589" t="s">
        <v>179</v>
      </c>
      <c r="F209" s="589" t="s">
        <v>1392</v>
      </c>
      <c r="G209" s="805" t="s">
        <v>1000</v>
      </c>
      <c r="H209" s="589">
        <v>21</v>
      </c>
      <c r="I209" s="583">
        <v>21</v>
      </c>
      <c r="J209" s="589"/>
      <c r="K209" s="589" t="s">
        <v>1071</v>
      </c>
      <c r="L209" s="806">
        <v>2</v>
      </c>
      <c r="M209" s="806">
        <v>14</v>
      </c>
      <c r="N209" s="807">
        <v>41401</v>
      </c>
    </row>
    <row r="210" spans="1:14">
      <c r="A210" s="804" t="s">
        <v>1461</v>
      </c>
      <c r="B210" s="583">
        <v>18</v>
      </c>
      <c r="C210" s="243">
        <v>41389</v>
      </c>
      <c r="D210" s="243">
        <v>41389</v>
      </c>
      <c r="E210" s="584" t="s">
        <v>206</v>
      </c>
      <c r="F210" s="589" t="s">
        <v>1392</v>
      </c>
      <c r="G210" s="805" t="s">
        <v>996</v>
      </c>
      <c r="H210" s="589">
        <v>363</v>
      </c>
      <c r="I210" s="583">
        <v>363</v>
      </c>
      <c r="J210" s="589"/>
      <c r="K210" s="637" t="s">
        <v>1071</v>
      </c>
      <c r="L210" s="806">
        <v>6</v>
      </c>
      <c r="M210" s="806">
        <v>42</v>
      </c>
      <c r="N210" s="807">
        <v>41401</v>
      </c>
    </row>
    <row r="211" spans="1:14">
      <c r="A211" s="688" t="s">
        <v>1461</v>
      </c>
      <c r="B211" s="583">
        <v>18</v>
      </c>
      <c r="C211" s="243">
        <v>41389</v>
      </c>
      <c r="D211" s="243">
        <v>41389</v>
      </c>
      <c r="E211" s="589" t="s">
        <v>185</v>
      </c>
      <c r="F211" s="589" t="s">
        <v>1392</v>
      </c>
      <c r="G211" s="589" t="s">
        <v>563</v>
      </c>
      <c r="H211" s="589">
        <v>37</v>
      </c>
      <c r="I211" s="583">
        <v>37</v>
      </c>
      <c r="J211" s="589"/>
      <c r="K211" s="589" t="s">
        <v>1071</v>
      </c>
      <c r="L211" s="806">
        <v>2</v>
      </c>
      <c r="M211" s="806">
        <v>14</v>
      </c>
      <c r="N211" s="807">
        <v>41395</v>
      </c>
    </row>
    <row r="212" spans="1:14">
      <c r="A212" s="688" t="s">
        <v>1461</v>
      </c>
      <c r="B212" s="583">
        <v>18</v>
      </c>
      <c r="C212" s="243">
        <v>41389</v>
      </c>
      <c r="D212" s="243">
        <v>41389</v>
      </c>
      <c r="E212" s="589" t="s">
        <v>245</v>
      </c>
      <c r="F212" s="589" t="s">
        <v>1392</v>
      </c>
      <c r="G212" s="589" t="s">
        <v>990</v>
      </c>
      <c r="H212" s="589">
        <v>13</v>
      </c>
      <c r="I212" s="808" t="s">
        <v>1455</v>
      </c>
      <c r="J212" s="589" t="s">
        <v>1419</v>
      </c>
      <c r="K212" s="637" t="s">
        <v>1071</v>
      </c>
      <c r="L212" s="809">
        <v>3</v>
      </c>
      <c r="M212" s="809">
        <v>21</v>
      </c>
      <c r="N212" s="807">
        <v>41402</v>
      </c>
    </row>
    <row r="213" spans="1:14">
      <c r="A213" s="688" t="s">
        <v>1461</v>
      </c>
      <c r="B213" s="583">
        <v>18</v>
      </c>
      <c r="C213" s="243">
        <v>41389</v>
      </c>
      <c r="D213" s="243">
        <v>41389</v>
      </c>
      <c r="E213" s="589" t="s">
        <v>179</v>
      </c>
      <c r="F213" s="589" t="s">
        <v>1392</v>
      </c>
      <c r="G213" s="805" t="s">
        <v>1000</v>
      </c>
      <c r="H213" s="589">
        <v>11</v>
      </c>
      <c r="I213" s="583">
        <v>11</v>
      </c>
      <c r="J213" s="589" t="s">
        <v>1419</v>
      </c>
      <c r="K213" s="589" t="s">
        <v>1071</v>
      </c>
      <c r="L213" s="806">
        <v>2</v>
      </c>
      <c r="M213" s="806">
        <v>14</v>
      </c>
      <c r="N213" s="807">
        <v>41401</v>
      </c>
    </row>
    <row r="214" spans="1:14">
      <c r="A214" s="804" t="s">
        <v>1462</v>
      </c>
      <c r="B214" s="583">
        <v>19</v>
      </c>
      <c r="C214" s="243">
        <v>41389</v>
      </c>
      <c r="D214" s="243">
        <v>41389</v>
      </c>
      <c r="E214" s="584" t="s">
        <v>206</v>
      </c>
      <c r="F214" s="589" t="s">
        <v>1392</v>
      </c>
      <c r="G214" s="805" t="s">
        <v>996</v>
      </c>
      <c r="H214" s="589">
        <v>663</v>
      </c>
      <c r="I214" s="583">
        <v>663</v>
      </c>
      <c r="J214" s="589"/>
      <c r="K214" s="637" t="s">
        <v>1071</v>
      </c>
      <c r="L214" s="806">
        <v>6</v>
      </c>
      <c r="M214" s="806">
        <v>42</v>
      </c>
      <c r="N214" s="807">
        <v>41401</v>
      </c>
    </row>
    <row r="215" spans="1:14">
      <c r="A215" s="688" t="s">
        <v>1462</v>
      </c>
      <c r="B215" s="583">
        <v>19</v>
      </c>
      <c r="C215" s="243">
        <v>41389</v>
      </c>
      <c r="D215" s="243">
        <v>41389</v>
      </c>
      <c r="E215" s="589" t="s">
        <v>185</v>
      </c>
      <c r="F215" s="589" t="s">
        <v>1392</v>
      </c>
      <c r="G215" s="589" t="s">
        <v>563</v>
      </c>
      <c r="H215" s="589">
        <v>532</v>
      </c>
      <c r="I215" s="583">
        <v>532</v>
      </c>
      <c r="J215" s="589"/>
      <c r="K215" s="589" t="s">
        <v>1071</v>
      </c>
      <c r="L215" s="806">
        <v>2</v>
      </c>
      <c r="M215" s="806">
        <v>14</v>
      </c>
      <c r="N215" s="807">
        <v>41395</v>
      </c>
    </row>
    <row r="216" spans="1:14">
      <c r="A216" s="688" t="s">
        <v>1462</v>
      </c>
      <c r="B216" s="583">
        <v>19</v>
      </c>
      <c r="C216" s="243">
        <v>41389</v>
      </c>
      <c r="D216" s="243">
        <v>41389</v>
      </c>
      <c r="E216" s="589" t="s">
        <v>245</v>
      </c>
      <c r="F216" s="589" t="s">
        <v>1392</v>
      </c>
      <c r="G216" s="589" t="s">
        <v>990</v>
      </c>
      <c r="H216" s="589">
        <v>21</v>
      </c>
      <c r="I216" s="808" t="s">
        <v>1463</v>
      </c>
      <c r="J216" s="589" t="s">
        <v>1419</v>
      </c>
      <c r="K216" s="637" t="s">
        <v>1071</v>
      </c>
      <c r="L216" s="809">
        <v>3</v>
      </c>
      <c r="M216" s="809">
        <v>21</v>
      </c>
      <c r="N216" s="807">
        <v>41402</v>
      </c>
    </row>
    <row r="217" spans="1:14">
      <c r="A217" s="688" t="s">
        <v>1462</v>
      </c>
      <c r="B217" s="583">
        <v>19</v>
      </c>
      <c r="C217" s="243">
        <v>41389</v>
      </c>
      <c r="D217" s="243">
        <v>41389</v>
      </c>
      <c r="E217" s="589" t="s">
        <v>179</v>
      </c>
      <c r="F217" s="589" t="s">
        <v>1392</v>
      </c>
      <c r="G217" s="805" t="s">
        <v>1000</v>
      </c>
      <c r="H217" s="589">
        <v>32</v>
      </c>
      <c r="I217" s="583">
        <v>32</v>
      </c>
      <c r="J217" s="589"/>
      <c r="K217" s="589" t="s">
        <v>1071</v>
      </c>
      <c r="L217" s="806">
        <v>2</v>
      </c>
      <c r="M217" s="806">
        <v>14</v>
      </c>
      <c r="N217" s="807">
        <v>41401</v>
      </c>
    </row>
    <row r="218" spans="1:14">
      <c r="A218" s="804" t="s">
        <v>1464</v>
      </c>
      <c r="B218" s="583">
        <v>52</v>
      </c>
      <c r="C218" s="243">
        <v>41389</v>
      </c>
      <c r="D218" s="243">
        <v>41389</v>
      </c>
      <c r="E218" s="584" t="s">
        <v>206</v>
      </c>
      <c r="F218" s="589" t="s">
        <v>1392</v>
      </c>
      <c r="G218" s="805" t="s">
        <v>996</v>
      </c>
      <c r="H218" s="589">
        <v>419</v>
      </c>
      <c r="I218" s="583">
        <v>419</v>
      </c>
      <c r="J218" s="589"/>
      <c r="K218" s="637" t="s">
        <v>1071</v>
      </c>
      <c r="L218" s="806">
        <v>6</v>
      </c>
      <c r="M218" s="806">
        <v>42</v>
      </c>
      <c r="N218" s="807">
        <v>41401</v>
      </c>
    </row>
    <row r="219" spans="1:14">
      <c r="A219" s="688" t="s">
        <v>1464</v>
      </c>
      <c r="B219" s="583">
        <v>52</v>
      </c>
      <c r="C219" s="243">
        <v>41389</v>
      </c>
      <c r="D219" s="243">
        <v>41389</v>
      </c>
      <c r="E219" s="589" t="s">
        <v>185</v>
      </c>
      <c r="F219" s="589" t="s">
        <v>1392</v>
      </c>
      <c r="G219" s="589" t="s">
        <v>563</v>
      </c>
      <c r="H219" s="589">
        <v>224</v>
      </c>
      <c r="I219" s="583">
        <v>224</v>
      </c>
      <c r="J219" s="589"/>
      <c r="K219" s="589" t="s">
        <v>1071</v>
      </c>
      <c r="L219" s="806">
        <v>2</v>
      </c>
      <c r="M219" s="806">
        <v>14</v>
      </c>
      <c r="N219" s="807">
        <v>41395</v>
      </c>
    </row>
    <row r="220" spans="1:14">
      <c r="A220" s="688" t="s">
        <v>1464</v>
      </c>
      <c r="B220" s="583">
        <v>52</v>
      </c>
      <c r="C220" s="243">
        <v>41389</v>
      </c>
      <c r="D220" s="243">
        <v>41389</v>
      </c>
      <c r="E220" s="589" t="s">
        <v>245</v>
      </c>
      <c r="F220" s="589" t="s">
        <v>1392</v>
      </c>
      <c r="G220" s="589" t="s">
        <v>990</v>
      </c>
      <c r="H220" s="589">
        <v>25</v>
      </c>
      <c r="I220" s="808" t="s">
        <v>1460</v>
      </c>
      <c r="J220" s="688"/>
      <c r="K220" s="637" t="s">
        <v>1071</v>
      </c>
      <c r="L220" s="809">
        <v>3</v>
      </c>
      <c r="M220" s="809">
        <v>21</v>
      </c>
      <c r="N220" s="807">
        <v>41402</v>
      </c>
    </row>
    <row r="221" spans="1:14">
      <c r="A221" s="688" t="s">
        <v>1464</v>
      </c>
      <c r="B221" s="583">
        <v>52</v>
      </c>
      <c r="C221" s="243">
        <v>41389</v>
      </c>
      <c r="D221" s="243">
        <v>41389</v>
      </c>
      <c r="E221" s="589" t="s">
        <v>179</v>
      </c>
      <c r="F221" s="589" t="s">
        <v>1392</v>
      </c>
      <c r="G221" s="805" t="s">
        <v>1000</v>
      </c>
      <c r="H221" s="589">
        <v>19</v>
      </c>
      <c r="I221" s="583">
        <v>19</v>
      </c>
      <c r="J221" s="589"/>
      <c r="K221" s="589" t="s">
        <v>1071</v>
      </c>
      <c r="L221" s="806">
        <v>2</v>
      </c>
      <c r="M221" s="806">
        <v>14</v>
      </c>
      <c r="N221" s="807">
        <v>41401</v>
      </c>
    </row>
    <row r="222" spans="1:14">
      <c r="A222" s="804" t="s">
        <v>1465</v>
      </c>
      <c r="B222" s="583">
        <v>53</v>
      </c>
      <c r="C222" s="243">
        <v>41389</v>
      </c>
      <c r="D222" s="243">
        <v>41389</v>
      </c>
      <c r="E222" s="584" t="s">
        <v>206</v>
      </c>
      <c r="F222" s="589" t="s">
        <v>1392</v>
      </c>
      <c r="G222" s="805" t="s">
        <v>996</v>
      </c>
      <c r="H222" s="589">
        <v>407</v>
      </c>
      <c r="I222" s="583">
        <v>407</v>
      </c>
      <c r="J222" s="589"/>
      <c r="K222" s="637" t="s">
        <v>1071</v>
      </c>
      <c r="L222" s="806">
        <v>6</v>
      </c>
      <c r="M222" s="806">
        <v>42</v>
      </c>
      <c r="N222" s="807">
        <v>41401</v>
      </c>
    </row>
    <row r="223" spans="1:14">
      <c r="A223" s="688" t="s">
        <v>1465</v>
      </c>
      <c r="B223" s="583">
        <v>53</v>
      </c>
      <c r="C223" s="243">
        <v>41389</v>
      </c>
      <c r="D223" s="243">
        <v>41389</v>
      </c>
      <c r="E223" s="589" t="s">
        <v>185</v>
      </c>
      <c r="F223" s="589" t="s">
        <v>1392</v>
      </c>
      <c r="G223" s="589" t="s">
        <v>563</v>
      </c>
      <c r="H223" s="589">
        <v>162</v>
      </c>
      <c r="I223" s="583">
        <v>162</v>
      </c>
      <c r="J223" s="589"/>
      <c r="K223" s="589" t="s">
        <v>1071</v>
      </c>
      <c r="L223" s="806">
        <v>2</v>
      </c>
      <c r="M223" s="806">
        <v>14</v>
      </c>
      <c r="N223" s="807">
        <v>41395</v>
      </c>
    </row>
    <row r="224" spans="1:14">
      <c r="A224" s="688" t="s">
        <v>1465</v>
      </c>
      <c r="B224" s="583">
        <v>53</v>
      </c>
      <c r="C224" s="243">
        <v>41389</v>
      </c>
      <c r="D224" s="243">
        <v>41389</v>
      </c>
      <c r="E224" s="589" t="s">
        <v>245</v>
      </c>
      <c r="F224" s="589" t="s">
        <v>1392</v>
      </c>
      <c r="G224" s="589" t="s">
        <v>990</v>
      </c>
      <c r="H224" s="589">
        <v>14</v>
      </c>
      <c r="I224" s="808" t="s">
        <v>1466</v>
      </c>
      <c r="J224" s="589" t="s">
        <v>1419</v>
      </c>
      <c r="K224" s="637" t="s">
        <v>1071</v>
      </c>
      <c r="L224" s="809">
        <v>3</v>
      </c>
      <c r="M224" s="809">
        <v>21</v>
      </c>
      <c r="N224" s="807">
        <v>41402</v>
      </c>
    </row>
    <row r="225" spans="1:14">
      <c r="A225" s="688" t="s">
        <v>1465</v>
      </c>
      <c r="B225" s="583">
        <v>53</v>
      </c>
      <c r="C225" s="243">
        <v>41389</v>
      </c>
      <c r="D225" s="243">
        <v>41389</v>
      </c>
      <c r="E225" s="589" t="s">
        <v>179</v>
      </c>
      <c r="F225" s="589" t="s">
        <v>1392</v>
      </c>
      <c r="G225" s="805" t="s">
        <v>1000</v>
      </c>
      <c r="H225" s="589">
        <v>30</v>
      </c>
      <c r="I225" s="583">
        <v>30</v>
      </c>
      <c r="J225" s="589"/>
      <c r="K225" s="589" t="s">
        <v>1071</v>
      </c>
      <c r="L225" s="806">
        <v>2</v>
      </c>
      <c r="M225" s="806">
        <v>14</v>
      </c>
      <c r="N225" s="807">
        <v>41401</v>
      </c>
    </row>
    <row r="226" spans="1:14">
      <c r="A226" s="804" t="s">
        <v>1467</v>
      </c>
      <c r="B226" s="583">
        <v>54</v>
      </c>
      <c r="C226" s="243">
        <v>41389</v>
      </c>
      <c r="D226" s="243">
        <v>41389</v>
      </c>
      <c r="E226" s="584" t="s">
        <v>206</v>
      </c>
      <c r="F226" s="589" t="s">
        <v>1392</v>
      </c>
      <c r="G226" s="805" t="s">
        <v>996</v>
      </c>
      <c r="H226" s="589">
        <v>209</v>
      </c>
      <c r="I226" s="583">
        <v>209</v>
      </c>
      <c r="J226" s="589"/>
      <c r="K226" s="637" t="s">
        <v>1071</v>
      </c>
      <c r="L226" s="806">
        <v>6</v>
      </c>
      <c r="M226" s="806">
        <v>42</v>
      </c>
      <c r="N226" s="807">
        <v>41401</v>
      </c>
    </row>
    <row r="227" spans="1:14">
      <c r="A227" s="688" t="s">
        <v>1467</v>
      </c>
      <c r="B227" s="583">
        <v>54</v>
      </c>
      <c r="C227" s="243">
        <v>41389</v>
      </c>
      <c r="D227" s="243">
        <v>41389</v>
      </c>
      <c r="E227" s="589" t="s">
        <v>185</v>
      </c>
      <c r="F227" s="589" t="s">
        <v>1392</v>
      </c>
      <c r="G227" s="589" t="s">
        <v>563</v>
      </c>
      <c r="H227" s="589">
        <v>90</v>
      </c>
      <c r="I227" s="583">
        <v>90</v>
      </c>
      <c r="J227" s="589"/>
      <c r="K227" s="589" t="s">
        <v>1071</v>
      </c>
      <c r="L227" s="806">
        <v>2</v>
      </c>
      <c r="M227" s="806">
        <v>14</v>
      </c>
      <c r="N227" s="807">
        <v>41395</v>
      </c>
    </row>
    <row r="228" spans="1:14">
      <c r="A228" s="688" t="s">
        <v>1467</v>
      </c>
      <c r="B228" s="583">
        <v>54</v>
      </c>
      <c r="C228" s="243">
        <v>41389</v>
      </c>
      <c r="D228" s="243">
        <v>41389</v>
      </c>
      <c r="E228" s="589" t="s">
        <v>245</v>
      </c>
      <c r="F228" s="589" t="s">
        <v>1392</v>
      </c>
      <c r="G228" s="589" t="s">
        <v>990</v>
      </c>
      <c r="H228" s="589">
        <v>12</v>
      </c>
      <c r="I228" s="808" t="s">
        <v>1453</v>
      </c>
      <c r="J228" s="589" t="s">
        <v>1419</v>
      </c>
      <c r="K228" s="637" t="s">
        <v>1071</v>
      </c>
      <c r="L228" s="809">
        <v>3</v>
      </c>
      <c r="M228" s="809">
        <v>21</v>
      </c>
      <c r="N228" s="807">
        <v>41402</v>
      </c>
    </row>
    <row r="229" spans="1:14">
      <c r="A229" s="688" t="s">
        <v>1467</v>
      </c>
      <c r="B229" s="583">
        <v>54</v>
      </c>
      <c r="C229" s="243">
        <v>41389</v>
      </c>
      <c r="D229" s="243">
        <v>41389</v>
      </c>
      <c r="E229" s="589" t="s">
        <v>179</v>
      </c>
      <c r="F229" s="589" t="s">
        <v>1392</v>
      </c>
      <c r="G229" s="805" t="s">
        <v>1000</v>
      </c>
      <c r="H229" s="589">
        <v>26</v>
      </c>
      <c r="I229" s="583">
        <v>26</v>
      </c>
      <c r="J229" s="589"/>
      <c r="K229" s="589" t="s">
        <v>1071</v>
      </c>
      <c r="L229" s="806">
        <v>2</v>
      </c>
      <c r="M229" s="806">
        <v>14</v>
      </c>
      <c r="N229" s="807">
        <v>41401</v>
      </c>
    </row>
    <row r="230" spans="1:14">
      <c r="A230" s="804" t="s">
        <v>1468</v>
      </c>
      <c r="B230" s="583">
        <v>55</v>
      </c>
      <c r="C230" s="243">
        <v>41389</v>
      </c>
      <c r="D230" s="243">
        <v>41389</v>
      </c>
      <c r="E230" s="584" t="s">
        <v>206</v>
      </c>
      <c r="F230" s="589" t="s">
        <v>1392</v>
      </c>
      <c r="G230" s="805" t="s">
        <v>996</v>
      </c>
      <c r="H230" s="589">
        <v>387</v>
      </c>
      <c r="I230" s="583">
        <v>387</v>
      </c>
      <c r="J230" s="589"/>
      <c r="K230" s="637" t="s">
        <v>1071</v>
      </c>
      <c r="L230" s="806">
        <v>6</v>
      </c>
      <c r="M230" s="806">
        <v>42</v>
      </c>
      <c r="N230" s="807">
        <v>41401</v>
      </c>
    </row>
    <row r="231" spans="1:14">
      <c r="A231" s="688" t="s">
        <v>1468</v>
      </c>
      <c r="B231" s="583">
        <v>55</v>
      </c>
      <c r="C231" s="243">
        <v>41389</v>
      </c>
      <c r="D231" s="243">
        <v>41389</v>
      </c>
      <c r="E231" s="589" t="s">
        <v>185</v>
      </c>
      <c r="F231" s="589" t="s">
        <v>1392</v>
      </c>
      <c r="G231" s="589" t="s">
        <v>563</v>
      </c>
      <c r="H231" s="589">
        <v>223</v>
      </c>
      <c r="I231" s="583">
        <v>223</v>
      </c>
      <c r="J231" s="589"/>
      <c r="K231" s="589" t="s">
        <v>1071</v>
      </c>
      <c r="L231" s="806">
        <v>2</v>
      </c>
      <c r="M231" s="806">
        <v>14</v>
      </c>
      <c r="N231" s="807">
        <v>41395</v>
      </c>
    </row>
    <row r="232" spans="1:14">
      <c r="A232" s="688" t="s">
        <v>1468</v>
      </c>
      <c r="B232" s="583">
        <v>55</v>
      </c>
      <c r="C232" s="243">
        <v>41389</v>
      </c>
      <c r="D232" s="243">
        <v>41389</v>
      </c>
      <c r="E232" s="589" t="s">
        <v>245</v>
      </c>
      <c r="F232" s="589" t="s">
        <v>1392</v>
      </c>
      <c r="G232" s="589" t="s">
        <v>990</v>
      </c>
      <c r="H232" s="589">
        <v>18</v>
      </c>
      <c r="I232" s="808" t="s">
        <v>1417</v>
      </c>
      <c r="J232" s="589" t="s">
        <v>1419</v>
      </c>
      <c r="K232" s="637" t="s">
        <v>1071</v>
      </c>
      <c r="L232" s="809">
        <v>3</v>
      </c>
      <c r="M232" s="809">
        <v>21</v>
      </c>
      <c r="N232" s="807">
        <v>41402</v>
      </c>
    </row>
    <row r="233" spans="1:14">
      <c r="A233" s="688" t="s">
        <v>1468</v>
      </c>
      <c r="B233" s="583">
        <v>55</v>
      </c>
      <c r="C233" s="243">
        <v>41389</v>
      </c>
      <c r="D233" s="243">
        <v>41389</v>
      </c>
      <c r="E233" s="589" t="s">
        <v>179</v>
      </c>
      <c r="F233" s="589" t="s">
        <v>1392</v>
      </c>
      <c r="G233" s="805" t="s">
        <v>1000</v>
      </c>
      <c r="H233" s="589">
        <v>15</v>
      </c>
      <c r="I233" s="583">
        <v>15</v>
      </c>
      <c r="J233" s="589"/>
      <c r="K233" s="589" t="s">
        <v>1071</v>
      </c>
      <c r="L233" s="806">
        <v>2</v>
      </c>
      <c r="M233" s="806">
        <v>14</v>
      </c>
      <c r="N233" s="807">
        <v>41401</v>
      </c>
    </row>
    <row r="235" spans="1:14">
      <c r="A235" s="804" t="s">
        <v>1469</v>
      </c>
      <c r="B235" s="583" t="s">
        <v>1095</v>
      </c>
      <c r="C235" s="243">
        <v>41386</v>
      </c>
      <c r="D235" s="243">
        <v>41386</v>
      </c>
      <c r="E235" s="584" t="s">
        <v>206</v>
      </c>
      <c r="F235" s="589" t="s">
        <v>1392</v>
      </c>
      <c r="G235" s="805" t="s">
        <v>996</v>
      </c>
      <c r="H235" s="589">
        <v>446</v>
      </c>
      <c r="I235" s="583">
        <v>446</v>
      </c>
      <c r="J235" s="589"/>
      <c r="K235" s="637" t="s">
        <v>1071</v>
      </c>
      <c r="L235" s="806">
        <v>6</v>
      </c>
      <c r="M235" s="806">
        <v>42</v>
      </c>
      <c r="N235" s="807">
        <v>41401</v>
      </c>
    </row>
    <row r="236" spans="1:14">
      <c r="A236" s="688" t="s">
        <v>1469</v>
      </c>
      <c r="B236" s="583" t="s">
        <v>1095</v>
      </c>
      <c r="C236" s="243">
        <v>41386</v>
      </c>
      <c r="D236" s="243">
        <v>41386</v>
      </c>
      <c r="E236" s="589" t="s">
        <v>185</v>
      </c>
      <c r="F236" s="589" t="s">
        <v>1392</v>
      </c>
      <c r="G236" s="589" t="s">
        <v>563</v>
      </c>
      <c r="H236" s="589">
        <v>253</v>
      </c>
      <c r="I236" s="583">
        <v>253</v>
      </c>
      <c r="J236" s="589"/>
      <c r="K236" s="589" t="s">
        <v>1071</v>
      </c>
      <c r="L236" s="806">
        <v>2</v>
      </c>
      <c r="M236" s="806">
        <v>14</v>
      </c>
      <c r="N236" s="807">
        <v>41395</v>
      </c>
    </row>
    <row r="237" spans="1:14">
      <c r="A237" s="688" t="s">
        <v>1469</v>
      </c>
      <c r="B237" s="583" t="s">
        <v>1095</v>
      </c>
      <c r="C237" s="243">
        <v>41386</v>
      </c>
      <c r="D237" s="243">
        <v>41386</v>
      </c>
      <c r="E237" s="589" t="s">
        <v>245</v>
      </c>
      <c r="F237" s="589" t="s">
        <v>1392</v>
      </c>
      <c r="G237" s="589" t="s">
        <v>990</v>
      </c>
      <c r="H237" s="589">
        <v>10</v>
      </c>
      <c r="I237" s="808" t="s">
        <v>1470</v>
      </c>
      <c r="J237" s="589" t="s">
        <v>1419</v>
      </c>
      <c r="K237" s="637" t="s">
        <v>1071</v>
      </c>
      <c r="L237" s="809">
        <v>3</v>
      </c>
      <c r="M237" s="809">
        <v>21</v>
      </c>
      <c r="N237" s="807">
        <v>41402</v>
      </c>
    </row>
    <row r="238" spans="1:14">
      <c r="A238" s="688" t="s">
        <v>1469</v>
      </c>
      <c r="B238" s="583" t="s">
        <v>1095</v>
      </c>
      <c r="C238" s="243">
        <v>41386</v>
      </c>
      <c r="D238" s="243">
        <v>41386</v>
      </c>
      <c r="E238" s="589" t="s">
        <v>179</v>
      </c>
      <c r="F238" s="589" t="s">
        <v>1392</v>
      </c>
      <c r="G238" s="805" t="s">
        <v>1000</v>
      </c>
      <c r="H238" s="589"/>
      <c r="I238" s="583"/>
      <c r="J238" s="589" t="s">
        <v>1395</v>
      </c>
      <c r="K238" s="589" t="s">
        <v>1071</v>
      </c>
      <c r="L238" s="806">
        <v>2</v>
      </c>
      <c r="M238" s="806">
        <v>14</v>
      </c>
      <c r="N238" s="807">
        <v>41401</v>
      </c>
    </row>
    <row r="239" spans="1:14">
      <c r="A239" s="589" t="s">
        <v>1469</v>
      </c>
      <c r="B239" s="583" t="s">
        <v>1095</v>
      </c>
      <c r="C239" s="243">
        <v>41386</v>
      </c>
      <c r="D239" s="243">
        <v>41386</v>
      </c>
      <c r="E239" s="590" t="s">
        <v>180</v>
      </c>
      <c r="F239" s="589" t="s">
        <v>1392</v>
      </c>
      <c r="G239" s="805" t="s">
        <v>1000</v>
      </c>
      <c r="H239" s="591"/>
      <c r="I239" s="590"/>
      <c r="J239" s="637" t="s">
        <v>1395</v>
      </c>
      <c r="K239" s="589" t="s">
        <v>1071</v>
      </c>
      <c r="L239" s="810">
        <v>2</v>
      </c>
      <c r="M239" s="810">
        <v>14</v>
      </c>
      <c r="N239" s="807">
        <v>41401</v>
      </c>
    </row>
    <row r="240" spans="1:14">
      <c r="A240" s="688" t="s">
        <v>1469</v>
      </c>
      <c r="B240" s="583" t="s">
        <v>1095</v>
      </c>
      <c r="C240" s="243">
        <v>41386</v>
      </c>
      <c r="D240" s="243">
        <v>41386</v>
      </c>
      <c r="E240" s="589" t="s">
        <v>184</v>
      </c>
      <c r="F240" s="589" t="s">
        <v>1392</v>
      </c>
      <c r="G240" s="589" t="s">
        <v>1471</v>
      </c>
      <c r="H240" s="592">
        <v>6.8</v>
      </c>
      <c r="I240" s="811">
        <v>6.8</v>
      </c>
      <c r="J240" s="589"/>
      <c r="K240" s="589" t="s">
        <v>1096</v>
      </c>
      <c r="L240" s="806">
        <v>4</v>
      </c>
      <c r="M240" s="806"/>
      <c r="N240" s="807">
        <v>41389</v>
      </c>
    </row>
    <row r="241" spans="1:14">
      <c r="A241" s="589" t="s">
        <v>1472</v>
      </c>
      <c r="B241" s="583" t="s">
        <v>1097</v>
      </c>
      <c r="C241" s="243">
        <v>41386</v>
      </c>
      <c r="D241" s="243">
        <v>41386</v>
      </c>
      <c r="E241" s="590" t="s">
        <v>180</v>
      </c>
      <c r="F241" s="589" t="s">
        <v>1392</v>
      </c>
      <c r="G241" s="805" t="s">
        <v>1000</v>
      </c>
      <c r="H241" s="591"/>
      <c r="I241" s="590"/>
      <c r="J241" s="637" t="s">
        <v>1395</v>
      </c>
      <c r="K241" s="589" t="s">
        <v>1071</v>
      </c>
      <c r="L241" s="810">
        <v>2</v>
      </c>
      <c r="M241" s="810">
        <v>14</v>
      </c>
      <c r="N241" s="807">
        <v>41401</v>
      </c>
    </row>
    <row r="242" spans="1:14">
      <c r="A242" s="804" t="s">
        <v>1472</v>
      </c>
      <c r="B242" s="583" t="s">
        <v>1097</v>
      </c>
      <c r="C242" s="243">
        <v>41386</v>
      </c>
      <c r="D242" s="243">
        <v>41386</v>
      </c>
      <c r="E242" s="584" t="s">
        <v>206</v>
      </c>
      <c r="F242" s="589" t="s">
        <v>1392</v>
      </c>
      <c r="G242" s="805" t="s">
        <v>996</v>
      </c>
      <c r="H242" s="589">
        <v>843</v>
      </c>
      <c r="I242" s="583">
        <v>843</v>
      </c>
      <c r="J242" s="589"/>
      <c r="K242" s="637" t="s">
        <v>1071</v>
      </c>
      <c r="L242" s="806">
        <v>6</v>
      </c>
      <c r="M242" s="806">
        <v>42</v>
      </c>
      <c r="N242" s="807">
        <v>41401</v>
      </c>
    </row>
    <row r="243" spans="1:14">
      <c r="A243" s="688" t="s">
        <v>1472</v>
      </c>
      <c r="B243" s="583" t="s">
        <v>1097</v>
      </c>
      <c r="C243" s="243">
        <v>41386</v>
      </c>
      <c r="D243" s="243">
        <v>41386</v>
      </c>
      <c r="E243" s="589" t="s">
        <v>185</v>
      </c>
      <c r="F243" s="589" t="s">
        <v>1392</v>
      </c>
      <c r="G243" s="589" t="s">
        <v>563</v>
      </c>
      <c r="H243" s="589">
        <v>544</v>
      </c>
      <c r="I243" s="583">
        <v>544</v>
      </c>
      <c r="J243" s="589"/>
      <c r="K243" s="589" t="s">
        <v>1071</v>
      </c>
      <c r="L243" s="806">
        <v>2</v>
      </c>
      <c r="M243" s="806">
        <v>14</v>
      </c>
      <c r="N243" s="807">
        <v>41395</v>
      </c>
    </row>
    <row r="244" spans="1:14">
      <c r="A244" s="688" t="s">
        <v>1472</v>
      </c>
      <c r="B244" s="583" t="s">
        <v>1097</v>
      </c>
      <c r="C244" s="243">
        <v>41386</v>
      </c>
      <c r="D244" s="243">
        <v>41386</v>
      </c>
      <c r="E244" s="589" t="s">
        <v>245</v>
      </c>
      <c r="F244" s="589" t="s">
        <v>1392</v>
      </c>
      <c r="G244" s="589" t="s">
        <v>990</v>
      </c>
      <c r="H244" s="589">
        <v>33</v>
      </c>
      <c r="I244" s="808" t="s">
        <v>1473</v>
      </c>
      <c r="J244" s="688"/>
      <c r="K244" s="637" t="s">
        <v>1071</v>
      </c>
      <c r="L244" s="809">
        <v>3</v>
      </c>
      <c r="M244" s="809">
        <v>21</v>
      </c>
      <c r="N244" s="807">
        <v>41402</v>
      </c>
    </row>
    <row r="245" spans="1:14">
      <c r="A245" s="688" t="s">
        <v>1472</v>
      </c>
      <c r="B245" s="583" t="s">
        <v>1097</v>
      </c>
      <c r="C245" s="243">
        <v>41386</v>
      </c>
      <c r="D245" s="243">
        <v>41386</v>
      </c>
      <c r="E245" s="589" t="s">
        <v>179</v>
      </c>
      <c r="F245" s="589" t="s">
        <v>1392</v>
      </c>
      <c r="G245" s="805" t="s">
        <v>1000</v>
      </c>
      <c r="H245" s="589">
        <v>16</v>
      </c>
      <c r="I245" s="583">
        <v>16</v>
      </c>
      <c r="J245" s="589"/>
      <c r="K245" s="589" t="s">
        <v>1071</v>
      </c>
      <c r="L245" s="806">
        <v>2</v>
      </c>
      <c r="M245" s="806">
        <v>14</v>
      </c>
      <c r="N245" s="807">
        <v>41401</v>
      </c>
    </row>
    <row r="246" spans="1:14">
      <c r="A246" s="688" t="s">
        <v>1472</v>
      </c>
      <c r="B246" s="583" t="s">
        <v>1097</v>
      </c>
      <c r="C246" s="243">
        <v>41386</v>
      </c>
      <c r="D246" s="243">
        <v>41386</v>
      </c>
      <c r="E246" s="589" t="s">
        <v>184</v>
      </c>
      <c r="F246" s="589" t="s">
        <v>1392</v>
      </c>
      <c r="G246" s="589" t="s">
        <v>1471</v>
      </c>
      <c r="H246" s="592">
        <v>8</v>
      </c>
      <c r="I246" s="811">
        <v>8</v>
      </c>
      <c r="J246" s="589"/>
      <c r="K246" s="589" t="s">
        <v>1096</v>
      </c>
      <c r="L246" s="806">
        <v>4</v>
      </c>
      <c r="M246" s="806"/>
      <c r="N246" s="807">
        <v>41389</v>
      </c>
    </row>
    <row r="247" spans="1:14">
      <c r="A247" s="589" t="s">
        <v>1474</v>
      </c>
      <c r="B247" s="583">
        <v>45</v>
      </c>
      <c r="C247" s="243">
        <v>41386</v>
      </c>
      <c r="D247" s="243">
        <v>41386</v>
      </c>
      <c r="E247" s="590" t="s">
        <v>180</v>
      </c>
      <c r="F247" s="589" t="s">
        <v>1392</v>
      </c>
      <c r="G247" s="805" t="s">
        <v>1000</v>
      </c>
      <c r="H247" s="591"/>
      <c r="I247" s="590"/>
      <c r="J247" s="637" t="s">
        <v>1395</v>
      </c>
      <c r="K247" s="589" t="s">
        <v>1071</v>
      </c>
      <c r="L247" s="810">
        <v>2</v>
      </c>
      <c r="M247" s="810">
        <v>14</v>
      </c>
      <c r="N247" s="807">
        <v>41401</v>
      </c>
    </row>
    <row r="248" spans="1:14">
      <c r="A248" s="804" t="s">
        <v>1474</v>
      </c>
      <c r="B248" s="583">
        <v>45</v>
      </c>
      <c r="C248" s="243">
        <v>41386</v>
      </c>
      <c r="D248" s="243">
        <v>41386</v>
      </c>
      <c r="E248" s="589" t="s">
        <v>185</v>
      </c>
      <c r="F248" s="589" t="s">
        <v>1392</v>
      </c>
      <c r="G248" s="589" t="s">
        <v>563</v>
      </c>
      <c r="H248" s="589">
        <v>21</v>
      </c>
      <c r="I248" s="583">
        <v>21</v>
      </c>
      <c r="J248" s="589"/>
      <c r="K248" s="589" t="s">
        <v>1071</v>
      </c>
      <c r="L248" s="806">
        <v>2</v>
      </c>
      <c r="M248" s="806">
        <v>14</v>
      </c>
      <c r="N248" s="807">
        <v>41395</v>
      </c>
    </row>
    <row r="249" spans="1:14">
      <c r="A249" s="804" t="s">
        <v>1474</v>
      </c>
      <c r="B249" s="583">
        <v>45</v>
      </c>
      <c r="C249" s="243">
        <v>41386</v>
      </c>
      <c r="D249" s="243">
        <v>41386</v>
      </c>
      <c r="E249" s="589" t="s">
        <v>245</v>
      </c>
      <c r="F249" s="589" t="s">
        <v>1392</v>
      </c>
      <c r="G249" s="589" t="s">
        <v>990</v>
      </c>
      <c r="H249" s="589">
        <v>11</v>
      </c>
      <c r="I249" s="808" t="s">
        <v>1475</v>
      </c>
      <c r="J249" s="589" t="s">
        <v>1419</v>
      </c>
      <c r="K249" s="637" t="s">
        <v>1071</v>
      </c>
      <c r="L249" s="809">
        <v>3</v>
      </c>
      <c r="M249" s="809">
        <v>21</v>
      </c>
      <c r="N249" s="807">
        <v>41402</v>
      </c>
    </row>
    <row r="250" spans="1:14">
      <c r="A250" s="804" t="s">
        <v>1474</v>
      </c>
      <c r="B250" s="583">
        <v>45</v>
      </c>
      <c r="C250" s="243">
        <v>41386</v>
      </c>
      <c r="D250" s="243">
        <v>41386</v>
      </c>
      <c r="E250" s="589" t="s">
        <v>179</v>
      </c>
      <c r="F250" s="589" t="s">
        <v>1392</v>
      </c>
      <c r="G250" s="805" t="s">
        <v>1000</v>
      </c>
      <c r="H250" s="589">
        <v>17</v>
      </c>
      <c r="I250" s="583">
        <v>17</v>
      </c>
      <c r="J250" s="589"/>
      <c r="K250" s="589" t="s">
        <v>1071</v>
      </c>
      <c r="L250" s="806">
        <v>2</v>
      </c>
      <c r="M250" s="806">
        <v>14</v>
      </c>
      <c r="N250" s="807">
        <v>41401</v>
      </c>
    </row>
    <row r="251" spans="1:14">
      <c r="A251" s="804" t="s">
        <v>1474</v>
      </c>
      <c r="B251" s="583">
        <v>45</v>
      </c>
      <c r="C251" s="243">
        <v>41386</v>
      </c>
      <c r="D251" s="243">
        <v>41386</v>
      </c>
      <c r="E251" s="589" t="s">
        <v>184</v>
      </c>
      <c r="F251" s="589" t="s">
        <v>1392</v>
      </c>
      <c r="G251" s="589" t="s">
        <v>1471</v>
      </c>
      <c r="H251" s="592">
        <v>5.6</v>
      </c>
      <c r="I251" s="811">
        <v>5.6</v>
      </c>
      <c r="J251" s="589"/>
      <c r="K251" s="589" t="s">
        <v>1096</v>
      </c>
      <c r="L251" s="806">
        <v>4</v>
      </c>
      <c r="M251" s="806"/>
      <c r="N251" s="807">
        <v>41389</v>
      </c>
    </row>
    <row r="252" spans="1:14">
      <c r="A252" s="589" t="s">
        <v>1474</v>
      </c>
      <c r="B252" s="583">
        <v>45</v>
      </c>
      <c r="C252" s="243">
        <v>41386</v>
      </c>
      <c r="D252" s="243">
        <v>41386</v>
      </c>
      <c r="E252" s="584" t="s">
        <v>206</v>
      </c>
      <c r="F252" s="589" t="s">
        <v>1392</v>
      </c>
      <c r="G252" s="805" t="s">
        <v>996</v>
      </c>
      <c r="H252" s="589">
        <v>450</v>
      </c>
      <c r="I252" s="583">
        <v>450</v>
      </c>
      <c r="J252" s="589"/>
      <c r="K252" s="637" t="s">
        <v>1071</v>
      </c>
      <c r="L252" s="806">
        <v>6</v>
      </c>
      <c r="M252" s="806">
        <v>42</v>
      </c>
      <c r="N252" s="807">
        <v>41401</v>
      </c>
    </row>
    <row r="253" spans="1:14">
      <c r="A253" s="589" t="s">
        <v>1476</v>
      </c>
      <c r="B253" s="585" t="s">
        <v>1098</v>
      </c>
      <c r="C253" s="243">
        <v>41386</v>
      </c>
      <c r="D253" s="243">
        <v>41386</v>
      </c>
      <c r="E253" s="590" t="s">
        <v>180</v>
      </c>
      <c r="F253" s="589" t="s">
        <v>1392</v>
      </c>
      <c r="G253" s="805" t="s">
        <v>1000</v>
      </c>
      <c r="H253" s="591">
        <v>3</v>
      </c>
      <c r="I253" s="590">
        <v>3</v>
      </c>
      <c r="J253" s="637" t="s">
        <v>1419</v>
      </c>
      <c r="K253" s="589" t="s">
        <v>1071</v>
      </c>
      <c r="L253" s="810">
        <v>2</v>
      </c>
      <c r="M253" s="810">
        <v>14</v>
      </c>
      <c r="N253" s="807">
        <v>41401</v>
      </c>
    </row>
    <row r="254" spans="1:14">
      <c r="A254" s="589" t="s">
        <v>1476</v>
      </c>
      <c r="B254" s="585" t="s">
        <v>1098</v>
      </c>
      <c r="C254" s="243">
        <v>41386</v>
      </c>
      <c r="D254" s="243">
        <v>41386</v>
      </c>
      <c r="E254" s="589" t="s">
        <v>185</v>
      </c>
      <c r="F254" s="589" t="s">
        <v>1392</v>
      </c>
      <c r="G254" s="589" t="s">
        <v>563</v>
      </c>
      <c r="H254" s="589">
        <v>40</v>
      </c>
      <c r="I254" s="583">
        <v>40</v>
      </c>
      <c r="J254" s="589"/>
      <c r="K254" s="589" t="s">
        <v>1071</v>
      </c>
      <c r="L254" s="806">
        <v>2</v>
      </c>
      <c r="M254" s="806">
        <v>14</v>
      </c>
      <c r="N254" s="807">
        <v>41395</v>
      </c>
    </row>
    <row r="255" spans="1:14">
      <c r="A255" s="589" t="s">
        <v>1476</v>
      </c>
      <c r="B255" s="585" t="s">
        <v>1098</v>
      </c>
      <c r="C255" s="243">
        <v>41386</v>
      </c>
      <c r="D255" s="243">
        <v>41386</v>
      </c>
      <c r="E255" s="589" t="s">
        <v>245</v>
      </c>
      <c r="F255" s="589" t="s">
        <v>1392</v>
      </c>
      <c r="G255" s="589" t="s">
        <v>990</v>
      </c>
      <c r="H255" s="589">
        <v>53</v>
      </c>
      <c r="I255" s="808" t="s">
        <v>1477</v>
      </c>
      <c r="J255" s="688"/>
      <c r="K255" s="637" t="s">
        <v>1071</v>
      </c>
      <c r="L255" s="809">
        <v>3</v>
      </c>
      <c r="M255" s="809">
        <v>21</v>
      </c>
      <c r="N255" s="807">
        <v>41402</v>
      </c>
    </row>
    <row r="256" spans="1:14">
      <c r="A256" s="589" t="s">
        <v>1476</v>
      </c>
      <c r="B256" s="585" t="s">
        <v>1098</v>
      </c>
      <c r="C256" s="243">
        <v>41386</v>
      </c>
      <c r="D256" s="243">
        <v>41386</v>
      </c>
      <c r="E256" s="589" t="s">
        <v>179</v>
      </c>
      <c r="F256" s="589" t="s">
        <v>1392</v>
      </c>
      <c r="G256" s="805" t="s">
        <v>1000</v>
      </c>
      <c r="H256" s="589">
        <v>14</v>
      </c>
      <c r="I256" s="583">
        <v>14</v>
      </c>
      <c r="J256" s="589" t="s">
        <v>1419</v>
      </c>
      <c r="K256" s="589" t="s">
        <v>1071</v>
      </c>
      <c r="L256" s="806">
        <v>2</v>
      </c>
      <c r="M256" s="806">
        <v>14</v>
      </c>
      <c r="N256" s="807">
        <v>41401</v>
      </c>
    </row>
    <row r="257" spans="1:14">
      <c r="A257" s="589" t="s">
        <v>1476</v>
      </c>
      <c r="B257" s="585" t="s">
        <v>1098</v>
      </c>
      <c r="C257" s="243">
        <v>41386</v>
      </c>
      <c r="D257" s="243">
        <v>41386</v>
      </c>
      <c r="E257" s="589" t="s">
        <v>184</v>
      </c>
      <c r="F257" s="589" t="s">
        <v>1392</v>
      </c>
      <c r="G257" s="589" t="s">
        <v>1471</v>
      </c>
      <c r="H257" s="592">
        <v>4.5999999999999996</v>
      </c>
      <c r="I257" s="811">
        <v>4.5999999999999996</v>
      </c>
      <c r="J257" s="589"/>
      <c r="K257" s="589" t="s">
        <v>1096</v>
      </c>
      <c r="L257" s="806">
        <v>4</v>
      </c>
      <c r="M257" s="806"/>
      <c r="N257" s="807">
        <v>41389</v>
      </c>
    </row>
    <row r="258" spans="1:14">
      <c r="A258" s="804" t="s">
        <v>1476</v>
      </c>
      <c r="B258" s="585" t="s">
        <v>1098</v>
      </c>
      <c r="C258" s="243">
        <v>41386</v>
      </c>
      <c r="D258" s="243">
        <v>41386</v>
      </c>
      <c r="E258" s="584" t="s">
        <v>206</v>
      </c>
      <c r="F258" s="589" t="s">
        <v>1392</v>
      </c>
      <c r="G258" s="805" t="s">
        <v>996</v>
      </c>
      <c r="H258" s="589">
        <v>511</v>
      </c>
      <c r="I258" s="583">
        <v>511</v>
      </c>
      <c r="J258" s="589"/>
      <c r="K258" s="637" t="s">
        <v>1071</v>
      </c>
      <c r="L258" s="806">
        <v>6</v>
      </c>
      <c r="M258" s="806">
        <v>42</v>
      </c>
      <c r="N258" s="807">
        <v>41401</v>
      </c>
    </row>
    <row r="259" spans="1:14">
      <c r="A259" s="804" t="s">
        <v>1476</v>
      </c>
      <c r="B259" s="583" t="s">
        <v>1098</v>
      </c>
      <c r="C259" s="243">
        <v>41386</v>
      </c>
      <c r="D259" s="243">
        <v>41386</v>
      </c>
      <c r="E259" s="584" t="s">
        <v>181</v>
      </c>
      <c r="F259" s="804" t="s">
        <v>1392</v>
      </c>
      <c r="G259" s="812" t="s">
        <v>1402</v>
      </c>
      <c r="H259" s="332">
        <v>8.3000000000000007</v>
      </c>
      <c r="I259" s="813">
        <v>8.3000000000000007</v>
      </c>
      <c r="J259" s="814"/>
      <c r="K259" s="589" t="s">
        <v>1071</v>
      </c>
      <c r="L259" s="810">
        <v>0.1</v>
      </c>
      <c r="M259" s="810"/>
      <c r="N259" s="807">
        <v>41389</v>
      </c>
    </row>
    <row r="260" spans="1:14">
      <c r="A260" s="804" t="s">
        <v>1476</v>
      </c>
      <c r="B260" s="583" t="s">
        <v>1098</v>
      </c>
      <c r="C260" s="243">
        <v>41386</v>
      </c>
      <c r="D260" s="243">
        <v>41386</v>
      </c>
      <c r="E260" s="584" t="s">
        <v>181</v>
      </c>
      <c r="F260" s="804" t="s">
        <v>1392</v>
      </c>
      <c r="G260" s="812" t="s">
        <v>1402</v>
      </c>
      <c r="H260" s="332">
        <v>8</v>
      </c>
      <c r="I260" s="813">
        <v>8</v>
      </c>
      <c r="J260" s="814"/>
      <c r="K260" s="589" t="s">
        <v>1071</v>
      </c>
      <c r="L260" s="810">
        <v>0.1</v>
      </c>
      <c r="M260" s="810"/>
      <c r="N260" s="807">
        <v>41389</v>
      </c>
    </row>
    <row r="261" spans="1:14">
      <c r="A261" s="589" t="s">
        <v>1478</v>
      </c>
      <c r="B261" s="583" t="s">
        <v>1099</v>
      </c>
      <c r="C261" s="243">
        <v>41386</v>
      </c>
      <c r="D261" s="243">
        <v>41386</v>
      </c>
      <c r="E261" s="590" t="s">
        <v>180</v>
      </c>
      <c r="F261" s="589" t="s">
        <v>1392</v>
      </c>
      <c r="G261" s="805" t="s">
        <v>1000</v>
      </c>
      <c r="H261" s="591"/>
      <c r="I261" s="590"/>
      <c r="J261" s="637" t="s">
        <v>1395</v>
      </c>
      <c r="K261" s="589" t="s">
        <v>1071</v>
      </c>
      <c r="L261" s="810">
        <v>2</v>
      </c>
      <c r="M261" s="810">
        <v>14</v>
      </c>
      <c r="N261" s="807">
        <v>41401</v>
      </c>
    </row>
    <row r="262" spans="1:14">
      <c r="A262" s="589" t="s">
        <v>1478</v>
      </c>
      <c r="B262" s="583" t="s">
        <v>1099</v>
      </c>
      <c r="C262" s="243">
        <v>41386</v>
      </c>
      <c r="D262" s="243">
        <v>41386</v>
      </c>
      <c r="E262" s="589" t="s">
        <v>185</v>
      </c>
      <c r="F262" s="589" t="s">
        <v>1392</v>
      </c>
      <c r="G262" s="589" t="s">
        <v>563</v>
      </c>
      <c r="H262" s="589">
        <v>37</v>
      </c>
      <c r="I262" s="583">
        <v>37</v>
      </c>
      <c r="J262" s="589"/>
      <c r="K262" s="589" t="s">
        <v>1071</v>
      </c>
      <c r="L262" s="806">
        <v>2</v>
      </c>
      <c r="M262" s="806">
        <v>14</v>
      </c>
      <c r="N262" s="807">
        <v>41395</v>
      </c>
    </row>
    <row r="263" spans="1:14">
      <c r="A263" s="589" t="s">
        <v>1478</v>
      </c>
      <c r="B263" s="583" t="s">
        <v>1099</v>
      </c>
      <c r="C263" s="243">
        <v>41386</v>
      </c>
      <c r="D263" s="243">
        <v>41386</v>
      </c>
      <c r="E263" s="589" t="s">
        <v>245</v>
      </c>
      <c r="F263" s="589" t="s">
        <v>1392</v>
      </c>
      <c r="G263" s="589" t="s">
        <v>990</v>
      </c>
      <c r="H263" s="589">
        <v>54</v>
      </c>
      <c r="I263" s="808" t="s">
        <v>1479</v>
      </c>
      <c r="J263" s="688"/>
      <c r="K263" s="637" t="s">
        <v>1071</v>
      </c>
      <c r="L263" s="809">
        <v>3</v>
      </c>
      <c r="M263" s="809">
        <v>21</v>
      </c>
      <c r="N263" s="807">
        <v>41402</v>
      </c>
    </row>
    <row r="264" spans="1:14">
      <c r="A264" s="589" t="s">
        <v>1478</v>
      </c>
      <c r="B264" s="583" t="s">
        <v>1099</v>
      </c>
      <c r="C264" s="243">
        <v>41386</v>
      </c>
      <c r="D264" s="243">
        <v>41386</v>
      </c>
      <c r="E264" s="589" t="s">
        <v>179</v>
      </c>
      <c r="F264" s="589" t="s">
        <v>1392</v>
      </c>
      <c r="G264" s="805" t="s">
        <v>1000</v>
      </c>
      <c r="H264" s="589">
        <v>24</v>
      </c>
      <c r="I264" s="583">
        <v>24</v>
      </c>
      <c r="J264" s="589"/>
      <c r="K264" s="589" t="s">
        <v>1071</v>
      </c>
      <c r="L264" s="806">
        <v>2</v>
      </c>
      <c r="M264" s="806">
        <v>14</v>
      </c>
      <c r="N264" s="807">
        <v>41401</v>
      </c>
    </row>
    <row r="265" spans="1:14">
      <c r="A265" s="589" t="s">
        <v>1478</v>
      </c>
      <c r="B265" s="583" t="s">
        <v>1099</v>
      </c>
      <c r="C265" s="243">
        <v>41386</v>
      </c>
      <c r="D265" s="243">
        <v>41386</v>
      </c>
      <c r="E265" s="589" t="s">
        <v>184</v>
      </c>
      <c r="F265" s="589" t="s">
        <v>1392</v>
      </c>
      <c r="G265" s="589" t="s">
        <v>1471</v>
      </c>
      <c r="H265" s="592">
        <v>8.1999999999999993</v>
      </c>
      <c r="I265" s="811">
        <v>8.1999999999999993</v>
      </c>
      <c r="J265" s="589"/>
      <c r="K265" s="589" t="s">
        <v>1096</v>
      </c>
      <c r="L265" s="806">
        <v>4</v>
      </c>
      <c r="M265" s="806"/>
      <c r="N265" s="807">
        <v>41389</v>
      </c>
    </row>
    <row r="266" spans="1:14">
      <c r="A266" s="589" t="s">
        <v>1478</v>
      </c>
      <c r="B266" s="583" t="s">
        <v>1099</v>
      </c>
      <c r="C266" s="243">
        <v>41386</v>
      </c>
      <c r="D266" s="243">
        <v>41386</v>
      </c>
      <c r="E266" s="584" t="s">
        <v>206</v>
      </c>
      <c r="F266" s="589" t="s">
        <v>1392</v>
      </c>
      <c r="G266" s="805" t="s">
        <v>996</v>
      </c>
      <c r="H266" s="589">
        <v>495</v>
      </c>
      <c r="I266" s="583">
        <v>495</v>
      </c>
      <c r="J266" s="589"/>
      <c r="K266" s="637" t="s">
        <v>1071</v>
      </c>
      <c r="L266" s="806">
        <v>6</v>
      </c>
      <c r="M266" s="806">
        <v>42</v>
      </c>
      <c r="N266" s="807">
        <v>41401</v>
      </c>
    </row>
    <row r="267" spans="1:14">
      <c r="A267" s="804" t="s">
        <v>1480</v>
      </c>
      <c r="B267" s="583" t="s">
        <v>1405</v>
      </c>
      <c r="C267" s="243">
        <v>41386</v>
      </c>
      <c r="D267" s="243">
        <v>41386</v>
      </c>
      <c r="E267" s="584" t="s">
        <v>206</v>
      </c>
      <c r="F267" s="589" t="s">
        <v>1392</v>
      </c>
      <c r="G267" s="805" t="s">
        <v>996</v>
      </c>
      <c r="H267" s="589">
        <v>1214</v>
      </c>
      <c r="I267" s="583">
        <v>1214</v>
      </c>
      <c r="J267" s="589"/>
      <c r="K267" s="637" t="s">
        <v>1071</v>
      </c>
      <c r="L267" s="806">
        <v>6</v>
      </c>
      <c r="M267" s="806">
        <v>42</v>
      </c>
      <c r="N267" s="807">
        <v>41401</v>
      </c>
    </row>
    <row r="268" spans="1:14">
      <c r="A268" s="688" t="s">
        <v>1480</v>
      </c>
      <c r="B268" s="583" t="s">
        <v>1405</v>
      </c>
      <c r="C268" s="243">
        <v>41386</v>
      </c>
      <c r="D268" s="243">
        <v>41386</v>
      </c>
      <c r="E268" s="589" t="s">
        <v>185</v>
      </c>
      <c r="F268" s="589" t="s">
        <v>1392</v>
      </c>
      <c r="G268" s="589" t="s">
        <v>563</v>
      </c>
      <c r="H268" s="589">
        <v>800</v>
      </c>
      <c r="I268" s="583">
        <v>800</v>
      </c>
      <c r="J268" s="589"/>
      <c r="K268" s="589" t="s">
        <v>1071</v>
      </c>
      <c r="L268" s="806">
        <v>2</v>
      </c>
      <c r="M268" s="806">
        <v>14</v>
      </c>
      <c r="N268" s="807">
        <v>41395</v>
      </c>
    </row>
    <row r="269" spans="1:14">
      <c r="A269" s="688" t="s">
        <v>1480</v>
      </c>
      <c r="B269" s="583" t="s">
        <v>1405</v>
      </c>
      <c r="C269" s="243">
        <v>41386</v>
      </c>
      <c r="D269" s="243">
        <v>41386</v>
      </c>
      <c r="E269" s="589" t="s">
        <v>245</v>
      </c>
      <c r="F269" s="589" t="s">
        <v>1392</v>
      </c>
      <c r="G269" s="589" t="s">
        <v>990</v>
      </c>
      <c r="H269" s="589">
        <v>14</v>
      </c>
      <c r="I269" s="808" t="s">
        <v>1466</v>
      </c>
      <c r="J269" s="589" t="s">
        <v>1419</v>
      </c>
      <c r="K269" s="637" t="s">
        <v>1071</v>
      </c>
      <c r="L269" s="809">
        <v>3</v>
      </c>
      <c r="M269" s="809">
        <v>21</v>
      </c>
      <c r="N269" s="807">
        <v>41402</v>
      </c>
    </row>
    <row r="270" spans="1:14">
      <c r="A270" s="688" t="s">
        <v>1480</v>
      </c>
      <c r="B270" s="583" t="s">
        <v>1405</v>
      </c>
      <c r="C270" s="243">
        <v>41386</v>
      </c>
      <c r="D270" s="243">
        <v>41386</v>
      </c>
      <c r="E270" s="589" t="s">
        <v>179</v>
      </c>
      <c r="F270" s="589" t="s">
        <v>1392</v>
      </c>
      <c r="G270" s="805" t="s">
        <v>1000</v>
      </c>
      <c r="H270" s="589">
        <v>37</v>
      </c>
      <c r="I270" s="583">
        <v>37</v>
      </c>
      <c r="J270" s="589"/>
      <c r="K270" s="589" t="s">
        <v>1071</v>
      </c>
      <c r="L270" s="806">
        <v>2</v>
      </c>
      <c r="M270" s="806">
        <v>14</v>
      </c>
      <c r="N270" s="807">
        <v>41401</v>
      </c>
    </row>
    <row r="271" spans="1:14">
      <c r="A271" s="804" t="s">
        <v>1481</v>
      </c>
      <c r="B271" s="583" t="s">
        <v>1408</v>
      </c>
      <c r="C271" s="243">
        <v>41386</v>
      </c>
      <c r="D271" s="243">
        <v>41386</v>
      </c>
      <c r="E271" s="584" t="s">
        <v>206</v>
      </c>
      <c r="F271" s="589" t="s">
        <v>1392</v>
      </c>
      <c r="G271" s="805" t="s">
        <v>996</v>
      </c>
      <c r="H271" s="589">
        <v>1066</v>
      </c>
      <c r="I271" s="583">
        <v>1066</v>
      </c>
      <c r="J271" s="589"/>
      <c r="K271" s="637" t="s">
        <v>1071</v>
      </c>
      <c r="L271" s="806">
        <v>6</v>
      </c>
      <c r="M271" s="806">
        <v>42</v>
      </c>
      <c r="N271" s="807">
        <v>41401</v>
      </c>
    </row>
    <row r="272" spans="1:14">
      <c r="A272" s="688" t="s">
        <v>1481</v>
      </c>
      <c r="B272" s="583" t="s">
        <v>1408</v>
      </c>
      <c r="C272" s="243">
        <v>41386</v>
      </c>
      <c r="D272" s="243">
        <v>41386</v>
      </c>
      <c r="E272" s="589" t="s">
        <v>185</v>
      </c>
      <c r="F272" s="589" t="s">
        <v>1392</v>
      </c>
      <c r="G272" s="589" t="s">
        <v>563</v>
      </c>
      <c r="H272" s="589">
        <v>660</v>
      </c>
      <c r="I272" s="583">
        <v>660</v>
      </c>
      <c r="J272" s="589"/>
      <c r="K272" s="589" t="s">
        <v>1071</v>
      </c>
      <c r="L272" s="806">
        <v>2</v>
      </c>
      <c r="M272" s="806">
        <v>14</v>
      </c>
      <c r="N272" s="807">
        <v>41395</v>
      </c>
    </row>
    <row r="273" spans="1:14">
      <c r="A273" s="688" t="s">
        <v>1481</v>
      </c>
      <c r="B273" s="583" t="s">
        <v>1408</v>
      </c>
      <c r="C273" s="243">
        <v>41386</v>
      </c>
      <c r="D273" s="243">
        <v>41386</v>
      </c>
      <c r="E273" s="589" t="s">
        <v>245</v>
      </c>
      <c r="F273" s="589" t="s">
        <v>1392</v>
      </c>
      <c r="G273" s="589" t="s">
        <v>990</v>
      </c>
      <c r="H273" s="589">
        <v>14</v>
      </c>
      <c r="I273" s="808" t="s">
        <v>1466</v>
      </c>
      <c r="J273" s="589" t="s">
        <v>1419</v>
      </c>
      <c r="K273" s="637" t="s">
        <v>1071</v>
      </c>
      <c r="L273" s="809">
        <v>3</v>
      </c>
      <c r="M273" s="809">
        <v>21</v>
      </c>
      <c r="N273" s="807">
        <v>41402</v>
      </c>
    </row>
    <row r="274" spans="1:14">
      <c r="A274" s="688" t="s">
        <v>1481</v>
      </c>
      <c r="B274" s="583" t="s">
        <v>1408</v>
      </c>
      <c r="C274" s="243">
        <v>41386</v>
      </c>
      <c r="D274" s="243">
        <v>41386</v>
      </c>
      <c r="E274" s="589" t="s">
        <v>179</v>
      </c>
      <c r="F274" s="589" t="s">
        <v>1392</v>
      </c>
      <c r="G274" s="805" t="s">
        <v>1000</v>
      </c>
      <c r="H274" s="589">
        <v>12</v>
      </c>
      <c r="I274" s="583">
        <v>12</v>
      </c>
      <c r="J274" s="589" t="s">
        <v>1419</v>
      </c>
      <c r="K274" s="589" t="s">
        <v>1071</v>
      </c>
      <c r="L274" s="806">
        <v>2</v>
      </c>
      <c r="M274" s="806">
        <v>14</v>
      </c>
      <c r="N274" s="807">
        <v>41401</v>
      </c>
    </row>
    <row r="276" spans="1:14">
      <c r="A276" s="804" t="s">
        <v>1482</v>
      </c>
      <c r="B276" s="583">
        <v>64</v>
      </c>
      <c r="C276" s="243">
        <v>41415</v>
      </c>
      <c r="D276" s="243">
        <v>41415</v>
      </c>
      <c r="E276" s="584" t="s">
        <v>206</v>
      </c>
      <c r="F276" s="589" t="s">
        <v>1392</v>
      </c>
      <c r="G276" s="805" t="s">
        <v>996</v>
      </c>
      <c r="H276" s="589">
        <v>679</v>
      </c>
      <c r="I276" s="583">
        <v>679</v>
      </c>
      <c r="J276" s="589"/>
      <c r="K276" s="637" t="s">
        <v>1071</v>
      </c>
      <c r="L276" s="806">
        <v>6</v>
      </c>
      <c r="M276" s="806">
        <v>42</v>
      </c>
      <c r="N276" s="807">
        <v>41425</v>
      </c>
    </row>
    <row r="277" spans="1:14">
      <c r="A277" s="804" t="s">
        <v>1482</v>
      </c>
      <c r="B277" s="583">
        <v>64</v>
      </c>
      <c r="C277" s="243">
        <v>41415</v>
      </c>
      <c r="D277" s="243">
        <v>41415</v>
      </c>
      <c r="E277" s="589" t="s">
        <v>185</v>
      </c>
      <c r="F277" s="589" t="s">
        <v>1392</v>
      </c>
      <c r="G277" s="589" t="s">
        <v>1483</v>
      </c>
      <c r="H277" s="589">
        <v>507</v>
      </c>
      <c r="I277" s="583">
        <v>507</v>
      </c>
      <c r="J277" s="589"/>
      <c r="K277" s="589" t="s">
        <v>1071</v>
      </c>
      <c r="L277" s="806">
        <v>2</v>
      </c>
      <c r="M277" s="806">
        <v>8</v>
      </c>
      <c r="N277" s="807">
        <v>41416</v>
      </c>
    </row>
    <row r="278" spans="1:14">
      <c r="A278" s="804" t="s">
        <v>1482</v>
      </c>
      <c r="B278" s="583">
        <v>64</v>
      </c>
      <c r="C278" s="243">
        <v>41415</v>
      </c>
      <c r="D278" s="243">
        <v>41415</v>
      </c>
      <c r="E278" s="589" t="s">
        <v>245</v>
      </c>
      <c r="F278" s="589" t="s">
        <v>1392</v>
      </c>
      <c r="G278" s="589" t="s">
        <v>991</v>
      </c>
      <c r="H278" s="589">
        <v>30</v>
      </c>
      <c r="I278" s="823">
        <v>30</v>
      </c>
      <c r="J278" s="589" t="s">
        <v>1419</v>
      </c>
      <c r="K278" s="637" t="s">
        <v>1071</v>
      </c>
      <c r="L278" s="809">
        <v>5</v>
      </c>
      <c r="M278" s="809">
        <v>35</v>
      </c>
      <c r="N278" s="807">
        <v>41430</v>
      </c>
    </row>
    <row r="279" spans="1:14">
      <c r="A279" s="804" t="s">
        <v>1482</v>
      </c>
      <c r="B279" s="583">
        <v>64</v>
      </c>
      <c r="C279" s="243">
        <v>41415</v>
      </c>
      <c r="D279" s="243">
        <v>41415</v>
      </c>
      <c r="E279" s="589" t="s">
        <v>179</v>
      </c>
      <c r="F279" s="589" t="s">
        <v>1392</v>
      </c>
      <c r="G279" s="805" t="s">
        <v>1000</v>
      </c>
      <c r="H279" s="589">
        <v>61</v>
      </c>
      <c r="I279" s="583">
        <v>61</v>
      </c>
      <c r="J279" s="589"/>
      <c r="K279" s="589" t="s">
        <v>1071</v>
      </c>
      <c r="L279" s="806">
        <v>2</v>
      </c>
      <c r="M279" s="806">
        <v>8</v>
      </c>
      <c r="N279" s="807">
        <v>41425</v>
      </c>
    </row>
    <row r="280" spans="1:14">
      <c r="A280" s="804" t="s">
        <v>1484</v>
      </c>
      <c r="B280" s="583">
        <v>32</v>
      </c>
      <c r="C280" s="243">
        <v>41415</v>
      </c>
      <c r="D280" s="243">
        <v>41415</v>
      </c>
      <c r="E280" s="584" t="s">
        <v>206</v>
      </c>
      <c r="F280" s="589" t="s">
        <v>1392</v>
      </c>
      <c r="G280" s="805" t="s">
        <v>996</v>
      </c>
      <c r="H280" s="589">
        <v>1328</v>
      </c>
      <c r="I280" s="583">
        <v>1328</v>
      </c>
      <c r="J280" s="589"/>
      <c r="K280" s="637" t="s">
        <v>1071</v>
      </c>
      <c r="L280" s="806">
        <v>6</v>
      </c>
      <c r="M280" s="806">
        <v>42</v>
      </c>
      <c r="N280" s="807">
        <v>41425</v>
      </c>
    </row>
    <row r="281" spans="1:14">
      <c r="A281" s="804" t="s">
        <v>1484</v>
      </c>
      <c r="B281" s="583">
        <v>32</v>
      </c>
      <c r="C281" s="243">
        <v>41415</v>
      </c>
      <c r="D281" s="243">
        <v>41415</v>
      </c>
      <c r="E281" s="589" t="s">
        <v>185</v>
      </c>
      <c r="F281" s="589" t="s">
        <v>1392</v>
      </c>
      <c r="G281" s="589" t="s">
        <v>1483</v>
      </c>
      <c r="H281" s="589">
        <v>602</v>
      </c>
      <c r="I281" s="583">
        <v>602</v>
      </c>
      <c r="J281" s="589"/>
      <c r="K281" s="589" t="s">
        <v>1071</v>
      </c>
      <c r="L281" s="806">
        <v>2</v>
      </c>
      <c r="M281" s="806">
        <v>8</v>
      </c>
      <c r="N281" s="807">
        <v>41416</v>
      </c>
    </row>
    <row r="282" spans="1:14">
      <c r="A282" s="804" t="s">
        <v>1484</v>
      </c>
      <c r="B282" s="583">
        <v>32</v>
      </c>
      <c r="C282" s="243">
        <v>41415</v>
      </c>
      <c r="D282" s="243">
        <v>41415</v>
      </c>
      <c r="E282" s="589" t="s">
        <v>245</v>
      </c>
      <c r="F282" s="589" t="s">
        <v>1392</v>
      </c>
      <c r="G282" s="589" t="s">
        <v>991</v>
      </c>
      <c r="H282" s="589">
        <v>80</v>
      </c>
      <c r="I282" s="823">
        <v>80</v>
      </c>
      <c r="J282" s="589"/>
      <c r="K282" s="637" t="s">
        <v>1071</v>
      </c>
      <c r="L282" s="809">
        <v>5</v>
      </c>
      <c r="M282" s="809">
        <v>35</v>
      </c>
      <c r="N282" s="807">
        <v>41430</v>
      </c>
    </row>
    <row r="283" spans="1:14">
      <c r="A283" s="804" t="s">
        <v>1484</v>
      </c>
      <c r="B283" s="583">
        <v>32</v>
      </c>
      <c r="C283" s="243">
        <v>41415</v>
      </c>
      <c r="D283" s="243">
        <v>41415</v>
      </c>
      <c r="E283" s="589" t="s">
        <v>179</v>
      </c>
      <c r="F283" s="589" t="s">
        <v>1392</v>
      </c>
      <c r="G283" s="805" t="s">
        <v>1000</v>
      </c>
      <c r="H283" s="589">
        <v>147</v>
      </c>
      <c r="I283" s="583">
        <v>147</v>
      </c>
      <c r="J283" s="589"/>
      <c r="K283" s="589" t="s">
        <v>1071</v>
      </c>
      <c r="L283" s="806">
        <v>2</v>
      </c>
      <c r="M283" s="806">
        <v>8</v>
      </c>
      <c r="N283" s="807">
        <v>41425</v>
      </c>
    </row>
    <row r="284" spans="1:14">
      <c r="A284" s="804" t="s">
        <v>1485</v>
      </c>
      <c r="B284" s="583">
        <v>5</v>
      </c>
      <c r="C284" s="243">
        <v>41415</v>
      </c>
      <c r="D284" s="243">
        <v>41415</v>
      </c>
      <c r="E284" s="584" t="s">
        <v>206</v>
      </c>
      <c r="F284" s="589" t="s">
        <v>1392</v>
      </c>
      <c r="G284" s="805" t="s">
        <v>996</v>
      </c>
      <c r="H284" s="589">
        <v>436</v>
      </c>
      <c r="I284" s="583">
        <v>436</v>
      </c>
      <c r="J284" s="589"/>
      <c r="K284" s="637" t="s">
        <v>1071</v>
      </c>
      <c r="L284" s="806">
        <v>6</v>
      </c>
      <c r="M284" s="806">
        <v>42</v>
      </c>
      <c r="N284" s="807">
        <v>41425</v>
      </c>
    </row>
    <row r="285" spans="1:14">
      <c r="A285" s="804" t="s">
        <v>1485</v>
      </c>
      <c r="B285" s="583">
        <v>5</v>
      </c>
      <c r="C285" s="243">
        <v>41415</v>
      </c>
      <c r="D285" s="243">
        <v>41415</v>
      </c>
      <c r="E285" s="589" t="s">
        <v>185</v>
      </c>
      <c r="F285" s="589" t="s">
        <v>1392</v>
      </c>
      <c r="G285" s="589" t="s">
        <v>1483</v>
      </c>
      <c r="H285" s="589">
        <v>133</v>
      </c>
      <c r="I285" s="583">
        <v>133</v>
      </c>
      <c r="J285" s="589"/>
      <c r="K285" s="589" t="s">
        <v>1071</v>
      </c>
      <c r="L285" s="806">
        <v>2</v>
      </c>
      <c r="M285" s="806">
        <v>8</v>
      </c>
      <c r="N285" s="807">
        <v>41416</v>
      </c>
    </row>
    <row r="286" spans="1:14">
      <c r="A286" s="804" t="s">
        <v>1485</v>
      </c>
      <c r="B286" s="583">
        <v>5</v>
      </c>
      <c r="C286" s="243">
        <v>41415</v>
      </c>
      <c r="D286" s="243">
        <v>41415</v>
      </c>
      <c r="E286" s="589" t="s">
        <v>245</v>
      </c>
      <c r="F286" s="589" t="s">
        <v>1392</v>
      </c>
      <c r="G286" s="589" t="s">
        <v>991</v>
      </c>
      <c r="H286" s="589">
        <v>33</v>
      </c>
      <c r="I286" s="823">
        <v>33</v>
      </c>
      <c r="J286" s="589" t="s">
        <v>1419</v>
      </c>
      <c r="K286" s="637" t="s">
        <v>1071</v>
      </c>
      <c r="L286" s="809">
        <v>5</v>
      </c>
      <c r="M286" s="809">
        <v>35</v>
      </c>
      <c r="N286" s="807">
        <v>41430</v>
      </c>
    </row>
    <row r="287" spans="1:14">
      <c r="A287" s="804" t="s">
        <v>1485</v>
      </c>
      <c r="B287" s="583">
        <v>5</v>
      </c>
      <c r="C287" s="243">
        <v>41415</v>
      </c>
      <c r="D287" s="243">
        <v>41415</v>
      </c>
      <c r="E287" s="589" t="s">
        <v>179</v>
      </c>
      <c r="F287" s="589" t="s">
        <v>1392</v>
      </c>
      <c r="G287" s="805" t="s">
        <v>1000</v>
      </c>
      <c r="H287" s="589">
        <v>26</v>
      </c>
      <c r="I287" s="583">
        <v>26</v>
      </c>
      <c r="J287" s="589"/>
      <c r="K287" s="589" t="s">
        <v>1071</v>
      </c>
      <c r="L287" s="806">
        <v>2</v>
      </c>
      <c r="M287" s="806">
        <v>8</v>
      </c>
      <c r="N287" s="807">
        <v>41425</v>
      </c>
    </row>
    <row r="288" spans="1:14">
      <c r="A288" s="804" t="s">
        <v>1486</v>
      </c>
      <c r="B288" s="583" t="s">
        <v>439</v>
      </c>
      <c r="C288" s="243">
        <v>41415</v>
      </c>
      <c r="D288" s="243">
        <v>41415</v>
      </c>
      <c r="E288" s="584" t="s">
        <v>206</v>
      </c>
      <c r="F288" s="589" t="s">
        <v>1392</v>
      </c>
      <c r="G288" s="805" t="s">
        <v>996</v>
      </c>
      <c r="H288" s="589">
        <v>431</v>
      </c>
      <c r="I288" s="583">
        <v>431</v>
      </c>
      <c r="J288" s="589"/>
      <c r="K288" s="637" t="s">
        <v>1071</v>
      </c>
      <c r="L288" s="806">
        <v>6</v>
      </c>
      <c r="M288" s="806">
        <v>42</v>
      </c>
      <c r="N288" s="807">
        <v>41425</v>
      </c>
    </row>
    <row r="289" spans="1:14">
      <c r="A289" s="804" t="s">
        <v>1486</v>
      </c>
      <c r="B289" s="583" t="s">
        <v>439</v>
      </c>
      <c r="C289" s="243">
        <v>41415</v>
      </c>
      <c r="D289" s="243">
        <v>41415</v>
      </c>
      <c r="E289" s="589" t="s">
        <v>185</v>
      </c>
      <c r="F289" s="589" t="s">
        <v>1392</v>
      </c>
      <c r="G289" s="589" t="s">
        <v>1483</v>
      </c>
      <c r="H289" s="589">
        <v>167</v>
      </c>
      <c r="I289" s="583">
        <v>167</v>
      </c>
      <c r="J289" s="589"/>
      <c r="K289" s="589" t="s">
        <v>1071</v>
      </c>
      <c r="L289" s="806">
        <v>2</v>
      </c>
      <c r="M289" s="806">
        <v>8</v>
      </c>
      <c r="N289" s="807">
        <v>41416</v>
      </c>
    </row>
    <row r="290" spans="1:14">
      <c r="A290" s="804" t="s">
        <v>1486</v>
      </c>
      <c r="B290" s="583" t="s">
        <v>439</v>
      </c>
      <c r="C290" s="243">
        <v>41415</v>
      </c>
      <c r="D290" s="243">
        <v>41415</v>
      </c>
      <c r="E290" s="589" t="s">
        <v>245</v>
      </c>
      <c r="F290" s="589" t="s">
        <v>1392</v>
      </c>
      <c r="G290" s="589" t="s">
        <v>991</v>
      </c>
      <c r="H290" s="589">
        <v>38</v>
      </c>
      <c r="I290" s="823">
        <v>38</v>
      </c>
      <c r="J290" s="589"/>
      <c r="K290" s="637" t="s">
        <v>1071</v>
      </c>
      <c r="L290" s="809">
        <v>5</v>
      </c>
      <c r="M290" s="809">
        <v>35</v>
      </c>
      <c r="N290" s="807">
        <v>41430</v>
      </c>
    </row>
    <row r="291" spans="1:14">
      <c r="A291" s="804" t="s">
        <v>1486</v>
      </c>
      <c r="B291" s="583" t="s">
        <v>439</v>
      </c>
      <c r="C291" s="243">
        <v>41415</v>
      </c>
      <c r="D291" s="243">
        <v>41415</v>
      </c>
      <c r="E291" s="589" t="s">
        <v>179</v>
      </c>
      <c r="F291" s="589" t="s">
        <v>1392</v>
      </c>
      <c r="G291" s="805" t="s">
        <v>1000</v>
      </c>
      <c r="H291" s="589">
        <v>27</v>
      </c>
      <c r="I291" s="583">
        <v>27</v>
      </c>
      <c r="J291" s="589"/>
      <c r="K291" s="589" t="s">
        <v>1071</v>
      </c>
      <c r="L291" s="806">
        <v>2</v>
      </c>
      <c r="M291" s="806">
        <v>8</v>
      </c>
      <c r="N291" s="807">
        <v>41425</v>
      </c>
    </row>
    <row r="292" spans="1:14">
      <c r="A292" s="589" t="s">
        <v>1487</v>
      </c>
      <c r="B292" s="583">
        <v>9</v>
      </c>
      <c r="C292" s="243">
        <v>41415</v>
      </c>
      <c r="D292" s="243">
        <v>41415</v>
      </c>
      <c r="E292" s="584" t="s">
        <v>206</v>
      </c>
      <c r="F292" s="589" t="s">
        <v>1392</v>
      </c>
      <c r="G292" s="805" t="s">
        <v>996</v>
      </c>
      <c r="H292" s="589">
        <v>479</v>
      </c>
      <c r="I292" s="583">
        <v>479</v>
      </c>
      <c r="J292" s="589"/>
      <c r="K292" s="637" t="s">
        <v>1071</v>
      </c>
      <c r="L292" s="806">
        <v>6</v>
      </c>
      <c r="M292" s="806">
        <v>42</v>
      </c>
      <c r="N292" s="807">
        <v>41425</v>
      </c>
    </row>
    <row r="293" spans="1:14">
      <c r="A293" s="589" t="s">
        <v>1487</v>
      </c>
      <c r="B293" s="583">
        <v>9</v>
      </c>
      <c r="C293" s="243">
        <v>41415</v>
      </c>
      <c r="D293" s="243">
        <v>41415</v>
      </c>
      <c r="E293" s="589" t="s">
        <v>185</v>
      </c>
      <c r="F293" s="589" t="s">
        <v>1392</v>
      </c>
      <c r="G293" s="589" t="s">
        <v>1483</v>
      </c>
      <c r="H293" s="589">
        <v>176</v>
      </c>
      <c r="I293" s="583">
        <v>176</v>
      </c>
      <c r="J293" s="589"/>
      <c r="K293" s="589" t="s">
        <v>1071</v>
      </c>
      <c r="L293" s="806">
        <v>2</v>
      </c>
      <c r="M293" s="806">
        <v>8</v>
      </c>
      <c r="N293" s="807">
        <v>41416</v>
      </c>
    </row>
    <row r="294" spans="1:14">
      <c r="A294" s="589" t="s">
        <v>1487</v>
      </c>
      <c r="B294" s="583">
        <v>9</v>
      </c>
      <c r="C294" s="243">
        <v>41415</v>
      </c>
      <c r="D294" s="243">
        <v>41415</v>
      </c>
      <c r="E294" s="589" t="s">
        <v>245</v>
      </c>
      <c r="F294" s="589" t="s">
        <v>1392</v>
      </c>
      <c r="G294" s="589" t="s">
        <v>991</v>
      </c>
      <c r="H294" s="589">
        <v>42</v>
      </c>
      <c r="I294" s="823">
        <v>42</v>
      </c>
      <c r="J294" s="688"/>
      <c r="K294" s="637" t="s">
        <v>1071</v>
      </c>
      <c r="L294" s="809">
        <v>5</v>
      </c>
      <c r="M294" s="809">
        <v>35</v>
      </c>
      <c r="N294" s="807">
        <v>41430</v>
      </c>
    </row>
    <row r="295" spans="1:14">
      <c r="A295" s="589" t="s">
        <v>1487</v>
      </c>
      <c r="B295" s="583">
        <v>9</v>
      </c>
      <c r="C295" s="243">
        <v>41415</v>
      </c>
      <c r="D295" s="243">
        <v>41415</v>
      </c>
      <c r="E295" s="589" t="s">
        <v>179</v>
      </c>
      <c r="F295" s="589" t="s">
        <v>1392</v>
      </c>
      <c r="G295" s="805" t="s">
        <v>1000</v>
      </c>
      <c r="H295" s="589">
        <v>30</v>
      </c>
      <c r="I295" s="583">
        <v>30</v>
      </c>
      <c r="J295" s="589"/>
      <c r="K295" s="589" t="s">
        <v>1071</v>
      </c>
      <c r="L295" s="806">
        <v>2</v>
      </c>
      <c r="M295" s="806">
        <v>8</v>
      </c>
      <c r="N295" s="807">
        <v>41425</v>
      </c>
    </row>
    <row r="296" spans="1:14">
      <c r="A296" s="804" t="s">
        <v>1488</v>
      </c>
      <c r="B296" s="583">
        <v>12</v>
      </c>
      <c r="C296" s="243">
        <v>41415</v>
      </c>
      <c r="D296" s="243">
        <v>41415</v>
      </c>
      <c r="E296" s="584" t="s">
        <v>206</v>
      </c>
      <c r="F296" s="589" t="s">
        <v>1392</v>
      </c>
      <c r="G296" s="805" t="s">
        <v>996</v>
      </c>
      <c r="H296" s="589">
        <v>516</v>
      </c>
      <c r="I296" s="583">
        <v>516</v>
      </c>
      <c r="J296" s="589"/>
      <c r="K296" s="637" t="s">
        <v>1071</v>
      </c>
      <c r="L296" s="806">
        <v>6</v>
      </c>
      <c r="M296" s="806">
        <v>42</v>
      </c>
      <c r="N296" s="807">
        <v>41425</v>
      </c>
    </row>
    <row r="297" spans="1:14">
      <c r="A297" s="804" t="s">
        <v>1488</v>
      </c>
      <c r="B297" s="583">
        <v>12</v>
      </c>
      <c r="C297" s="243">
        <v>41415</v>
      </c>
      <c r="D297" s="243">
        <v>41415</v>
      </c>
      <c r="E297" s="589" t="s">
        <v>185</v>
      </c>
      <c r="F297" s="589" t="s">
        <v>1392</v>
      </c>
      <c r="G297" s="589" t="s">
        <v>1483</v>
      </c>
      <c r="H297" s="589">
        <v>177</v>
      </c>
      <c r="I297" s="583">
        <v>177</v>
      </c>
      <c r="J297" s="589"/>
      <c r="K297" s="589" t="s">
        <v>1071</v>
      </c>
      <c r="L297" s="806">
        <v>2</v>
      </c>
      <c r="M297" s="806">
        <v>8</v>
      </c>
      <c r="N297" s="807">
        <v>41416</v>
      </c>
    </row>
    <row r="298" spans="1:14">
      <c r="A298" s="804" t="s">
        <v>1488</v>
      </c>
      <c r="B298" s="583">
        <v>12</v>
      </c>
      <c r="C298" s="243">
        <v>41415</v>
      </c>
      <c r="D298" s="243">
        <v>41415</v>
      </c>
      <c r="E298" s="589" t="s">
        <v>245</v>
      </c>
      <c r="F298" s="589" t="s">
        <v>1392</v>
      </c>
      <c r="G298" s="589" t="s">
        <v>991</v>
      </c>
      <c r="H298" s="589">
        <v>29</v>
      </c>
      <c r="I298" s="823">
        <v>29</v>
      </c>
      <c r="J298" s="589" t="s">
        <v>1419</v>
      </c>
      <c r="K298" s="637" t="s">
        <v>1071</v>
      </c>
      <c r="L298" s="809">
        <v>5</v>
      </c>
      <c r="M298" s="809">
        <v>35</v>
      </c>
      <c r="N298" s="807">
        <v>41430</v>
      </c>
    </row>
    <row r="299" spans="1:14">
      <c r="A299" s="804" t="s">
        <v>1488</v>
      </c>
      <c r="B299" s="583">
        <v>12</v>
      </c>
      <c r="C299" s="243">
        <v>41415</v>
      </c>
      <c r="D299" s="243">
        <v>41415</v>
      </c>
      <c r="E299" s="589" t="s">
        <v>179</v>
      </c>
      <c r="F299" s="589" t="s">
        <v>1392</v>
      </c>
      <c r="G299" s="805" t="s">
        <v>1000</v>
      </c>
      <c r="H299" s="589">
        <v>30</v>
      </c>
      <c r="I299" s="583">
        <v>30</v>
      </c>
      <c r="J299" s="589"/>
      <c r="K299" s="589" t="s">
        <v>1071</v>
      </c>
      <c r="L299" s="806">
        <v>2</v>
      </c>
      <c r="M299" s="806">
        <v>8</v>
      </c>
      <c r="N299" s="807">
        <v>41425</v>
      </c>
    </row>
    <row r="300" spans="1:14">
      <c r="A300" s="804" t="s">
        <v>1489</v>
      </c>
      <c r="B300" s="583" t="s">
        <v>440</v>
      </c>
      <c r="C300" s="243">
        <v>41415</v>
      </c>
      <c r="D300" s="243">
        <v>41415</v>
      </c>
      <c r="E300" s="584" t="s">
        <v>206</v>
      </c>
      <c r="F300" s="589" t="s">
        <v>1392</v>
      </c>
      <c r="G300" s="805" t="s">
        <v>996</v>
      </c>
      <c r="H300" s="589">
        <v>546</v>
      </c>
      <c r="I300" s="583">
        <v>546</v>
      </c>
      <c r="J300" s="589"/>
      <c r="K300" s="637" t="s">
        <v>1071</v>
      </c>
      <c r="L300" s="806">
        <v>6</v>
      </c>
      <c r="M300" s="806">
        <v>42</v>
      </c>
      <c r="N300" s="807">
        <v>41425</v>
      </c>
    </row>
    <row r="301" spans="1:14">
      <c r="A301" s="804" t="s">
        <v>1489</v>
      </c>
      <c r="B301" s="585" t="s">
        <v>440</v>
      </c>
      <c r="C301" s="243">
        <v>41415</v>
      </c>
      <c r="D301" s="243">
        <v>41415</v>
      </c>
      <c r="E301" s="589" t="s">
        <v>185</v>
      </c>
      <c r="F301" s="589" t="s">
        <v>1392</v>
      </c>
      <c r="G301" s="805" t="s">
        <v>996</v>
      </c>
      <c r="H301" s="589">
        <v>188</v>
      </c>
      <c r="I301" s="583">
        <v>188</v>
      </c>
      <c r="J301" s="589"/>
      <c r="K301" s="637" t="s">
        <v>1071</v>
      </c>
      <c r="L301" s="806">
        <v>2</v>
      </c>
      <c r="M301" s="806">
        <v>8</v>
      </c>
      <c r="N301" s="807">
        <v>41416</v>
      </c>
    </row>
    <row r="302" spans="1:14">
      <c r="A302" s="804" t="s">
        <v>1489</v>
      </c>
      <c r="B302" s="585" t="s">
        <v>440</v>
      </c>
      <c r="C302" s="243">
        <v>41415</v>
      </c>
      <c r="D302" s="243">
        <v>41415</v>
      </c>
      <c r="E302" s="589" t="s">
        <v>245</v>
      </c>
      <c r="F302" s="589" t="s">
        <v>1392</v>
      </c>
      <c r="G302" s="589" t="s">
        <v>1483</v>
      </c>
      <c r="H302" s="589">
        <v>30</v>
      </c>
      <c r="I302" s="583">
        <v>30</v>
      </c>
      <c r="J302" s="589" t="s">
        <v>1419</v>
      </c>
      <c r="K302" s="589" t="s">
        <v>1071</v>
      </c>
      <c r="L302" s="809">
        <v>5</v>
      </c>
      <c r="M302" s="809">
        <v>35</v>
      </c>
      <c r="N302" s="807">
        <v>41430</v>
      </c>
    </row>
    <row r="303" spans="1:14">
      <c r="A303" s="804" t="s">
        <v>1489</v>
      </c>
      <c r="B303" s="585" t="s">
        <v>440</v>
      </c>
      <c r="C303" s="243">
        <v>41415</v>
      </c>
      <c r="D303" s="243">
        <v>41415</v>
      </c>
      <c r="E303" s="589" t="s">
        <v>179</v>
      </c>
      <c r="F303" s="589" t="s">
        <v>1392</v>
      </c>
      <c r="G303" s="805" t="s">
        <v>1000</v>
      </c>
      <c r="H303" s="589">
        <v>34</v>
      </c>
      <c r="I303" s="583">
        <v>34</v>
      </c>
      <c r="J303" s="589"/>
      <c r="K303" s="589" t="s">
        <v>1071</v>
      </c>
      <c r="L303" s="806">
        <v>2</v>
      </c>
      <c r="M303" s="806">
        <v>8</v>
      </c>
      <c r="N303" s="807">
        <v>41425</v>
      </c>
    </row>
    <row r="304" spans="1:14">
      <c r="A304" s="804" t="s">
        <v>1490</v>
      </c>
      <c r="B304" s="583" t="s">
        <v>1137</v>
      </c>
      <c r="C304" s="243">
        <v>41415</v>
      </c>
      <c r="D304" s="243">
        <v>41415</v>
      </c>
      <c r="E304" s="584" t="s">
        <v>206</v>
      </c>
      <c r="F304" s="589" t="s">
        <v>1392</v>
      </c>
      <c r="G304" s="805" t="s">
        <v>996</v>
      </c>
      <c r="H304" s="589">
        <v>521</v>
      </c>
      <c r="I304" s="583">
        <v>521</v>
      </c>
      <c r="J304" s="589"/>
      <c r="K304" s="637" t="s">
        <v>1071</v>
      </c>
      <c r="L304" s="806">
        <v>6</v>
      </c>
      <c r="M304" s="806">
        <v>42</v>
      </c>
      <c r="N304" s="807">
        <v>41425</v>
      </c>
    </row>
    <row r="305" spans="1:14">
      <c r="A305" s="804" t="s">
        <v>1490</v>
      </c>
      <c r="B305" s="583" t="s">
        <v>1137</v>
      </c>
      <c r="C305" s="243">
        <v>41415</v>
      </c>
      <c r="D305" s="243">
        <v>41415</v>
      </c>
      <c r="E305" s="589" t="s">
        <v>185</v>
      </c>
      <c r="F305" s="589" t="s">
        <v>1392</v>
      </c>
      <c r="G305" s="589" t="s">
        <v>1483</v>
      </c>
      <c r="H305" s="589">
        <v>177</v>
      </c>
      <c r="I305" s="583">
        <v>177</v>
      </c>
      <c r="J305" s="589"/>
      <c r="K305" s="589" t="s">
        <v>1071</v>
      </c>
      <c r="L305" s="806">
        <v>2</v>
      </c>
      <c r="M305" s="806">
        <v>8</v>
      </c>
      <c r="N305" s="807">
        <v>41416</v>
      </c>
    </row>
    <row r="306" spans="1:14">
      <c r="A306" s="804" t="s">
        <v>1490</v>
      </c>
      <c r="B306" s="583" t="s">
        <v>1137</v>
      </c>
      <c r="C306" s="243">
        <v>41415</v>
      </c>
      <c r="D306" s="243">
        <v>41415</v>
      </c>
      <c r="E306" s="589" t="s">
        <v>245</v>
      </c>
      <c r="F306" s="589" t="s">
        <v>1392</v>
      </c>
      <c r="G306" s="589" t="s">
        <v>1483</v>
      </c>
      <c r="H306" s="589">
        <v>27</v>
      </c>
      <c r="I306" s="583">
        <v>27</v>
      </c>
      <c r="J306" s="589" t="s">
        <v>1419</v>
      </c>
      <c r="K306" s="589" t="s">
        <v>1071</v>
      </c>
      <c r="L306" s="809">
        <v>5</v>
      </c>
      <c r="M306" s="809">
        <v>35</v>
      </c>
      <c r="N306" s="807">
        <v>41430</v>
      </c>
    </row>
    <row r="307" spans="1:14">
      <c r="A307" s="804" t="s">
        <v>1490</v>
      </c>
      <c r="B307" s="583" t="s">
        <v>1137</v>
      </c>
      <c r="C307" s="243">
        <v>41415</v>
      </c>
      <c r="D307" s="243">
        <v>41415</v>
      </c>
      <c r="E307" s="589" t="s">
        <v>179</v>
      </c>
      <c r="F307" s="589" t="s">
        <v>1392</v>
      </c>
      <c r="G307" s="805" t="s">
        <v>1000</v>
      </c>
      <c r="H307" s="589">
        <v>38</v>
      </c>
      <c r="I307" s="583">
        <v>38</v>
      </c>
      <c r="J307" s="589"/>
      <c r="K307" s="589" t="s">
        <v>1071</v>
      </c>
      <c r="L307" s="806">
        <v>2</v>
      </c>
      <c r="M307" s="806">
        <v>8</v>
      </c>
      <c r="N307" s="807">
        <v>41425</v>
      </c>
    </row>
    <row r="308" spans="1:14">
      <c r="A308" s="804" t="s">
        <v>1491</v>
      </c>
      <c r="B308" s="583">
        <v>34</v>
      </c>
      <c r="C308" s="243">
        <v>41415</v>
      </c>
      <c r="D308" s="243">
        <v>41415</v>
      </c>
      <c r="E308" s="584" t="s">
        <v>206</v>
      </c>
      <c r="F308" s="589" t="s">
        <v>1392</v>
      </c>
      <c r="G308" s="805" t="s">
        <v>996</v>
      </c>
      <c r="H308" s="589">
        <v>791</v>
      </c>
      <c r="I308" s="583">
        <v>791</v>
      </c>
      <c r="J308" s="589"/>
      <c r="K308" s="637" t="s">
        <v>1071</v>
      </c>
      <c r="L308" s="806">
        <v>6</v>
      </c>
      <c r="M308" s="806">
        <v>42</v>
      </c>
      <c r="N308" s="807">
        <v>41425</v>
      </c>
    </row>
    <row r="309" spans="1:14">
      <c r="A309" s="804" t="s">
        <v>1491</v>
      </c>
      <c r="B309" s="583">
        <v>34</v>
      </c>
      <c r="C309" s="243">
        <v>41415</v>
      </c>
      <c r="D309" s="243">
        <v>41415</v>
      </c>
      <c r="E309" s="589" t="s">
        <v>185</v>
      </c>
      <c r="F309" s="589" t="s">
        <v>1392</v>
      </c>
      <c r="G309" s="589" t="s">
        <v>1483</v>
      </c>
      <c r="H309" s="589">
        <v>530</v>
      </c>
      <c r="I309" s="583">
        <v>530</v>
      </c>
      <c r="J309" s="589"/>
      <c r="K309" s="589" t="s">
        <v>1071</v>
      </c>
      <c r="L309" s="806">
        <v>2</v>
      </c>
      <c r="M309" s="806">
        <v>8</v>
      </c>
      <c r="N309" s="807">
        <v>41416</v>
      </c>
    </row>
    <row r="310" spans="1:14">
      <c r="A310" s="804" t="s">
        <v>1491</v>
      </c>
      <c r="B310" s="583">
        <v>34</v>
      </c>
      <c r="C310" s="243">
        <v>41415</v>
      </c>
      <c r="D310" s="243">
        <v>41415</v>
      </c>
      <c r="E310" s="589" t="s">
        <v>245</v>
      </c>
      <c r="F310" s="589" t="s">
        <v>1392</v>
      </c>
      <c r="G310" s="589" t="s">
        <v>991</v>
      </c>
      <c r="H310" s="589">
        <v>28</v>
      </c>
      <c r="I310" s="823">
        <v>28</v>
      </c>
      <c r="J310" s="589" t="s">
        <v>1419</v>
      </c>
      <c r="K310" s="637" t="s">
        <v>1071</v>
      </c>
      <c r="L310" s="809">
        <v>5</v>
      </c>
      <c r="M310" s="809">
        <v>35</v>
      </c>
      <c r="N310" s="807">
        <v>41430</v>
      </c>
    </row>
    <row r="311" spans="1:14">
      <c r="A311" s="804" t="s">
        <v>1491</v>
      </c>
      <c r="B311" s="583">
        <v>34</v>
      </c>
      <c r="C311" s="243">
        <v>41415</v>
      </c>
      <c r="D311" s="243">
        <v>41415</v>
      </c>
      <c r="E311" s="589" t="s">
        <v>179</v>
      </c>
      <c r="F311" s="589" t="s">
        <v>1392</v>
      </c>
      <c r="G311" s="805" t="s">
        <v>1000</v>
      </c>
      <c r="H311" s="589">
        <v>9</v>
      </c>
      <c r="I311" s="583">
        <v>9</v>
      </c>
      <c r="J311" s="589"/>
      <c r="K311" s="589" t="s">
        <v>1071</v>
      </c>
      <c r="L311" s="806">
        <v>2</v>
      </c>
      <c r="M311" s="806">
        <v>8</v>
      </c>
      <c r="N311" s="807">
        <v>41425</v>
      </c>
    </row>
    <row r="312" spans="1:14">
      <c r="A312" s="804" t="s">
        <v>1492</v>
      </c>
      <c r="B312" s="583">
        <v>18</v>
      </c>
      <c r="C312" s="243">
        <v>41415</v>
      </c>
      <c r="D312" s="243">
        <v>41415</v>
      </c>
      <c r="E312" s="584" t="s">
        <v>206</v>
      </c>
      <c r="F312" s="589" t="s">
        <v>1392</v>
      </c>
      <c r="G312" s="805" t="s">
        <v>996</v>
      </c>
      <c r="H312" s="589">
        <v>604</v>
      </c>
      <c r="I312" s="583">
        <v>604</v>
      </c>
      <c r="J312" s="589"/>
      <c r="K312" s="637" t="s">
        <v>1071</v>
      </c>
      <c r="L312" s="806">
        <v>6</v>
      </c>
      <c r="M312" s="806">
        <v>42</v>
      </c>
      <c r="N312" s="807">
        <v>41425</v>
      </c>
    </row>
    <row r="313" spans="1:14">
      <c r="A313" s="804" t="s">
        <v>1492</v>
      </c>
      <c r="B313" s="583">
        <v>18</v>
      </c>
      <c r="C313" s="243">
        <v>41415</v>
      </c>
      <c r="D313" s="243">
        <v>41415</v>
      </c>
      <c r="E313" s="589" t="s">
        <v>185</v>
      </c>
      <c r="F313" s="589" t="s">
        <v>1392</v>
      </c>
      <c r="G313" s="589" t="s">
        <v>1483</v>
      </c>
      <c r="H313" s="589">
        <v>43</v>
      </c>
      <c r="I313" s="583">
        <v>43</v>
      </c>
      <c r="J313" s="589"/>
      <c r="K313" s="589" t="s">
        <v>1071</v>
      </c>
      <c r="L313" s="806">
        <v>2</v>
      </c>
      <c r="M313" s="806">
        <v>8</v>
      </c>
      <c r="N313" s="807">
        <v>41416</v>
      </c>
    </row>
    <row r="314" spans="1:14">
      <c r="A314" s="804" t="s">
        <v>1492</v>
      </c>
      <c r="B314" s="583">
        <v>18</v>
      </c>
      <c r="C314" s="243">
        <v>41415</v>
      </c>
      <c r="D314" s="243">
        <v>41415</v>
      </c>
      <c r="E314" s="589" t="s">
        <v>245</v>
      </c>
      <c r="F314" s="589" t="s">
        <v>1392</v>
      </c>
      <c r="G314" s="589" t="s">
        <v>991</v>
      </c>
      <c r="H314" s="589">
        <v>25</v>
      </c>
      <c r="I314" s="823">
        <v>25</v>
      </c>
      <c r="J314" s="589" t="s">
        <v>1419</v>
      </c>
      <c r="K314" s="637" t="s">
        <v>1071</v>
      </c>
      <c r="L314" s="809">
        <v>5</v>
      </c>
      <c r="M314" s="809">
        <v>35</v>
      </c>
      <c r="N314" s="807">
        <v>41430</v>
      </c>
    </row>
    <row r="315" spans="1:14">
      <c r="A315" s="804" t="s">
        <v>1492</v>
      </c>
      <c r="B315" s="583">
        <v>18</v>
      </c>
      <c r="C315" s="243">
        <v>41415</v>
      </c>
      <c r="D315" s="243">
        <v>41415</v>
      </c>
      <c r="E315" s="589" t="s">
        <v>179</v>
      </c>
      <c r="F315" s="589" t="s">
        <v>1392</v>
      </c>
      <c r="G315" s="805" t="s">
        <v>1000</v>
      </c>
      <c r="H315" s="589">
        <v>15</v>
      </c>
      <c r="I315" s="583">
        <v>15</v>
      </c>
      <c r="J315" s="589"/>
      <c r="K315" s="589" t="s">
        <v>1071</v>
      </c>
      <c r="L315" s="806">
        <v>2</v>
      </c>
      <c r="M315" s="806">
        <v>8</v>
      </c>
      <c r="N315" s="807">
        <v>41425</v>
      </c>
    </row>
    <row r="316" spans="1:14">
      <c r="A316" s="804" t="s">
        <v>1493</v>
      </c>
      <c r="B316" s="583">
        <v>19</v>
      </c>
      <c r="C316" s="243">
        <v>41415</v>
      </c>
      <c r="D316" s="243">
        <v>41415</v>
      </c>
      <c r="E316" s="584" t="s">
        <v>206</v>
      </c>
      <c r="F316" s="589" t="s">
        <v>1392</v>
      </c>
      <c r="G316" s="805" t="s">
        <v>996</v>
      </c>
      <c r="H316" s="589">
        <v>694</v>
      </c>
      <c r="I316" s="583">
        <v>694</v>
      </c>
      <c r="J316" s="589"/>
      <c r="K316" s="637" t="s">
        <v>1071</v>
      </c>
      <c r="L316" s="806">
        <v>6</v>
      </c>
      <c r="M316" s="806">
        <v>42</v>
      </c>
      <c r="N316" s="807">
        <v>41425</v>
      </c>
    </row>
    <row r="317" spans="1:14">
      <c r="A317" s="804" t="s">
        <v>1493</v>
      </c>
      <c r="B317" s="583">
        <v>19</v>
      </c>
      <c r="C317" s="243">
        <v>41415</v>
      </c>
      <c r="D317" s="243">
        <v>41415</v>
      </c>
      <c r="E317" s="589" t="s">
        <v>185</v>
      </c>
      <c r="F317" s="589" t="s">
        <v>1392</v>
      </c>
      <c r="G317" s="589" t="s">
        <v>1483</v>
      </c>
      <c r="H317" s="589">
        <v>512</v>
      </c>
      <c r="I317" s="583">
        <v>512</v>
      </c>
      <c r="J317" s="589"/>
      <c r="K317" s="589" t="s">
        <v>1071</v>
      </c>
      <c r="L317" s="806">
        <v>2</v>
      </c>
      <c r="M317" s="806">
        <v>8</v>
      </c>
      <c r="N317" s="807">
        <v>41416</v>
      </c>
    </row>
    <row r="318" spans="1:14">
      <c r="A318" s="804" t="s">
        <v>1493</v>
      </c>
      <c r="B318" s="583">
        <v>19</v>
      </c>
      <c r="C318" s="243">
        <v>41415</v>
      </c>
      <c r="D318" s="243">
        <v>41415</v>
      </c>
      <c r="E318" s="589" t="s">
        <v>245</v>
      </c>
      <c r="F318" s="589" t="s">
        <v>1392</v>
      </c>
      <c r="G318" s="589" t="s">
        <v>991</v>
      </c>
      <c r="H318" s="589">
        <v>29</v>
      </c>
      <c r="I318" s="823">
        <v>29</v>
      </c>
      <c r="J318" s="589" t="s">
        <v>1419</v>
      </c>
      <c r="K318" s="637" t="s">
        <v>1071</v>
      </c>
      <c r="L318" s="809">
        <v>5</v>
      </c>
      <c r="M318" s="809">
        <v>35</v>
      </c>
      <c r="N318" s="807">
        <v>41430</v>
      </c>
    </row>
    <row r="319" spans="1:14">
      <c r="A319" s="804" t="s">
        <v>1493</v>
      </c>
      <c r="B319" s="583">
        <v>19</v>
      </c>
      <c r="C319" s="243">
        <v>41415</v>
      </c>
      <c r="D319" s="243">
        <v>41415</v>
      </c>
      <c r="E319" s="589" t="s">
        <v>179</v>
      </c>
      <c r="F319" s="589" t="s">
        <v>1392</v>
      </c>
      <c r="G319" s="805" t="s">
        <v>1000</v>
      </c>
      <c r="H319" s="589">
        <v>21</v>
      </c>
      <c r="I319" s="583">
        <v>21</v>
      </c>
      <c r="J319" s="589"/>
      <c r="K319" s="589" t="s">
        <v>1071</v>
      </c>
      <c r="L319" s="806">
        <v>2</v>
      </c>
      <c r="M319" s="806">
        <v>8</v>
      </c>
      <c r="N319" s="807">
        <v>41425</v>
      </c>
    </row>
    <row r="320" spans="1:14">
      <c r="A320" s="804" t="s">
        <v>1494</v>
      </c>
      <c r="B320" s="583">
        <v>58</v>
      </c>
      <c r="C320" s="243">
        <v>41415</v>
      </c>
      <c r="D320" s="243">
        <v>41415</v>
      </c>
      <c r="E320" s="584" t="s">
        <v>206</v>
      </c>
      <c r="F320" s="589" t="s">
        <v>1392</v>
      </c>
      <c r="G320" s="805" t="s">
        <v>996</v>
      </c>
      <c r="H320" s="589">
        <v>289</v>
      </c>
      <c r="I320" s="583">
        <v>289</v>
      </c>
      <c r="J320" s="589"/>
      <c r="K320" s="637" t="s">
        <v>1071</v>
      </c>
      <c r="L320" s="806">
        <v>6</v>
      </c>
      <c r="M320" s="806">
        <v>42</v>
      </c>
      <c r="N320" s="807">
        <v>41425</v>
      </c>
    </row>
    <row r="321" spans="1:14">
      <c r="A321" s="804" t="s">
        <v>1494</v>
      </c>
      <c r="B321" s="583">
        <v>58</v>
      </c>
      <c r="C321" s="243">
        <v>41415</v>
      </c>
      <c r="D321" s="243">
        <v>41415</v>
      </c>
      <c r="E321" s="589" t="s">
        <v>185</v>
      </c>
      <c r="F321" s="589" t="s">
        <v>1392</v>
      </c>
      <c r="G321" s="589" t="s">
        <v>1483</v>
      </c>
      <c r="H321" s="589">
        <v>27</v>
      </c>
      <c r="I321" s="583">
        <v>27</v>
      </c>
      <c r="J321" s="589"/>
      <c r="K321" s="589" t="s">
        <v>1071</v>
      </c>
      <c r="L321" s="806">
        <v>2</v>
      </c>
      <c r="M321" s="806">
        <v>8</v>
      </c>
      <c r="N321" s="807">
        <v>41416</v>
      </c>
    </row>
    <row r="322" spans="1:14">
      <c r="A322" s="804" t="s">
        <v>1494</v>
      </c>
      <c r="B322" s="583">
        <v>58</v>
      </c>
      <c r="C322" s="243">
        <v>41415</v>
      </c>
      <c r="D322" s="243">
        <v>41415</v>
      </c>
      <c r="E322" s="589" t="s">
        <v>245</v>
      </c>
      <c r="F322" s="589" t="s">
        <v>1392</v>
      </c>
      <c r="G322" s="589" t="s">
        <v>991</v>
      </c>
      <c r="H322" s="589">
        <v>21</v>
      </c>
      <c r="I322" s="823">
        <v>21</v>
      </c>
      <c r="J322" s="589" t="s">
        <v>1419</v>
      </c>
      <c r="K322" s="637" t="s">
        <v>1071</v>
      </c>
      <c r="L322" s="809">
        <v>5</v>
      </c>
      <c r="M322" s="809">
        <v>35</v>
      </c>
      <c r="N322" s="807">
        <v>41430</v>
      </c>
    </row>
    <row r="323" spans="1:14">
      <c r="A323" s="804" t="s">
        <v>1494</v>
      </c>
      <c r="B323" s="583">
        <v>58</v>
      </c>
      <c r="C323" s="243">
        <v>41415</v>
      </c>
      <c r="D323" s="243">
        <v>41415</v>
      </c>
      <c r="E323" s="589" t="s">
        <v>179</v>
      </c>
      <c r="F323" s="589" t="s">
        <v>1392</v>
      </c>
      <c r="G323" s="805" t="s">
        <v>1000</v>
      </c>
      <c r="H323" s="589">
        <v>25</v>
      </c>
      <c r="I323" s="583">
        <v>25</v>
      </c>
      <c r="J323" s="589"/>
      <c r="K323" s="589" t="s">
        <v>1071</v>
      </c>
      <c r="L323" s="806">
        <v>2</v>
      </c>
      <c r="M323" s="806">
        <v>8</v>
      </c>
      <c r="N323" s="807">
        <v>41425</v>
      </c>
    </row>
    <row r="324" spans="1:14">
      <c r="A324" s="804" t="s">
        <v>1495</v>
      </c>
      <c r="B324" s="583" t="s">
        <v>1136</v>
      </c>
      <c r="C324" s="243">
        <v>41415</v>
      </c>
      <c r="D324" s="243">
        <v>41415</v>
      </c>
      <c r="E324" s="584" t="s">
        <v>206</v>
      </c>
      <c r="F324" s="589" t="s">
        <v>1392</v>
      </c>
      <c r="G324" s="805" t="s">
        <v>996</v>
      </c>
      <c r="H324" s="589">
        <v>341</v>
      </c>
      <c r="I324" s="583">
        <v>341</v>
      </c>
      <c r="J324" s="589"/>
      <c r="K324" s="637" t="s">
        <v>1071</v>
      </c>
      <c r="L324" s="806">
        <v>6</v>
      </c>
      <c r="M324" s="806">
        <v>42</v>
      </c>
      <c r="N324" s="807">
        <v>41425</v>
      </c>
    </row>
    <row r="325" spans="1:14">
      <c r="A325" s="804" t="s">
        <v>1495</v>
      </c>
      <c r="B325" s="583" t="s">
        <v>1136</v>
      </c>
      <c r="C325" s="243">
        <v>41415</v>
      </c>
      <c r="D325" s="243">
        <v>41415</v>
      </c>
      <c r="E325" s="589" t="s">
        <v>185</v>
      </c>
      <c r="F325" s="589" t="s">
        <v>1392</v>
      </c>
      <c r="G325" s="589" t="s">
        <v>1483</v>
      </c>
      <c r="H325" s="589">
        <v>16</v>
      </c>
      <c r="I325" s="583">
        <v>16</v>
      </c>
      <c r="J325" s="589"/>
      <c r="K325" s="589" t="s">
        <v>1071</v>
      </c>
      <c r="L325" s="806">
        <v>2</v>
      </c>
      <c r="M325" s="806">
        <v>8</v>
      </c>
      <c r="N325" s="807">
        <v>41416</v>
      </c>
    </row>
    <row r="326" spans="1:14">
      <c r="A326" s="804" t="s">
        <v>1495</v>
      </c>
      <c r="B326" s="583" t="s">
        <v>1136</v>
      </c>
      <c r="C326" s="243">
        <v>41415</v>
      </c>
      <c r="D326" s="243">
        <v>41415</v>
      </c>
      <c r="E326" s="589" t="s">
        <v>245</v>
      </c>
      <c r="F326" s="589" t="s">
        <v>1392</v>
      </c>
      <c r="G326" s="589" t="s">
        <v>991</v>
      </c>
      <c r="H326" s="589">
        <v>28</v>
      </c>
      <c r="I326" s="823">
        <v>28</v>
      </c>
      <c r="J326" s="589" t="s">
        <v>1419</v>
      </c>
      <c r="K326" s="637" t="s">
        <v>1071</v>
      </c>
      <c r="L326" s="809">
        <v>5</v>
      </c>
      <c r="M326" s="809">
        <v>35</v>
      </c>
      <c r="N326" s="807">
        <v>41430</v>
      </c>
    </row>
    <row r="327" spans="1:14">
      <c r="A327" s="804" t="s">
        <v>1495</v>
      </c>
      <c r="B327" s="583" t="s">
        <v>1136</v>
      </c>
      <c r="C327" s="243">
        <v>41415</v>
      </c>
      <c r="D327" s="243">
        <v>41415</v>
      </c>
      <c r="E327" s="589" t="s">
        <v>179</v>
      </c>
      <c r="F327" s="589" t="s">
        <v>1392</v>
      </c>
      <c r="G327" s="805" t="s">
        <v>1000</v>
      </c>
      <c r="H327" s="589">
        <v>36</v>
      </c>
      <c r="I327" s="583">
        <v>36</v>
      </c>
      <c r="J327" s="589"/>
      <c r="K327" s="589" t="s">
        <v>1071</v>
      </c>
      <c r="L327" s="806">
        <v>2</v>
      </c>
      <c r="M327" s="806">
        <v>8</v>
      </c>
      <c r="N327" s="807">
        <v>41425</v>
      </c>
    </row>
    <row r="328" spans="1:14">
      <c r="A328" s="804" t="s">
        <v>1496</v>
      </c>
      <c r="B328" s="583" t="s">
        <v>1135</v>
      </c>
      <c r="C328" s="243">
        <v>41415</v>
      </c>
      <c r="D328" s="243">
        <v>41415</v>
      </c>
      <c r="E328" s="584" t="s">
        <v>206</v>
      </c>
      <c r="F328" s="589" t="s">
        <v>1392</v>
      </c>
      <c r="G328" s="805" t="s">
        <v>996</v>
      </c>
      <c r="H328" s="589">
        <v>195</v>
      </c>
      <c r="I328" s="583">
        <v>195</v>
      </c>
      <c r="J328" s="589"/>
      <c r="K328" s="637" t="s">
        <v>1071</v>
      </c>
      <c r="L328" s="806">
        <v>6</v>
      </c>
      <c r="M328" s="806">
        <v>42</v>
      </c>
      <c r="N328" s="807">
        <v>41425</v>
      </c>
    </row>
    <row r="329" spans="1:14">
      <c r="A329" s="804" t="s">
        <v>1496</v>
      </c>
      <c r="B329" s="583" t="s">
        <v>1135</v>
      </c>
      <c r="C329" s="243">
        <v>41415</v>
      </c>
      <c r="D329" s="243">
        <v>41415</v>
      </c>
      <c r="E329" s="589" t="s">
        <v>185</v>
      </c>
      <c r="F329" s="589" t="s">
        <v>1392</v>
      </c>
      <c r="G329" s="589" t="s">
        <v>1483</v>
      </c>
      <c r="H329" s="589">
        <v>19</v>
      </c>
      <c r="I329" s="583">
        <v>19</v>
      </c>
      <c r="J329" s="589"/>
      <c r="K329" s="589" t="s">
        <v>1071</v>
      </c>
      <c r="L329" s="806">
        <v>2</v>
      </c>
      <c r="M329" s="806">
        <v>8</v>
      </c>
      <c r="N329" s="807">
        <v>41416</v>
      </c>
    </row>
    <row r="330" spans="1:14">
      <c r="A330" s="804" t="s">
        <v>1496</v>
      </c>
      <c r="B330" s="583" t="s">
        <v>1135</v>
      </c>
      <c r="C330" s="243">
        <v>41415</v>
      </c>
      <c r="D330" s="243">
        <v>41415</v>
      </c>
      <c r="E330" s="589" t="s">
        <v>245</v>
      </c>
      <c r="F330" s="589" t="s">
        <v>1392</v>
      </c>
      <c r="G330" s="589" t="s">
        <v>991</v>
      </c>
      <c r="H330" s="589">
        <v>31</v>
      </c>
      <c r="I330" s="823">
        <v>31</v>
      </c>
      <c r="J330" s="589" t="s">
        <v>1419</v>
      </c>
      <c r="K330" s="637" t="s">
        <v>1071</v>
      </c>
      <c r="L330" s="809">
        <v>5</v>
      </c>
      <c r="M330" s="809">
        <v>35</v>
      </c>
      <c r="N330" s="807">
        <v>41430</v>
      </c>
    </row>
    <row r="331" spans="1:14">
      <c r="A331" s="804" t="s">
        <v>1496</v>
      </c>
      <c r="B331" s="583" t="s">
        <v>1135</v>
      </c>
      <c r="C331" s="243">
        <v>41415</v>
      </c>
      <c r="D331" s="243">
        <v>41415</v>
      </c>
      <c r="E331" s="589" t="s">
        <v>179</v>
      </c>
      <c r="F331" s="589" t="s">
        <v>1392</v>
      </c>
      <c r="G331" s="805" t="s">
        <v>1000</v>
      </c>
      <c r="H331" s="589">
        <v>21</v>
      </c>
      <c r="I331" s="583">
        <v>21</v>
      </c>
      <c r="J331" s="589"/>
      <c r="K331" s="589" t="s">
        <v>1071</v>
      </c>
      <c r="L331" s="806">
        <v>2</v>
      </c>
      <c r="M331" s="806">
        <v>8</v>
      </c>
      <c r="N331" s="807">
        <v>41425</v>
      </c>
    </row>
    <row r="333" spans="1:14">
      <c r="A333" s="804" t="s">
        <v>1497</v>
      </c>
      <c r="B333" s="583" t="s">
        <v>1049</v>
      </c>
      <c r="C333" s="243">
        <v>41417</v>
      </c>
      <c r="D333" s="243">
        <v>41417</v>
      </c>
      <c r="E333" s="584" t="s">
        <v>206</v>
      </c>
      <c r="F333" s="589" t="s">
        <v>1392</v>
      </c>
      <c r="G333" s="805" t="s">
        <v>996</v>
      </c>
      <c r="H333" s="589">
        <v>6513</v>
      </c>
      <c r="I333" s="583">
        <v>6513</v>
      </c>
      <c r="J333" s="589"/>
      <c r="K333" s="637" t="s">
        <v>1071</v>
      </c>
      <c r="L333" s="806">
        <v>6</v>
      </c>
      <c r="M333" s="806">
        <v>42</v>
      </c>
      <c r="N333" s="807">
        <v>41425</v>
      </c>
    </row>
    <row r="334" spans="1:14">
      <c r="A334" s="688" t="s">
        <v>1497</v>
      </c>
      <c r="B334" s="583" t="s">
        <v>1049</v>
      </c>
      <c r="C334" s="243">
        <v>41417</v>
      </c>
      <c r="D334" s="243">
        <v>41417</v>
      </c>
      <c r="E334" s="589" t="s">
        <v>185</v>
      </c>
      <c r="F334" s="589" t="s">
        <v>1392</v>
      </c>
      <c r="G334" s="589" t="s">
        <v>1483</v>
      </c>
      <c r="H334" s="589">
        <v>5433</v>
      </c>
      <c r="I334" s="583">
        <v>5433</v>
      </c>
      <c r="J334" s="589"/>
      <c r="K334" s="589" t="s">
        <v>1071</v>
      </c>
      <c r="L334" s="806">
        <v>2</v>
      </c>
      <c r="M334" s="806">
        <v>8</v>
      </c>
      <c r="N334" s="807">
        <v>41418</v>
      </c>
    </row>
    <row r="335" spans="1:14">
      <c r="A335" s="688" t="s">
        <v>1497</v>
      </c>
      <c r="B335" s="583" t="s">
        <v>1049</v>
      </c>
      <c r="C335" s="243">
        <v>41417</v>
      </c>
      <c r="D335" s="243">
        <v>41417</v>
      </c>
      <c r="E335" s="589" t="s">
        <v>245</v>
      </c>
      <c r="F335" s="589" t="s">
        <v>1392</v>
      </c>
      <c r="G335" s="589" t="s">
        <v>991</v>
      </c>
      <c r="H335" s="589">
        <v>49</v>
      </c>
      <c r="I335" s="808" t="s">
        <v>1498</v>
      </c>
      <c r="J335" s="688"/>
      <c r="K335" s="637" t="s">
        <v>1071</v>
      </c>
      <c r="L335" s="809">
        <v>5</v>
      </c>
      <c r="M335" s="809">
        <v>35</v>
      </c>
      <c r="N335" s="807">
        <v>41430</v>
      </c>
    </row>
    <row r="336" spans="1:14">
      <c r="A336" s="688" t="s">
        <v>1497</v>
      </c>
      <c r="B336" s="583" t="s">
        <v>1049</v>
      </c>
      <c r="C336" s="243">
        <v>41417</v>
      </c>
      <c r="D336" s="243">
        <v>41417</v>
      </c>
      <c r="E336" s="589" t="s">
        <v>179</v>
      </c>
      <c r="F336" s="589" t="s">
        <v>1392</v>
      </c>
      <c r="G336" s="805" t="s">
        <v>1000</v>
      </c>
      <c r="H336" s="589">
        <v>158</v>
      </c>
      <c r="I336" s="583">
        <v>158</v>
      </c>
      <c r="J336" s="589"/>
      <c r="K336" s="589" t="s">
        <v>1071</v>
      </c>
      <c r="L336" s="806">
        <v>2</v>
      </c>
      <c r="M336" s="806">
        <v>8</v>
      </c>
      <c r="N336" s="807">
        <v>41425</v>
      </c>
    </row>
    <row r="337" spans="1:14">
      <c r="A337" s="804" t="s">
        <v>1499</v>
      </c>
      <c r="B337" s="583" t="s">
        <v>1074</v>
      </c>
      <c r="C337" s="243">
        <v>41417</v>
      </c>
      <c r="D337" s="243">
        <v>41417</v>
      </c>
      <c r="E337" s="584" t="s">
        <v>206</v>
      </c>
      <c r="F337" s="589" t="s">
        <v>1392</v>
      </c>
      <c r="G337" s="805" t="s">
        <v>996</v>
      </c>
      <c r="H337" s="589">
        <v>2554</v>
      </c>
      <c r="I337" s="583">
        <v>2554</v>
      </c>
      <c r="J337" s="589"/>
      <c r="K337" s="637" t="s">
        <v>1071</v>
      </c>
      <c r="L337" s="806">
        <v>6</v>
      </c>
      <c r="M337" s="806">
        <v>42</v>
      </c>
      <c r="N337" s="807">
        <v>41425</v>
      </c>
    </row>
    <row r="338" spans="1:14">
      <c r="A338" s="688" t="s">
        <v>1499</v>
      </c>
      <c r="B338" s="583" t="s">
        <v>1074</v>
      </c>
      <c r="C338" s="243">
        <v>41417</v>
      </c>
      <c r="D338" s="243">
        <v>41417</v>
      </c>
      <c r="E338" s="589" t="s">
        <v>185</v>
      </c>
      <c r="F338" s="589" t="s">
        <v>1392</v>
      </c>
      <c r="G338" s="589" t="s">
        <v>1483</v>
      </c>
      <c r="H338" s="589">
        <v>1062</v>
      </c>
      <c r="I338" s="583">
        <v>1062</v>
      </c>
      <c r="J338" s="589"/>
      <c r="K338" s="589" t="s">
        <v>1071</v>
      </c>
      <c r="L338" s="806">
        <v>2</v>
      </c>
      <c r="M338" s="806">
        <v>8</v>
      </c>
      <c r="N338" s="807">
        <v>41418</v>
      </c>
    </row>
    <row r="339" spans="1:14">
      <c r="A339" s="688" t="s">
        <v>1499</v>
      </c>
      <c r="B339" s="583" t="s">
        <v>1074</v>
      </c>
      <c r="C339" s="243">
        <v>41417</v>
      </c>
      <c r="D339" s="243">
        <v>41417</v>
      </c>
      <c r="E339" s="589" t="s">
        <v>245</v>
      </c>
      <c r="F339" s="589" t="s">
        <v>1392</v>
      </c>
      <c r="G339" s="589" t="s">
        <v>991</v>
      </c>
      <c r="H339" s="589">
        <v>385</v>
      </c>
      <c r="I339" s="808" t="s">
        <v>1500</v>
      </c>
      <c r="J339" s="589"/>
      <c r="K339" s="637" t="s">
        <v>1071</v>
      </c>
      <c r="L339" s="809">
        <v>5</v>
      </c>
      <c r="M339" s="809">
        <v>35</v>
      </c>
      <c r="N339" s="807">
        <v>41430</v>
      </c>
    </row>
    <row r="340" spans="1:14">
      <c r="A340" s="688" t="s">
        <v>1499</v>
      </c>
      <c r="B340" s="583" t="s">
        <v>1074</v>
      </c>
      <c r="C340" s="243">
        <v>41417</v>
      </c>
      <c r="D340" s="243">
        <v>41417</v>
      </c>
      <c r="E340" s="589" t="s">
        <v>179</v>
      </c>
      <c r="F340" s="589" t="s">
        <v>1392</v>
      </c>
      <c r="G340" s="805" t="s">
        <v>1000</v>
      </c>
      <c r="H340" s="589">
        <v>134</v>
      </c>
      <c r="I340" s="583">
        <v>134</v>
      </c>
      <c r="J340" s="589"/>
      <c r="K340" s="589" t="s">
        <v>1071</v>
      </c>
      <c r="L340" s="806">
        <v>2</v>
      </c>
      <c r="M340" s="806">
        <v>8</v>
      </c>
      <c r="N340" s="807">
        <v>41425</v>
      </c>
    </row>
    <row r="341" spans="1:14">
      <c r="A341" s="589" t="s">
        <v>1501</v>
      </c>
      <c r="B341" s="583" t="s">
        <v>1075</v>
      </c>
      <c r="C341" s="243">
        <v>41417</v>
      </c>
      <c r="D341" s="243">
        <v>41417</v>
      </c>
      <c r="E341" s="584" t="s">
        <v>206</v>
      </c>
      <c r="F341" s="589" t="s">
        <v>1392</v>
      </c>
      <c r="G341" s="805" t="s">
        <v>996</v>
      </c>
      <c r="H341" s="589">
        <v>13393</v>
      </c>
      <c r="I341" s="583">
        <v>13393</v>
      </c>
      <c r="J341" s="589"/>
      <c r="K341" s="637" t="s">
        <v>1071</v>
      </c>
      <c r="L341" s="806">
        <v>6</v>
      </c>
      <c r="M341" s="806">
        <v>42</v>
      </c>
      <c r="N341" s="807">
        <v>41425</v>
      </c>
    </row>
    <row r="342" spans="1:14">
      <c r="A342" s="804" t="s">
        <v>1501</v>
      </c>
      <c r="B342" s="583" t="s">
        <v>1075</v>
      </c>
      <c r="C342" s="243">
        <v>41417</v>
      </c>
      <c r="D342" s="243">
        <v>41417</v>
      </c>
      <c r="E342" s="589" t="s">
        <v>185</v>
      </c>
      <c r="F342" s="589" t="s">
        <v>1392</v>
      </c>
      <c r="G342" s="589" t="s">
        <v>1483</v>
      </c>
      <c r="H342" s="589">
        <v>11980</v>
      </c>
      <c r="I342" s="583">
        <v>11980</v>
      </c>
      <c r="J342" s="589"/>
      <c r="K342" s="589" t="s">
        <v>1071</v>
      </c>
      <c r="L342" s="806">
        <v>2</v>
      </c>
      <c r="M342" s="806">
        <v>8</v>
      </c>
      <c r="N342" s="807">
        <v>41418</v>
      </c>
    </row>
    <row r="343" spans="1:14">
      <c r="A343" s="804" t="s">
        <v>1501</v>
      </c>
      <c r="B343" s="583" t="s">
        <v>1075</v>
      </c>
      <c r="C343" s="243">
        <v>41417</v>
      </c>
      <c r="D343" s="243">
        <v>41417</v>
      </c>
      <c r="E343" s="589" t="s">
        <v>245</v>
      </c>
      <c r="F343" s="589" t="s">
        <v>1392</v>
      </c>
      <c r="G343" s="589" t="s">
        <v>991</v>
      </c>
      <c r="H343" s="589">
        <v>143</v>
      </c>
      <c r="I343" s="808" t="s">
        <v>1502</v>
      </c>
      <c r="J343" s="589"/>
      <c r="K343" s="637" t="s">
        <v>1071</v>
      </c>
      <c r="L343" s="809">
        <v>5</v>
      </c>
      <c r="M343" s="809">
        <v>35</v>
      </c>
      <c r="N343" s="807">
        <v>41430</v>
      </c>
    </row>
    <row r="344" spans="1:14">
      <c r="A344" s="804" t="s">
        <v>1501</v>
      </c>
      <c r="B344" s="583" t="s">
        <v>1075</v>
      </c>
      <c r="C344" s="243">
        <v>41417</v>
      </c>
      <c r="D344" s="243">
        <v>41417</v>
      </c>
      <c r="E344" s="589" t="s">
        <v>179</v>
      </c>
      <c r="F344" s="589" t="s">
        <v>1392</v>
      </c>
      <c r="G344" s="805" t="s">
        <v>1000</v>
      </c>
      <c r="H344" s="589">
        <v>517</v>
      </c>
      <c r="I344" s="583">
        <v>517</v>
      </c>
      <c r="J344" s="589"/>
      <c r="K344" s="589" t="s">
        <v>1071</v>
      </c>
      <c r="L344" s="806">
        <v>2</v>
      </c>
      <c r="M344" s="806">
        <v>8</v>
      </c>
      <c r="N344" s="807">
        <v>41425</v>
      </c>
    </row>
    <row r="345" spans="1:14">
      <c r="A345" s="804" t="s">
        <v>1503</v>
      </c>
      <c r="B345" s="585" t="s">
        <v>404</v>
      </c>
      <c r="C345" s="243">
        <v>41417</v>
      </c>
      <c r="D345" s="243">
        <v>41417</v>
      </c>
      <c r="E345" s="584" t="s">
        <v>206</v>
      </c>
      <c r="F345" s="589" t="s">
        <v>1392</v>
      </c>
      <c r="G345" s="805" t="s">
        <v>996</v>
      </c>
      <c r="H345" s="589">
        <v>7615</v>
      </c>
      <c r="I345" s="583">
        <v>7615</v>
      </c>
      <c r="J345" s="589"/>
      <c r="K345" s="637" t="s">
        <v>1071</v>
      </c>
      <c r="L345" s="806">
        <v>6</v>
      </c>
      <c r="M345" s="806">
        <v>42</v>
      </c>
      <c r="N345" s="807">
        <v>41425</v>
      </c>
    </row>
    <row r="346" spans="1:14">
      <c r="A346" s="589" t="s">
        <v>1503</v>
      </c>
      <c r="B346" s="585" t="s">
        <v>404</v>
      </c>
      <c r="C346" s="243">
        <v>41417</v>
      </c>
      <c r="D346" s="243">
        <v>41417</v>
      </c>
      <c r="E346" s="589" t="s">
        <v>185</v>
      </c>
      <c r="F346" s="589" t="s">
        <v>1392</v>
      </c>
      <c r="G346" s="589" t="s">
        <v>1483</v>
      </c>
      <c r="H346" s="589">
        <v>6781</v>
      </c>
      <c r="I346" s="583">
        <v>6781</v>
      </c>
      <c r="J346" s="589"/>
      <c r="K346" s="589" t="s">
        <v>1071</v>
      </c>
      <c r="L346" s="806">
        <v>2</v>
      </c>
      <c r="M346" s="806">
        <v>8</v>
      </c>
      <c r="N346" s="807">
        <v>41418</v>
      </c>
    </row>
    <row r="347" spans="1:14">
      <c r="A347" s="589" t="s">
        <v>1503</v>
      </c>
      <c r="B347" s="585" t="s">
        <v>404</v>
      </c>
      <c r="C347" s="243">
        <v>41417</v>
      </c>
      <c r="D347" s="243">
        <v>41417</v>
      </c>
      <c r="E347" s="589" t="s">
        <v>245</v>
      </c>
      <c r="F347" s="589" t="s">
        <v>1392</v>
      </c>
      <c r="G347" s="589" t="s">
        <v>991</v>
      </c>
      <c r="H347" s="589">
        <v>115</v>
      </c>
      <c r="I347" s="808" t="s">
        <v>1504</v>
      </c>
      <c r="J347" s="589"/>
      <c r="K347" s="637" t="s">
        <v>1071</v>
      </c>
      <c r="L347" s="809">
        <v>5</v>
      </c>
      <c r="M347" s="809">
        <v>35</v>
      </c>
      <c r="N347" s="807">
        <v>41430</v>
      </c>
    </row>
    <row r="348" spans="1:14">
      <c r="A348" s="589" t="s">
        <v>1503</v>
      </c>
      <c r="B348" s="585" t="s">
        <v>404</v>
      </c>
      <c r="C348" s="243">
        <v>41417</v>
      </c>
      <c r="D348" s="243">
        <v>41417</v>
      </c>
      <c r="E348" s="589" t="s">
        <v>179</v>
      </c>
      <c r="F348" s="589" t="s">
        <v>1392</v>
      </c>
      <c r="G348" s="805" t="s">
        <v>1000</v>
      </c>
      <c r="H348" s="589">
        <v>213</v>
      </c>
      <c r="I348" s="583">
        <v>213</v>
      </c>
      <c r="J348" s="589"/>
      <c r="K348" s="589" t="s">
        <v>1071</v>
      </c>
      <c r="L348" s="806">
        <v>2</v>
      </c>
      <c r="M348" s="806">
        <v>8</v>
      </c>
      <c r="N348" s="807">
        <v>41425</v>
      </c>
    </row>
    <row r="349" spans="1:14">
      <c r="A349" s="589" t="s">
        <v>1505</v>
      </c>
      <c r="B349" s="583" t="s">
        <v>1076</v>
      </c>
      <c r="C349" s="243">
        <v>41417</v>
      </c>
      <c r="D349" s="243">
        <v>41417</v>
      </c>
      <c r="E349" s="584" t="s">
        <v>206</v>
      </c>
      <c r="F349" s="589" t="s">
        <v>1392</v>
      </c>
      <c r="G349" s="805" t="s">
        <v>996</v>
      </c>
      <c r="H349" s="589">
        <v>6642</v>
      </c>
      <c r="I349" s="583">
        <v>6642</v>
      </c>
      <c r="J349" s="589"/>
      <c r="K349" s="637" t="s">
        <v>1071</v>
      </c>
      <c r="L349" s="806">
        <v>6</v>
      </c>
      <c r="M349" s="806">
        <v>42</v>
      </c>
      <c r="N349" s="807">
        <v>41425</v>
      </c>
    </row>
    <row r="350" spans="1:14">
      <c r="A350" s="589" t="s">
        <v>1505</v>
      </c>
      <c r="B350" s="583" t="s">
        <v>1076</v>
      </c>
      <c r="C350" s="243">
        <v>41417</v>
      </c>
      <c r="D350" s="243">
        <v>41417</v>
      </c>
      <c r="E350" s="589" t="s">
        <v>185</v>
      </c>
      <c r="F350" s="589" t="s">
        <v>1392</v>
      </c>
      <c r="G350" s="589" t="s">
        <v>1483</v>
      </c>
      <c r="H350" s="589">
        <v>4911</v>
      </c>
      <c r="I350" s="583">
        <v>4911</v>
      </c>
      <c r="J350" s="589"/>
      <c r="K350" s="589" t="s">
        <v>1071</v>
      </c>
      <c r="L350" s="806">
        <v>2</v>
      </c>
      <c r="M350" s="806">
        <v>8</v>
      </c>
      <c r="N350" s="807">
        <v>41418</v>
      </c>
    </row>
    <row r="351" spans="1:14">
      <c r="A351" s="589" t="s">
        <v>1505</v>
      </c>
      <c r="B351" s="583" t="s">
        <v>1076</v>
      </c>
      <c r="C351" s="243">
        <v>41417</v>
      </c>
      <c r="D351" s="243">
        <v>41417</v>
      </c>
      <c r="E351" s="589" t="s">
        <v>245</v>
      </c>
      <c r="F351" s="589" t="s">
        <v>1392</v>
      </c>
      <c r="G351" s="589" t="s">
        <v>991</v>
      </c>
      <c r="H351" s="589">
        <v>414</v>
      </c>
      <c r="I351" s="808" t="s">
        <v>1506</v>
      </c>
      <c r="J351" s="589"/>
      <c r="K351" s="637" t="s">
        <v>1071</v>
      </c>
      <c r="L351" s="809">
        <v>5</v>
      </c>
      <c r="M351" s="809">
        <v>35</v>
      </c>
      <c r="N351" s="807">
        <v>41430</v>
      </c>
    </row>
    <row r="352" spans="1:14">
      <c r="A352" s="589" t="s">
        <v>1505</v>
      </c>
      <c r="B352" s="583" t="s">
        <v>1076</v>
      </c>
      <c r="C352" s="243">
        <v>41417</v>
      </c>
      <c r="D352" s="243">
        <v>41417</v>
      </c>
      <c r="E352" s="589" t="s">
        <v>179</v>
      </c>
      <c r="F352" s="589" t="s">
        <v>1392</v>
      </c>
      <c r="G352" s="805" t="s">
        <v>1000</v>
      </c>
      <c r="H352" s="589">
        <v>190</v>
      </c>
      <c r="I352" s="583">
        <v>190</v>
      </c>
      <c r="J352" s="589"/>
      <c r="K352" s="589" t="s">
        <v>1071</v>
      </c>
      <c r="L352" s="806">
        <v>2</v>
      </c>
      <c r="M352" s="806">
        <v>8</v>
      </c>
      <c r="N352" s="807">
        <v>41425</v>
      </c>
    </row>
    <row r="353" spans="1:14">
      <c r="A353" s="804" t="s">
        <v>1507</v>
      </c>
      <c r="B353" s="583" t="s">
        <v>1508</v>
      </c>
      <c r="C353" s="243">
        <v>41417</v>
      </c>
      <c r="D353" s="243">
        <v>41417</v>
      </c>
      <c r="E353" s="584" t="s">
        <v>206</v>
      </c>
      <c r="F353" s="589" t="s">
        <v>1392</v>
      </c>
      <c r="G353" s="805" t="s">
        <v>996</v>
      </c>
      <c r="H353" s="589">
        <v>1402</v>
      </c>
      <c r="I353" s="583">
        <v>1402</v>
      </c>
      <c r="J353" s="589"/>
      <c r="K353" s="637" t="s">
        <v>1071</v>
      </c>
      <c r="L353" s="806">
        <v>6</v>
      </c>
      <c r="M353" s="806">
        <v>42</v>
      </c>
      <c r="N353" s="807">
        <v>41425</v>
      </c>
    </row>
    <row r="354" spans="1:14">
      <c r="A354" s="688" t="s">
        <v>1507</v>
      </c>
      <c r="B354" s="583" t="s">
        <v>1508</v>
      </c>
      <c r="C354" s="243">
        <v>41417</v>
      </c>
      <c r="D354" s="243">
        <v>41417</v>
      </c>
      <c r="E354" s="589" t="s">
        <v>185</v>
      </c>
      <c r="F354" s="589" t="s">
        <v>1392</v>
      </c>
      <c r="G354" s="589" t="s">
        <v>1483</v>
      </c>
      <c r="H354" s="589">
        <v>815</v>
      </c>
      <c r="I354" s="583">
        <v>815</v>
      </c>
      <c r="J354" s="589"/>
      <c r="K354" s="589" t="s">
        <v>1071</v>
      </c>
      <c r="L354" s="806">
        <v>2</v>
      </c>
      <c r="M354" s="806">
        <v>8</v>
      </c>
      <c r="N354" s="807">
        <v>41418</v>
      </c>
    </row>
    <row r="355" spans="1:14">
      <c r="A355" s="688" t="s">
        <v>1507</v>
      </c>
      <c r="B355" s="583" t="s">
        <v>1508</v>
      </c>
      <c r="C355" s="243">
        <v>41417</v>
      </c>
      <c r="D355" s="243">
        <v>41417</v>
      </c>
      <c r="E355" s="589" t="s">
        <v>245</v>
      </c>
      <c r="F355" s="589" t="s">
        <v>1392</v>
      </c>
      <c r="G355" s="589" t="s">
        <v>991</v>
      </c>
      <c r="H355" s="589">
        <v>29</v>
      </c>
      <c r="I355" s="808" t="s">
        <v>1509</v>
      </c>
      <c r="J355" s="589" t="s">
        <v>1419</v>
      </c>
      <c r="K355" s="637" t="s">
        <v>1071</v>
      </c>
      <c r="L355" s="809">
        <v>5</v>
      </c>
      <c r="M355" s="809">
        <v>35</v>
      </c>
      <c r="N355" s="807">
        <v>41430</v>
      </c>
    </row>
    <row r="356" spans="1:14">
      <c r="A356" s="688" t="s">
        <v>1507</v>
      </c>
      <c r="B356" s="583" t="s">
        <v>1508</v>
      </c>
      <c r="C356" s="243">
        <v>41417</v>
      </c>
      <c r="D356" s="243">
        <v>41417</v>
      </c>
      <c r="E356" s="589" t="s">
        <v>179</v>
      </c>
      <c r="F356" s="589" t="s">
        <v>1392</v>
      </c>
      <c r="G356" s="805" t="s">
        <v>1000</v>
      </c>
      <c r="H356" s="589">
        <v>31</v>
      </c>
      <c r="I356" s="583">
        <v>31</v>
      </c>
      <c r="J356" s="589"/>
      <c r="K356" s="589" t="s">
        <v>1071</v>
      </c>
      <c r="L356" s="806">
        <v>2</v>
      </c>
      <c r="M356" s="806">
        <v>8</v>
      </c>
      <c r="N356" s="807">
        <v>41425</v>
      </c>
    </row>
    <row r="358" spans="1:14">
      <c r="A358" s="804" t="s">
        <v>1510</v>
      </c>
      <c r="B358" s="583" t="s">
        <v>1095</v>
      </c>
      <c r="C358" s="243">
        <v>41414</v>
      </c>
      <c r="D358" s="243">
        <v>41414</v>
      </c>
      <c r="E358" s="584" t="s">
        <v>206</v>
      </c>
      <c r="F358" s="589" t="s">
        <v>1392</v>
      </c>
      <c r="G358" s="805" t="s">
        <v>996</v>
      </c>
      <c r="H358" s="589">
        <v>529</v>
      </c>
      <c r="I358" s="583">
        <v>529</v>
      </c>
      <c r="J358" s="589"/>
      <c r="K358" s="637" t="s">
        <v>1071</v>
      </c>
      <c r="L358" s="806">
        <v>6</v>
      </c>
      <c r="M358" s="806">
        <v>42</v>
      </c>
      <c r="N358" s="807">
        <v>41425</v>
      </c>
    </row>
    <row r="359" spans="1:14">
      <c r="A359" s="688" t="s">
        <v>1510</v>
      </c>
      <c r="B359" s="583" t="s">
        <v>1095</v>
      </c>
      <c r="C359" s="243">
        <v>41414</v>
      </c>
      <c r="D359" s="243">
        <v>41414</v>
      </c>
      <c r="E359" s="589" t="s">
        <v>185</v>
      </c>
      <c r="F359" s="589" t="s">
        <v>1392</v>
      </c>
      <c r="G359" s="589" t="s">
        <v>1483</v>
      </c>
      <c r="H359" s="589">
        <v>268</v>
      </c>
      <c r="I359" s="583">
        <v>268</v>
      </c>
      <c r="J359" s="589"/>
      <c r="K359" s="589" t="s">
        <v>1071</v>
      </c>
      <c r="L359" s="806">
        <v>2</v>
      </c>
      <c r="M359" s="806">
        <v>8</v>
      </c>
      <c r="N359" s="807">
        <v>41416</v>
      </c>
    </row>
    <row r="360" spans="1:14">
      <c r="A360" s="688" t="s">
        <v>1510</v>
      </c>
      <c r="B360" s="583" t="s">
        <v>1095</v>
      </c>
      <c r="C360" s="243">
        <v>41414</v>
      </c>
      <c r="D360" s="243">
        <v>41414</v>
      </c>
      <c r="E360" s="589" t="s">
        <v>245</v>
      </c>
      <c r="F360" s="589" t="s">
        <v>1392</v>
      </c>
      <c r="G360" s="589" t="s">
        <v>991</v>
      </c>
      <c r="H360" s="589">
        <v>50</v>
      </c>
      <c r="I360" s="808" t="s">
        <v>1511</v>
      </c>
      <c r="J360" s="589"/>
      <c r="K360" s="637" t="s">
        <v>1071</v>
      </c>
      <c r="L360" s="809">
        <v>5</v>
      </c>
      <c r="M360" s="809">
        <v>35</v>
      </c>
      <c r="N360" s="807">
        <v>41415</v>
      </c>
    </row>
    <row r="361" spans="1:14">
      <c r="A361" s="688" t="s">
        <v>1510</v>
      </c>
      <c r="B361" s="583" t="s">
        <v>1095</v>
      </c>
      <c r="C361" s="243">
        <v>41414</v>
      </c>
      <c r="D361" s="243">
        <v>41414</v>
      </c>
      <c r="E361" s="589" t="s">
        <v>179</v>
      </c>
      <c r="F361" s="589" t="s">
        <v>1392</v>
      </c>
      <c r="G361" s="805" t="s">
        <v>1000</v>
      </c>
      <c r="H361" s="589">
        <v>19</v>
      </c>
      <c r="I361" s="583">
        <v>19</v>
      </c>
      <c r="J361" s="589"/>
      <c r="K361" s="589" t="s">
        <v>1071</v>
      </c>
      <c r="L361" s="806">
        <v>2</v>
      </c>
      <c r="M361" s="806">
        <v>8</v>
      </c>
      <c r="N361" s="807">
        <v>41425</v>
      </c>
    </row>
    <row r="362" spans="1:14">
      <c r="A362" s="589" t="s">
        <v>1510</v>
      </c>
      <c r="B362" s="583" t="s">
        <v>1095</v>
      </c>
      <c r="C362" s="243">
        <v>41414</v>
      </c>
      <c r="D362" s="243">
        <v>41414</v>
      </c>
      <c r="E362" s="590" t="s">
        <v>180</v>
      </c>
      <c r="F362" s="589" t="s">
        <v>1392</v>
      </c>
      <c r="G362" s="805" t="s">
        <v>1000</v>
      </c>
      <c r="H362" s="591">
        <v>3</v>
      </c>
      <c r="I362" s="590">
        <v>3</v>
      </c>
      <c r="J362" s="637" t="s">
        <v>1419</v>
      </c>
      <c r="K362" s="589" t="s">
        <v>1071</v>
      </c>
      <c r="L362" s="810">
        <v>2</v>
      </c>
      <c r="M362" s="810">
        <v>8</v>
      </c>
      <c r="N362" s="807">
        <v>41425</v>
      </c>
    </row>
    <row r="363" spans="1:14">
      <c r="A363" s="688" t="s">
        <v>1510</v>
      </c>
      <c r="B363" s="583" t="s">
        <v>1095</v>
      </c>
      <c r="C363" s="243">
        <v>41414</v>
      </c>
      <c r="D363" s="243">
        <v>41414</v>
      </c>
      <c r="E363" s="589" t="s">
        <v>184</v>
      </c>
      <c r="F363" s="589" t="s">
        <v>1392</v>
      </c>
      <c r="G363" s="589" t="s">
        <v>1471</v>
      </c>
      <c r="H363" s="592">
        <v>15</v>
      </c>
      <c r="I363" s="811">
        <v>15</v>
      </c>
      <c r="J363" s="589"/>
      <c r="K363" s="589" t="s">
        <v>1096</v>
      </c>
      <c r="L363" s="806">
        <v>4</v>
      </c>
      <c r="M363" s="806"/>
      <c r="N363" s="807">
        <v>41417</v>
      </c>
    </row>
    <row r="364" spans="1:14">
      <c r="A364" s="804" t="s">
        <v>1512</v>
      </c>
      <c r="B364" s="583" t="s">
        <v>1097</v>
      </c>
      <c r="C364" s="243">
        <v>41414</v>
      </c>
      <c r="D364" s="243">
        <v>41414</v>
      </c>
      <c r="E364" s="584" t="s">
        <v>206</v>
      </c>
      <c r="F364" s="589" t="s">
        <v>1392</v>
      </c>
      <c r="G364" s="805" t="s">
        <v>996</v>
      </c>
      <c r="H364" s="589">
        <v>965</v>
      </c>
      <c r="I364" s="583">
        <v>965</v>
      </c>
      <c r="J364" s="589"/>
      <c r="K364" s="637" t="s">
        <v>1071</v>
      </c>
      <c r="L364" s="806">
        <v>6</v>
      </c>
      <c r="M364" s="806">
        <v>42</v>
      </c>
      <c r="N364" s="807">
        <v>41425</v>
      </c>
    </row>
    <row r="365" spans="1:14">
      <c r="A365" s="688" t="s">
        <v>1512</v>
      </c>
      <c r="B365" s="583" t="s">
        <v>1097</v>
      </c>
      <c r="C365" s="243">
        <v>41414</v>
      </c>
      <c r="D365" s="243">
        <v>41414</v>
      </c>
      <c r="E365" s="589" t="s">
        <v>185</v>
      </c>
      <c r="F365" s="589" t="s">
        <v>1392</v>
      </c>
      <c r="G365" s="589" t="s">
        <v>1483</v>
      </c>
      <c r="H365" s="589">
        <v>240</v>
      </c>
      <c r="I365" s="583">
        <v>240</v>
      </c>
      <c r="J365" s="589"/>
      <c r="K365" s="589" t="s">
        <v>1071</v>
      </c>
      <c r="L365" s="806">
        <v>2</v>
      </c>
      <c r="M365" s="806">
        <v>8</v>
      </c>
      <c r="N365" s="807">
        <v>41416</v>
      </c>
    </row>
    <row r="366" spans="1:14">
      <c r="A366" s="688" t="s">
        <v>1512</v>
      </c>
      <c r="B366" s="583" t="s">
        <v>1097</v>
      </c>
      <c r="C366" s="243">
        <v>41414</v>
      </c>
      <c r="D366" s="243">
        <v>41414</v>
      </c>
      <c r="E366" s="589" t="s">
        <v>245</v>
      </c>
      <c r="F366" s="589" t="s">
        <v>1392</v>
      </c>
      <c r="G366" s="589" t="s">
        <v>991</v>
      </c>
      <c r="H366" s="589">
        <v>46</v>
      </c>
      <c r="I366" s="808" t="s">
        <v>1513</v>
      </c>
      <c r="J366" s="688"/>
      <c r="K366" s="637" t="s">
        <v>1071</v>
      </c>
      <c r="L366" s="809">
        <v>5</v>
      </c>
      <c r="M366" s="809">
        <v>35</v>
      </c>
      <c r="N366" s="807">
        <v>41415</v>
      </c>
    </row>
    <row r="367" spans="1:14">
      <c r="A367" s="688" t="s">
        <v>1512</v>
      </c>
      <c r="B367" s="583" t="s">
        <v>1097</v>
      </c>
      <c r="C367" s="243">
        <v>41414</v>
      </c>
      <c r="D367" s="243">
        <v>41414</v>
      </c>
      <c r="E367" s="589" t="s">
        <v>179</v>
      </c>
      <c r="F367" s="589" t="s">
        <v>1392</v>
      </c>
      <c r="G367" s="805" t="s">
        <v>1000</v>
      </c>
      <c r="H367" s="589">
        <v>34</v>
      </c>
      <c r="I367" s="583">
        <v>34</v>
      </c>
      <c r="J367" s="589"/>
      <c r="K367" s="589" t="s">
        <v>1071</v>
      </c>
      <c r="L367" s="806">
        <v>2</v>
      </c>
      <c r="M367" s="806">
        <v>8</v>
      </c>
      <c r="N367" s="807">
        <v>41425</v>
      </c>
    </row>
    <row r="368" spans="1:14">
      <c r="A368" s="589" t="s">
        <v>1512</v>
      </c>
      <c r="B368" s="583" t="s">
        <v>1097</v>
      </c>
      <c r="C368" s="243">
        <v>41414</v>
      </c>
      <c r="D368" s="243">
        <v>41414</v>
      </c>
      <c r="E368" s="590" t="s">
        <v>180</v>
      </c>
      <c r="F368" s="589" t="s">
        <v>1392</v>
      </c>
      <c r="G368" s="805" t="s">
        <v>1000</v>
      </c>
      <c r="H368" s="591">
        <v>14</v>
      </c>
      <c r="I368" s="590">
        <v>14</v>
      </c>
      <c r="J368" s="637"/>
      <c r="K368" s="589" t="s">
        <v>1071</v>
      </c>
      <c r="L368" s="810">
        <v>2</v>
      </c>
      <c r="M368" s="810">
        <v>8</v>
      </c>
      <c r="N368" s="807">
        <v>41425</v>
      </c>
    </row>
    <row r="369" spans="1:14">
      <c r="A369" s="688" t="s">
        <v>1512</v>
      </c>
      <c r="B369" s="583" t="s">
        <v>1097</v>
      </c>
      <c r="C369" s="243">
        <v>41414</v>
      </c>
      <c r="D369" s="243">
        <v>41414</v>
      </c>
      <c r="E369" s="589" t="s">
        <v>184</v>
      </c>
      <c r="F369" s="589" t="s">
        <v>1392</v>
      </c>
      <c r="G369" s="589" t="s">
        <v>1471</v>
      </c>
      <c r="H369" s="592">
        <v>14.6</v>
      </c>
      <c r="I369" s="811">
        <v>14.6</v>
      </c>
      <c r="J369" s="589"/>
      <c r="K369" s="589" t="s">
        <v>1096</v>
      </c>
      <c r="L369" s="806">
        <v>4</v>
      </c>
      <c r="M369" s="806"/>
      <c r="N369" s="807">
        <v>41417</v>
      </c>
    </row>
    <row r="370" spans="1:14">
      <c r="A370" s="589" t="s">
        <v>1514</v>
      </c>
      <c r="B370" s="583">
        <v>45</v>
      </c>
      <c r="C370" s="243">
        <v>41414</v>
      </c>
      <c r="D370" s="243">
        <v>41414</v>
      </c>
      <c r="E370" s="584" t="s">
        <v>206</v>
      </c>
      <c r="F370" s="589" t="s">
        <v>1392</v>
      </c>
      <c r="G370" s="805" t="s">
        <v>996</v>
      </c>
      <c r="H370" s="589">
        <v>865</v>
      </c>
      <c r="I370" s="583">
        <v>865</v>
      </c>
      <c r="J370" s="589"/>
      <c r="K370" s="637" t="s">
        <v>1071</v>
      </c>
      <c r="L370" s="806">
        <v>6</v>
      </c>
      <c r="M370" s="806">
        <v>42</v>
      </c>
      <c r="N370" s="807">
        <v>41425</v>
      </c>
    </row>
    <row r="371" spans="1:14">
      <c r="A371" s="804" t="s">
        <v>1514</v>
      </c>
      <c r="B371" s="583">
        <v>45</v>
      </c>
      <c r="C371" s="243">
        <v>41414</v>
      </c>
      <c r="D371" s="243">
        <v>41414</v>
      </c>
      <c r="E371" s="589" t="s">
        <v>185</v>
      </c>
      <c r="F371" s="589" t="s">
        <v>1392</v>
      </c>
      <c r="G371" s="589" t="s">
        <v>1483</v>
      </c>
      <c r="H371" s="589">
        <v>289</v>
      </c>
      <c r="I371" s="583">
        <v>289</v>
      </c>
      <c r="J371" s="589"/>
      <c r="K371" s="589" t="s">
        <v>1071</v>
      </c>
      <c r="L371" s="806">
        <v>2</v>
      </c>
      <c r="M371" s="806">
        <v>8</v>
      </c>
      <c r="N371" s="807">
        <v>41416</v>
      </c>
    </row>
    <row r="372" spans="1:14">
      <c r="A372" s="804" t="s">
        <v>1514</v>
      </c>
      <c r="B372" s="583">
        <v>45</v>
      </c>
      <c r="C372" s="243">
        <v>41414</v>
      </c>
      <c r="D372" s="243">
        <v>41414</v>
      </c>
      <c r="E372" s="589" t="s">
        <v>245</v>
      </c>
      <c r="F372" s="589" t="s">
        <v>1392</v>
      </c>
      <c r="G372" s="589" t="s">
        <v>991</v>
      </c>
      <c r="H372" s="589">
        <v>86</v>
      </c>
      <c r="I372" s="808" t="s">
        <v>1515</v>
      </c>
      <c r="J372" s="589"/>
      <c r="K372" s="637" t="s">
        <v>1071</v>
      </c>
      <c r="L372" s="809">
        <v>5</v>
      </c>
      <c r="M372" s="809">
        <v>35</v>
      </c>
      <c r="N372" s="807">
        <v>41415</v>
      </c>
    </row>
    <row r="373" spans="1:14">
      <c r="A373" s="804" t="s">
        <v>1514</v>
      </c>
      <c r="B373" s="583">
        <v>45</v>
      </c>
      <c r="C373" s="243">
        <v>41414</v>
      </c>
      <c r="D373" s="243">
        <v>41414</v>
      </c>
      <c r="E373" s="589" t="s">
        <v>179</v>
      </c>
      <c r="F373" s="589" t="s">
        <v>1392</v>
      </c>
      <c r="G373" s="805" t="s">
        <v>1000</v>
      </c>
      <c r="H373" s="589">
        <v>30</v>
      </c>
      <c r="I373" s="583">
        <v>30</v>
      </c>
      <c r="J373" s="589"/>
      <c r="K373" s="589" t="s">
        <v>1071</v>
      </c>
      <c r="L373" s="806">
        <v>2</v>
      </c>
      <c r="M373" s="806">
        <v>8</v>
      </c>
      <c r="N373" s="807">
        <v>41425</v>
      </c>
    </row>
    <row r="374" spans="1:14">
      <c r="A374" s="589" t="s">
        <v>1514</v>
      </c>
      <c r="B374" s="583">
        <v>45</v>
      </c>
      <c r="C374" s="243">
        <v>41414</v>
      </c>
      <c r="D374" s="243">
        <v>41414</v>
      </c>
      <c r="E374" s="590" t="s">
        <v>180</v>
      </c>
      <c r="F374" s="589" t="s">
        <v>1392</v>
      </c>
      <c r="G374" s="805" t="s">
        <v>1000</v>
      </c>
      <c r="H374" s="591">
        <v>10</v>
      </c>
      <c r="I374" s="590">
        <v>10</v>
      </c>
      <c r="J374" s="637"/>
      <c r="K374" s="589" t="s">
        <v>1071</v>
      </c>
      <c r="L374" s="810">
        <v>2</v>
      </c>
      <c r="M374" s="810">
        <v>8</v>
      </c>
      <c r="N374" s="807">
        <v>41425</v>
      </c>
    </row>
    <row r="375" spans="1:14">
      <c r="A375" s="804" t="s">
        <v>1514</v>
      </c>
      <c r="B375" s="583">
        <v>45</v>
      </c>
      <c r="C375" s="243">
        <v>41414</v>
      </c>
      <c r="D375" s="243">
        <v>41414</v>
      </c>
      <c r="E375" s="589" t="s">
        <v>184</v>
      </c>
      <c r="F375" s="589" t="s">
        <v>1392</v>
      </c>
      <c r="G375" s="589" t="s">
        <v>1471</v>
      </c>
      <c r="H375" s="592">
        <v>5.4</v>
      </c>
      <c r="I375" s="811">
        <v>5.4</v>
      </c>
      <c r="J375" s="589"/>
      <c r="K375" s="589" t="s">
        <v>1096</v>
      </c>
      <c r="L375" s="806">
        <v>4</v>
      </c>
      <c r="M375" s="806"/>
      <c r="N375" s="807">
        <v>41417</v>
      </c>
    </row>
    <row r="376" spans="1:14">
      <c r="A376" s="804" t="s">
        <v>1516</v>
      </c>
      <c r="B376" s="585" t="s">
        <v>1098</v>
      </c>
      <c r="C376" s="243">
        <v>41414</v>
      </c>
      <c r="D376" s="243">
        <v>41414</v>
      </c>
      <c r="E376" s="584" t="s">
        <v>206</v>
      </c>
      <c r="F376" s="589" t="s">
        <v>1392</v>
      </c>
      <c r="G376" s="805" t="s">
        <v>996</v>
      </c>
      <c r="H376" s="589">
        <v>838</v>
      </c>
      <c r="I376" s="583">
        <v>838</v>
      </c>
      <c r="J376" s="589"/>
      <c r="K376" s="637" t="s">
        <v>1071</v>
      </c>
      <c r="L376" s="806">
        <v>6</v>
      </c>
      <c r="M376" s="806">
        <v>42</v>
      </c>
      <c r="N376" s="807">
        <v>41425</v>
      </c>
    </row>
    <row r="377" spans="1:14">
      <c r="A377" s="589" t="s">
        <v>1516</v>
      </c>
      <c r="B377" s="585" t="s">
        <v>1098</v>
      </c>
      <c r="C377" s="243">
        <v>41414</v>
      </c>
      <c r="D377" s="243">
        <v>41414</v>
      </c>
      <c r="E377" s="589" t="s">
        <v>185</v>
      </c>
      <c r="F377" s="589" t="s">
        <v>1392</v>
      </c>
      <c r="G377" s="589" t="s">
        <v>1483</v>
      </c>
      <c r="H377" s="589">
        <v>293</v>
      </c>
      <c r="I377" s="583">
        <v>293</v>
      </c>
      <c r="J377" s="589"/>
      <c r="K377" s="589" t="s">
        <v>1071</v>
      </c>
      <c r="L377" s="806">
        <v>2</v>
      </c>
      <c r="M377" s="806">
        <v>8</v>
      </c>
      <c r="N377" s="807">
        <v>41416</v>
      </c>
    </row>
    <row r="378" spans="1:14">
      <c r="A378" s="589" t="s">
        <v>1516</v>
      </c>
      <c r="B378" s="585" t="s">
        <v>1098</v>
      </c>
      <c r="C378" s="243">
        <v>41414</v>
      </c>
      <c r="D378" s="243">
        <v>41414</v>
      </c>
      <c r="E378" s="589" t="s">
        <v>179</v>
      </c>
      <c r="F378" s="589" t="s">
        <v>1392</v>
      </c>
      <c r="G378" s="805" t="s">
        <v>1000</v>
      </c>
      <c r="H378" s="589">
        <v>35</v>
      </c>
      <c r="I378" s="583">
        <v>35</v>
      </c>
      <c r="J378" s="589"/>
      <c r="K378" s="589" t="s">
        <v>1071</v>
      </c>
      <c r="L378" s="806">
        <v>2</v>
      </c>
      <c r="M378" s="806">
        <v>8</v>
      </c>
      <c r="N378" s="807">
        <v>41425</v>
      </c>
    </row>
    <row r="379" spans="1:14">
      <c r="A379" s="589" t="s">
        <v>1516</v>
      </c>
      <c r="B379" s="585" t="s">
        <v>1098</v>
      </c>
      <c r="C379" s="243">
        <v>41414</v>
      </c>
      <c r="D379" s="243">
        <v>41414</v>
      </c>
      <c r="E379" s="590" t="s">
        <v>180</v>
      </c>
      <c r="F379" s="589" t="s">
        <v>1392</v>
      </c>
      <c r="G379" s="805" t="s">
        <v>1000</v>
      </c>
      <c r="H379" s="591">
        <v>10</v>
      </c>
      <c r="I379" s="590">
        <v>10</v>
      </c>
      <c r="J379" s="637"/>
      <c r="K379" s="589" t="s">
        <v>1071</v>
      </c>
      <c r="L379" s="810">
        <v>2</v>
      </c>
      <c r="M379" s="810">
        <v>8</v>
      </c>
      <c r="N379" s="807">
        <v>41425</v>
      </c>
    </row>
    <row r="380" spans="1:14">
      <c r="A380" s="589" t="s">
        <v>1516</v>
      </c>
      <c r="B380" s="585" t="s">
        <v>1098</v>
      </c>
      <c r="C380" s="243">
        <v>41414</v>
      </c>
      <c r="D380" s="243">
        <v>41414</v>
      </c>
      <c r="E380" s="589" t="s">
        <v>184</v>
      </c>
      <c r="F380" s="589" t="s">
        <v>1392</v>
      </c>
      <c r="G380" s="589" t="s">
        <v>1471</v>
      </c>
      <c r="H380" s="592">
        <v>4.8</v>
      </c>
      <c r="I380" s="811">
        <v>4.8</v>
      </c>
      <c r="J380" s="589"/>
      <c r="K380" s="589" t="s">
        <v>1096</v>
      </c>
      <c r="L380" s="806">
        <v>4</v>
      </c>
      <c r="M380" s="806"/>
      <c r="N380" s="807">
        <v>41417</v>
      </c>
    </row>
    <row r="381" spans="1:14">
      <c r="A381" s="804" t="s">
        <v>1516</v>
      </c>
      <c r="B381" s="583" t="s">
        <v>1098</v>
      </c>
      <c r="C381" s="243">
        <v>41414</v>
      </c>
      <c r="D381" s="243">
        <v>41414</v>
      </c>
      <c r="E381" s="584" t="s">
        <v>181</v>
      </c>
      <c r="F381" s="804" t="s">
        <v>1392</v>
      </c>
      <c r="G381" s="812" t="s">
        <v>1402</v>
      </c>
      <c r="H381" s="332">
        <v>1.5</v>
      </c>
      <c r="I381" s="813">
        <v>1.5</v>
      </c>
      <c r="J381" s="814"/>
      <c r="K381" s="589" t="s">
        <v>1071</v>
      </c>
      <c r="L381" s="810">
        <v>0.1</v>
      </c>
      <c r="M381" s="810"/>
      <c r="N381" s="807">
        <v>41424</v>
      </c>
    </row>
    <row r="382" spans="1:14">
      <c r="A382" s="804" t="s">
        <v>1516</v>
      </c>
      <c r="B382" s="583" t="s">
        <v>1098</v>
      </c>
      <c r="C382" s="243">
        <v>41414</v>
      </c>
      <c r="D382" s="243">
        <v>41414</v>
      </c>
      <c r="E382" s="584" t="s">
        <v>181</v>
      </c>
      <c r="F382" s="804" t="s">
        <v>1392</v>
      </c>
      <c r="G382" s="812" t="s">
        <v>1402</v>
      </c>
      <c r="H382" s="332">
        <v>0.9</v>
      </c>
      <c r="I382" s="813">
        <v>0.9</v>
      </c>
      <c r="J382" s="814"/>
      <c r="K382" s="589" t="s">
        <v>1071</v>
      </c>
      <c r="L382" s="810">
        <v>0.1</v>
      </c>
      <c r="M382" s="810"/>
      <c r="N382" s="807">
        <v>41424</v>
      </c>
    </row>
    <row r="383" spans="1:14">
      <c r="A383" s="589" t="s">
        <v>1517</v>
      </c>
      <c r="B383" s="583" t="s">
        <v>1099</v>
      </c>
      <c r="C383" s="243">
        <v>41414</v>
      </c>
      <c r="D383" s="243">
        <v>41414</v>
      </c>
      <c r="E383" s="584" t="s">
        <v>206</v>
      </c>
      <c r="F383" s="589" t="s">
        <v>1392</v>
      </c>
      <c r="G383" s="805" t="s">
        <v>996</v>
      </c>
      <c r="H383" s="589">
        <v>760</v>
      </c>
      <c r="I383" s="583">
        <v>760</v>
      </c>
      <c r="J383" s="589"/>
      <c r="K383" s="637" t="s">
        <v>1071</v>
      </c>
      <c r="L383" s="806">
        <v>6</v>
      </c>
      <c r="M383" s="806">
        <v>42</v>
      </c>
      <c r="N383" s="807">
        <v>41425</v>
      </c>
    </row>
    <row r="384" spans="1:14">
      <c r="A384" s="589" t="s">
        <v>1517</v>
      </c>
      <c r="B384" s="583" t="s">
        <v>1099</v>
      </c>
      <c r="C384" s="243">
        <v>41414</v>
      </c>
      <c r="D384" s="243">
        <v>41414</v>
      </c>
      <c r="E384" s="589" t="s">
        <v>185</v>
      </c>
      <c r="F384" s="589" t="s">
        <v>1392</v>
      </c>
      <c r="G384" s="589" t="s">
        <v>1483</v>
      </c>
      <c r="H384" s="589">
        <v>129</v>
      </c>
      <c r="I384" s="583">
        <v>129</v>
      </c>
      <c r="J384" s="589"/>
      <c r="K384" s="589" t="s">
        <v>1071</v>
      </c>
      <c r="L384" s="806">
        <v>2</v>
      </c>
      <c r="M384" s="806">
        <v>8</v>
      </c>
      <c r="N384" s="807">
        <v>41416</v>
      </c>
    </row>
    <row r="385" spans="1:14">
      <c r="A385" s="589" t="s">
        <v>1517</v>
      </c>
      <c r="B385" s="583" t="s">
        <v>1099</v>
      </c>
      <c r="C385" s="243">
        <v>41414</v>
      </c>
      <c r="D385" s="243">
        <v>41414</v>
      </c>
      <c r="E385" s="589" t="s">
        <v>179</v>
      </c>
      <c r="F385" s="589" t="s">
        <v>1392</v>
      </c>
      <c r="G385" s="805" t="s">
        <v>1000</v>
      </c>
      <c r="H385" s="589">
        <v>56</v>
      </c>
      <c r="I385" s="583">
        <v>56</v>
      </c>
      <c r="J385" s="589"/>
      <c r="K385" s="589" t="s">
        <v>1071</v>
      </c>
      <c r="L385" s="806">
        <v>2</v>
      </c>
      <c r="M385" s="806">
        <v>8</v>
      </c>
      <c r="N385" s="807">
        <v>41425</v>
      </c>
    </row>
    <row r="386" spans="1:14">
      <c r="A386" s="589" t="s">
        <v>1517</v>
      </c>
      <c r="B386" s="583" t="s">
        <v>1099</v>
      </c>
      <c r="C386" s="243">
        <v>41414</v>
      </c>
      <c r="D386" s="243">
        <v>41414</v>
      </c>
      <c r="E386" s="590" t="s">
        <v>180</v>
      </c>
      <c r="F386" s="589" t="s">
        <v>1392</v>
      </c>
      <c r="G386" s="805" t="s">
        <v>1000</v>
      </c>
      <c r="H386" s="591">
        <v>38</v>
      </c>
      <c r="I386" s="590">
        <v>38</v>
      </c>
      <c r="J386" s="637"/>
      <c r="K386" s="589" t="s">
        <v>1071</v>
      </c>
      <c r="L386" s="810">
        <v>2</v>
      </c>
      <c r="M386" s="810">
        <v>8</v>
      </c>
      <c r="N386" s="807">
        <v>41425</v>
      </c>
    </row>
    <row r="387" spans="1:14">
      <c r="A387" s="589" t="s">
        <v>1517</v>
      </c>
      <c r="B387" s="583" t="s">
        <v>1099</v>
      </c>
      <c r="C387" s="243">
        <v>41414</v>
      </c>
      <c r="D387" s="243">
        <v>41414</v>
      </c>
      <c r="E387" s="589" t="s">
        <v>184</v>
      </c>
      <c r="F387" s="589" t="s">
        <v>1392</v>
      </c>
      <c r="G387" s="589" t="s">
        <v>1471</v>
      </c>
      <c r="H387" s="592">
        <v>5.6</v>
      </c>
      <c r="I387" s="811">
        <v>5.6</v>
      </c>
      <c r="J387" s="589"/>
      <c r="K387" s="589" t="s">
        <v>1096</v>
      </c>
      <c r="L387" s="806">
        <v>4</v>
      </c>
      <c r="M387" s="806"/>
      <c r="N387" s="807">
        <v>41417</v>
      </c>
    </row>
    <row r="388" spans="1:14">
      <c r="A388" s="804" t="s">
        <v>1518</v>
      </c>
      <c r="B388" s="583">
        <v>52</v>
      </c>
      <c r="C388" s="243">
        <v>41414</v>
      </c>
      <c r="D388" s="243">
        <v>41414</v>
      </c>
      <c r="E388" s="584" t="s">
        <v>206</v>
      </c>
      <c r="F388" s="589" t="s">
        <v>1392</v>
      </c>
      <c r="G388" s="805" t="s">
        <v>996</v>
      </c>
      <c r="H388" s="589">
        <v>516</v>
      </c>
      <c r="I388" s="583">
        <v>516</v>
      </c>
      <c r="J388" s="589"/>
      <c r="K388" s="637" t="s">
        <v>1071</v>
      </c>
      <c r="L388" s="806">
        <v>6</v>
      </c>
      <c r="M388" s="806">
        <v>42</v>
      </c>
      <c r="N388" s="807">
        <v>41425</v>
      </c>
    </row>
    <row r="389" spans="1:14">
      <c r="A389" s="688" t="s">
        <v>1518</v>
      </c>
      <c r="B389" s="583">
        <v>52</v>
      </c>
      <c r="C389" s="243">
        <v>41414</v>
      </c>
      <c r="D389" s="243">
        <v>41414</v>
      </c>
      <c r="E389" s="589" t="s">
        <v>185</v>
      </c>
      <c r="F389" s="589" t="s">
        <v>1392</v>
      </c>
      <c r="G389" s="589" t="s">
        <v>1483</v>
      </c>
      <c r="H389" s="589">
        <v>84</v>
      </c>
      <c r="I389" s="583">
        <v>84</v>
      </c>
      <c r="J389" s="589"/>
      <c r="K389" s="589" t="s">
        <v>1071</v>
      </c>
      <c r="L389" s="806">
        <v>2</v>
      </c>
      <c r="M389" s="806">
        <v>8</v>
      </c>
      <c r="N389" s="807">
        <v>41416</v>
      </c>
    </row>
    <row r="390" spans="1:14">
      <c r="A390" s="688" t="s">
        <v>1518</v>
      </c>
      <c r="B390" s="583">
        <v>52</v>
      </c>
      <c r="C390" s="243">
        <v>41414</v>
      </c>
      <c r="D390" s="243">
        <v>41414</v>
      </c>
      <c r="E390" s="589" t="s">
        <v>245</v>
      </c>
      <c r="F390" s="589" t="s">
        <v>1392</v>
      </c>
      <c r="G390" s="589" t="s">
        <v>991</v>
      </c>
      <c r="H390" s="589">
        <v>31</v>
      </c>
      <c r="I390" s="808" t="s">
        <v>1519</v>
      </c>
      <c r="J390" s="589" t="s">
        <v>1419</v>
      </c>
      <c r="K390" s="637" t="s">
        <v>1071</v>
      </c>
      <c r="L390" s="809">
        <v>5</v>
      </c>
      <c r="M390" s="809">
        <v>35</v>
      </c>
      <c r="N390" s="807">
        <v>41415</v>
      </c>
    </row>
    <row r="391" spans="1:14">
      <c r="A391" s="688" t="s">
        <v>1518</v>
      </c>
      <c r="B391" s="583">
        <v>52</v>
      </c>
      <c r="C391" s="243">
        <v>41414</v>
      </c>
      <c r="D391" s="243">
        <v>41414</v>
      </c>
      <c r="E391" s="589" t="s">
        <v>179</v>
      </c>
      <c r="F391" s="589" t="s">
        <v>1392</v>
      </c>
      <c r="G391" s="805" t="s">
        <v>1000</v>
      </c>
      <c r="H391" s="589">
        <v>9</v>
      </c>
      <c r="I391" s="583">
        <v>9</v>
      </c>
      <c r="J391" s="589"/>
      <c r="K391" s="589" t="s">
        <v>1071</v>
      </c>
      <c r="L391" s="806">
        <v>2</v>
      </c>
      <c r="M391" s="806">
        <v>8</v>
      </c>
      <c r="N391" s="807">
        <v>41425</v>
      </c>
    </row>
    <row r="392" spans="1:14">
      <c r="A392" s="804" t="s">
        <v>1520</v>
      </c>
      <c r="B392" s="583">
        <v>53</v>
      </c>
      <c r="C392" s="243">
        <v>41414</v>
      </c>
      <c r="D392" s="243">
        <v>41414</v>
      </c>
      <c r="E392" s="584" t="s">
        <v>206</v>
      </c>
      <c r="F392" s="589" t="s">
        <v>1392</v>
      </c>
      <c r="G392" s="805" t="s">
        <v>996</v>
      </c>
      <c r="H392" s="589">
        <v>278</v>
      </c>
      <c r="I392" s="583">
        <v>278</v>
      </c>
      <c r="J392" s="589"/>
      <c r="K392" s="637" t="s">
        <v>1071</v>
      </c>
      <c r="L392" s="806">
        <v>6</v>
      </c>
      <c r="M392" s="806">
        <v>42</v>
      </c>
      <c r="N392" s="807">
        <v>41442</v>
      </c>
    </row>
    <row r="393" spans="1:14">
      <c r="A393" s="688" t="s">
        <v>1520</v>
      </c>
      <c r="B393" s="583">
        <v>53</v>
      </c>
      <c r="C393" s="243">
        <v>41414</v>
      </c>
      <c r="D393" s="243">
        <v>41414</v>
      </c>
      <c r="E393" s="589" t="s">
        <v>185</v>
      </c>
      <c r="F393" s="589" t="s">
        <v>1392</v>
      </c>
      <c r="G393" s="589" t="s">
        <v>1483</v>
      </c>
      <c r="H393" s="589">
        <v>30</v>
      </c>
      <c r="I393" s="583">
        <v>30</v>
      </c>
      <c r="J393" s="589"/>
      <c r="K393" s="589" t="s">
        <v>1071</v>
      </c>
      <c r="L393" s="806">
        <v>2</v>
      </c>
      <c r="M393" s="806">
        <v>8</v>
      </c>
      <c r="N393" s="807">
        <v>41416</v>
      </c>
    </row>
    <row r="394" spans="1:14">
      <c r="A394" s="688" t="s">
        <v>1520</v>
      </c>
      <c r="B394" s="583">
        <v>53</v>
      </c>
      <c r="C394" s="243">
        <v>41414</v>
      </c>
      <c r="D394" s="243">
        <v>41414</v>
      </c>
      <c r="E394" s="589" t="s">
        <v>245</v>
      </c>
      <c r="F394" s="589" t="s">
        <v>1392</v>
      </c>
      <c r="G394" s="589" t="s">
        <v>991</v>
      </c>
      <c r="H394" s="589">
        <v>34</v>
      </c>
      <c r="I394" s="808" t="s">
        <v>1521</v>
      </c>
      <c r="J394" s="589" t="s">
        <v>1419</v>
      </c>
      <c r="K394" s="637" t="s">
        <v>1071</v>
      </c>
      <c r="L394" s="809">
        <v>5</v>
      </c>
      <c r="M394" s="809">
        <v>35</v>
      </c>
      <c r="N394" s="807">
        <v>41415</v>
      </c>
    </row>
    <row r="395" spans="1:14">
      <c r="A395" s="688" t="s">
        <v>1520</v>
      </c>
      <c r="B395" s="583">
        <v>53</v>
      </c>
      <c r="C395" s="243">
        <v>41414</v>
      </c>
      <c r="D395" s="243">
        <v>41414</v>
      </c>
      <c r="E395" s="589" t="s">
        <v>179</v>
      </c>
      <c r="F395" s="589" t="s">
        <v>1392</v>
      </c>
      <c r="G395" s="805" t="s">
        <v>1000</v>
      </c>
      <c r="H395" s="589">
        <v>24</v>
      </c>
      <c r="I395" s="583">
        <v>24</v>
      </c>
      <c r="J395" s="589"/>
      <c r="K395" s="589" t="s">
        <v>1071</v>
      </c>
      <c r="L395" s="806">
        <v>2</v>
      </c>
      <c r="M395" s="806">
        <v>8</v>
      </c>
      <c r="N395" s="807">
        <v>41425</v>
      </c>
    </row>
    <row r="396" spans="1:14">
      <c r="A396" s="804" t="s">
        <v>1522</v>
      </c>
      <c r="B396" s="583">
        <v>54</v>
      </c>
      <c r="C396" s="243">
        <v>41414</v>
      </c>
      <c r="D396" s="243">
        <v>41414</v>
      </c>
      <c r="E396" s="584" t="s">
        <v>206</v>
      </c>
      <c r="F396" s="589" t="s">
        <v>1392</v>
      </c>
      <c r="G396" s="805" t="s">
        <v>996</v>
      </c>
      <c r="H396" s="589">
        <v>230</v>
      </c>
      <c r="I396" s="583">
        <v>230</v>
      </c>
      <c r="J396" s="589"/>
      <c r="K396" s="637" t="s">
        <v>1071</v>
      </c>
      <c r="L396" s="806">
        <v>6</v>
      </c>
      <c r="M396" s="806">
        <v>42</v>
      </c>
      <c r="N396" s="807">
        <v>41442</v>
      </c>
    </row>
    <row r="397" spans="1:14">
      <c r="A397" s="688" t="s">
        <v>1522</v>
      </c>
      <c r="B397" s="583">
        <v>54</v>
      </c>
      <c r="C397" s="243">
        <v>41414</v>
      </c>
      <c r="D397" s="243">
        <v>41414</v>
      </c>
      <c r="E397" s="589" t="s">
        <v>185</v>
      </c>
      <c r="F397" s="589" t="s">
        <v>1392</v>
      </c>
      <c r="G397" s="589" t="s">
        <v>1483</v>
      </c>
      <c r="H397" s="589">
        <v>39</v>
      </c>
      <c r="I397" s="583">
        <v>39</v>
      </c>
      <c r="J397" s="589"/>
      <c r="K397" s="589" t="s">
        <v>1071</v>
      </c>
      <c r="L397" s="806">
        <v>2</v>
      </c>
      <c r="M397" s="806">
        <v>8</v>
      </c>
      <c r="N397" s="807">
        <v>41416</v>
      </c>
    </row>
    <row r="398" spans="1:14">
      <c r="A398" s="688" t="s">
        <v>1522</v>
      </c>
      <c r="B398" s="583">
        <v>54</v>
      </c>
      <c r="C398" s="243">
        <v>41414</v>
      </c>
      <c r="D398" s="243">
        <v>41414</v>
      </c>
      <c r="E398" s="589" t="s">
        <v>245</v>
      </c>
      <c r="F398" s="589" t="s">
        <v>1392</v>
      </c>
      <c r="G398" s="589" t="s">
        <v>991</v>
      </c>
      <c r="H398" s="589">
        <v>28</v>
      </c>
      <c r="I398" s="808" t="s">
        <v>1409</v>
      </c>
      <c r="J398" s="589" t="s">
        <v>1419</v>
      </c>
      <c r="K398" s="637" t="s">
        <v>1071</v>
      </c>
      <c r="L398" s="809">
        <v>5</v>
      </c>
      <c r="M398" s="809">
        <v>35</v>
      </c>
      <c r="N398" s="807">
        <v>41415</v>
      </c>
    </row>
    <row r="399" spans="1:14">
      <c r="A399" s="688" t="s">
        <v>1522</v>
      </c>
      <c r="B399" s="583">
        <v>54</v>
      </c>
      <c r="C399" s="243">
        <v>41414</v>
      </c>
      <c r="D399" s="243">
        <v>41414</v>
      </c>
      <c r="E399" s="589" t="s">
        <v>179</v>
      </c>
      <c r="F399" s="589" t="s">
        <v>1392</v>
      </c>
      <c r="G399" s="805" t="s">
        <v>1000</v>
      </c>
      <c r="H399" s="589">
        <v>30</v>
      </c>
      <c r="I399" s="583">
        <v>30</v>
      </c>
      <c r="J399" s="589"/>
      <c r="K399" s="589" t="s">
        <v>1071</v>
      </c>
      <c r="L399" s="806">
        <v>2</v>
      </c>
      <c r="M399" s="806">
        <v>8</v>
      </c>
      <c r="N399" s="807">
        <v>41425</v>
      </c>
    </row>
    <row r="400" spans="1:14">
      <c r="A400" s="804" t="s">
        <v>1523</v>
      </c>
      <c r="B400" s="583">
        <v>55</v>
      </c>
      <c r="C400" s="243">
        <v>41414</v>
      </c>
      <c r="D400" s="243">
        <v>41414</v>
      </c>
      <c r="E400" s="584" t="s">
        <v>206</v>
      </c>
      <c r="F400" s="589" t="s">
        <v>1392</v>
      </c>
      <c r="G400" s="805" t="s">
        <v>996</v>
      </c>
      <c r="H400" s="589">
        <v>296</v>
      </c>
      <c r="I400" s="583">
        <v>296</v>
      </c>
      <c r="J400" s="589"/>
      <c r="K400" s="637" t="s">
        <v>1071</v>
      </c>
      <c r="L400" s="806">
        <v>6</v>
      </c>
      <c r="M400" s="806">
        <v>42</v>
      </c>
      <c r="N400" s="807">
        <v>41442</v>
      </c>
    </row>
    <row r="401" spans="1:14">
      <c r="A401" s="688" t="s">
        <v>1523</v>
      </c>
      <c r="B401" s="583">
        <v>55</v>
      </c>
      <c r="C401" s="243">
        <v>41414</v>
      </c>
      <c r="D401" s="243">
        <v>41414</v>
      </c>
      <c r="E401" s="589" t="s">
        <v>185</v>
      </c>
      <c r="F401" s="589" t="s">
        <v>1392</v>
      </c>
      <c r="G401" s="589" t="s">
        <v>1483</v>
      </c>
      <c r="H401" s="589">
        <v>3</v>
      </c>
      <c r="I401" s="583">
        <v>3</v>
      </c>
      <c r="J401" s="589" t="s">
        <v>1419</v>
      </c>
      <c r="K401" s="589" t="s">
        <v>1071</v>
      </c>
      <c r="L401" s="806">
        <v>2</v>
      </c>
      <c r="M401" s="806">
        <v>8</v>
      </c>
      <c r="N401" s="807">
        <v>41416</v>
      </c>
    </row>
    <row r="402" spans="1:14">
      <c r="A402" s="688" t="s">
        <v>1523</v>
      </c>
      <c r="B402" s="583">
        <v>55</v>
      </c>
      <c r="C402" s="243">
        <v>41414</v>
      </c>
      <c r="D402" s="243">
        <v>41414</v>
      </c>
      <c r="E402" s="589" t="s">
        <v>245</v>
      </c>
      <c r="F402" s="589" t="s">
        <v>1392</v>
      </c>
      <c r="G402" s="589" t="s">
        <v>991</v>
      </c>
      <c r="H402" s="589">
        <v>24</v>
      </c>
      <c r="I402" s="808" t="s">
        <v>1448</v>
      </c>
      <c r="J402" s="589" t="s">
        <v>1419</v>
      </c>
      <c r="K402" s="637" t="s">
        <v>1071</v>
      </c>
      <c r="L402" s="809">
        <v>5</v>
      </c>
      <c r="M402" s="809">
        <v>35</v>
      </c>
      <c r="N402" s="807">
        <v>41415</v>
      </c>
    </row>
    <row r="403" spans="1:14">
      <c r="A403" s="688" t="s">
        <v>1523</v>
      </c>
      <c r="B403" s="583">
        <v>55</v>
      </c>
      <c r="C403" s="243">
        <v>41414</v>
      </c>
      <c r="D403" s="243">
        <v>41414</v>
      </c>
      <c r="E403" s="589" t="s">
        <v>179</v>
      </c>
      <c r="F403" s="589" t="s">
        <v>1392</v>
      </c>
      <c r="G403" s="805" t="s">
        <v>1000</v>
      </c>
      <c r="H403" s="589">
        <v>13</v>
      </c>
      <c r="I403" s="583">
        <v>13</v>
      </c>
      <c r="J403" s="589"/>
      <c r="K403" s="589" t="s">
        <v>1071</v>
      </c>
      <c r="L403" s="806">
        <v>2</v>
      </c>
      <c r="M403" s="806">
        <v>8</v>
      </c>
      <c r="N403" s="807">
        <v>41425</v>
      </c>
    </row>
    <row r="404" spans="1:14">
      <c r="A404" s="804" t="s">
        <v>1524</v>
      </c>
      <c r="B404" s="583" t="s">
        <v>297</v>
      </c>
      <c r="C404" s="243">
        <v>41414</v>
      </c>
      <c r="D404" s="243">
        <v>41414</v>
      </c>
      <c r="E404" s="584" t="s">
        <v>206</v>
      </c>
      <c r="F404" s="589" t="s">
        <v>1392</v>
      </c>
      <c r="G404" s="805" t="s">
        <v>996</v>
      </c>
      <c r="H404" s="589">
        <v>477</v>
      </c>
      <c r="I404" s="583">
        <v>477</v>
      </c>
      <c r="J404" s="589"/>
      <c r="K404" s="637" t="s">
        <v>1071</v>
      </c>
      <c r="L404" s="806">
        <v>6</v>
      </c>
      <c r="M404" s="806">
        <v>42</v>
      </c>
      <c r="N404" s="807">
        <v>41425</v>
      </c>
    </row>
    <row r="405" spans="1:14">
      <c r="A405" s="688" t="s">
        <v>1524</v>
      </c>
      <c r="B405" s="583" t="s">
        <v>297</v>
      </c>
      <c r="C405" s="243">
        <v>41414</v>
      </c>
      <c r="D405" s="243">
        <v>41414</v>
      </c>
      <c r="E405" s="589" t="s">
        <v>185</v>
      </c>
      <c r="F405" s="589" t="s">
        <v>1392</v>
      </c>
      <c r="G405" s="589" t="s">
        <v>1483</v>
      </c>
      <c r="H405" s="589">
        <v>46</v>
      </c>
      <c r="I405" s="583">
        <v>46</v>
      </c>
      <c r="J405" s="589"/>
      <c r="K405" s="589" t="s">
        <v>1071</v>
      </c>
      <c r="L405" s="806">
        <v>2</v>
      </c>
      <c r="M405" s="806">
        <v>8</v>
      </c>
      <c r="N405" s="807">
        <v>41416</v>
      </c>
    </row>
    <row r="406" spans="1:14">
      <c r="A406" s="688" t="s">
        <v>1524</v>
      </c>
      <c r="B406" s="583" t="s">
        <v>297</v>
      </c>
      <c r="C406" s="243">
        <v>41414</v>
      </c>
      <c r="D406" s="243">
        <v>41414</v>
      </c>
      <c r="E406" s="589" t="s">
        <v>245</v>
      </c>
      <c r="F406" s="589" t="s">
        <v>1392</v>
      </c>
      <c r="G406" s="589" t="s">
        <v>991</v>
      </c>
      <c r="H406" s="589">
        <v>34</v>
      </c>
      <c r="I406" s="808" t="s">
        <v>1521</v>
      </c>
      <c r="J406" s="589" t="s">
        <v>1419</v>
      </c>
      <c r="K406" s="637" t="s">
        <v>1071</v>
      </c>
      <c r="L406" s="809">
        <v>5</v>
      </c>
      <c r="M406" s="809">
        <v>35</v>
      </c>
      <c r="N406" s="807">
        <v>41415</v>
      </c>
    </row>
    <row r="407" spans="1:14">
      <c r="A407" s="688" t="s">
        <v>1524</v>
      </c>
      <c r="B407" s="583" t="s">
        <v>297</v>
      </c>
      <c r="C407" s="243">
        <v>41414</v>
      </c>
      <c r="D407" s="243">
        <v>41414</v>
      </c>
      <c r="E407" s="589" t="s">
        <v>179</v>
      </c>
      <c r="F407" s="589" t="s">
        <v>1392</v>
      </c>
      <c r="G407" s="805" t="s">
        <v>1000</v>
      </c>
      <c r="H407" s="589">
        <v>31</v>
      </c>
      <c r="I407" s="583">
        <v>31</v>
      </c>
      <c r="J407" s="589"/>
      <c r="K407" s="589" t="s">
        <v>1071</v>
      </c>
      <c r="L407" s="806">
        <v>2</v>
      </c>
      <c r="M407" s="806">
        <v>8</v>
      </c>
      <c r="N407" s="807">
        <v>41425</v>
      </c>
    </row>
    <row r="408" spans="1:14">
      <c r="A408" s="688" t="s">
        <v>1524</v>
      </c>
      <c r="B408" s="583" t="s">
        <v>297</v>
      </c>
      <c r="C408" s="243">
        <v>41414</v>
      </c>
      <c r="D408" s="243">
        <v>41414</v>
      </c>
      <c r="E408" s="590" t="s">
        <v>180</v>
      </c>
      <c r="F408" s="589" t="s">
        <v>1392</v>
      </c>
      <c r="G408" s="805" t="s">
        <v>1000</v>
      </c>
      <c r="H408" s="591">
        <v>6</v>
      </c>
      <c r="I408" s="590">
        <v>6</v>
      </c>
      <c r="J408" s="637" t="s">
        <v>1419</v>
      </c>
      <c r="K408" s="589" t="s">
        <v>1071</v>
      </c>
      <c r="L408" s="810">
        <v>2</v>
      </c>
      <c r="M408" s="810">
        <v>8</v>
      </c>
      <c r="N408" s="807">
        <v>41425</v>
      </c>
    </row>
    <row r="409" spans="1:14">
      <c r="A409" s="688" t="s">
        <v>1524</v>
      </c>
      <c r="B409" s="583" t="s">
        <v>297</v>
      </c>
      <c r="C409" s="243">
        <v>41414</v>
      </c>
      <c r="D409" s="243">
        <v>41414</v>
      </c>
      <c r="E409" s="589" t="s">
        <v>184</v>
      </c>
      <c r="F409" s="589" t="s">
        <v>1392</v>
      </c>
      <c r="G409" s="589" t="s">
        <v>1471</v>
      </c>
      <c r="H409" s="592">
        <v>8</v>
      </c>
      <c r="I409" s="811">
        <v>8</v>
      </c>
      <c r="J409" s="589"/>
      <c r="K409" s="589" t="s">
        <v>1096</v>
      </c>
      <c r="L409" s="806">
        <v>4</v>
      </c>
      <c r="M409" s="806"/>
      <c r="N409" s="807">
        <v>41417</v>
      </c>
    </row>
    <row r="410" spans="1:14">
      <c r="A410" s="688" t="s">
        <v>1524</v>
      </c>
      <c r="B410" s="583" t="s">
        <v>297</v>
      </c>
      <c r="C410" s="243">
        <v>41414</v>
      </c>
      <c r="D410" s="243">
        <v>41414</v>
      </c>
      <c r="E410" s="584" t="s">
        <v>181</v>
      </c>
      <c r="F410" s="804" t="s">
        <v>1392</v>
      </c>
      <c r="G410" s="812" t="s">
        <v>1402</v>
      </c>
      <c r="H410" s="332">
        <v>1.8</v>
      </c>
      <c r="I410" s="813">
        <v>1.8</v>
      </c>
      <c r="J410" s="814"/>
      <c r="K410" s="589" t="s">
        <v>1071</v>
      </c>
      <c r="L410" s="810">
        <v>0.1</v>
      </c>
      <c r="M410" s="810"/>
      <c r="N410" s="807">
        <v>41424</v>
      </c>
    </row>
    <row r="411" spans="1:14">
      <c r="A411" s="688" t="s">
        <v>1524</v>
      </c>
      <c r="B411" s="583" t="s">
        <v>297</v>
      </c>
      <c r="C411" s="243">
        <v>41414</v>
      </c>
      <c r="D411" s="243">
        <v>41414</v>
      </c>
      <c r="E411" s="584" t="s">
        <v>181</v>
      </c>
      <c r="F411" s="804" t="s">
        <v>1392</v>
      </c>
      <c r="G411" s="812" t="s">
        <v>1402</v>
      </c>
      <c r="H411" s="332">
        <v>1.8</v>
      </c>
      <c r="I411" s="813">
        <v>1.8</v>
      </c>
      <c r="J411" s="814"/>
      <c r="K411" s="589" t="s">
        <v>1071</v>
      </c>
      <c r="L411" s="810">
        <v>0.1</v>
      </c>
      <c r="M411" s="810"/>
      <c r="N411" s="807">
        <v>41424</v>
      </c>
    </row>
    <row r="412" spans="1:14">
      <c r="A412" s="804" t="s">
        <v>1525</v>
      </c>
      <c r="B412" s="583" t="s">
        <v>402</v>
      </c>
      <c r="C412" s="243">
        <v>41414</v>
      </c>
      <c r="D412" s="243">
        <v>41414</v>
      </c>
      <c r="E412" s="584" t="s">
        <v>206</v>
      </c>
      <c r="F412" s="589" t="s">
        <v>1392</v>
      </c>
      <c r="G412" s="805" t="s">
        <v>996</v>
      </c>
      <c r="H412" s="589">
        <v>446</v>
      </c>
      <c r="I412" s="583">
        <v>446</v>
      </c>
      <c r="J412" s="589"/>
      <c r="K412" s="637" t="s">
        <v>1071</v>
      </c>
      <c r="L412" s="806">
        <v>6</v>
      </c>
      <c r="M412" s="806">
        <v>42</v>
      </c>
      <c r="N412" s="807">
        <v>41425</v>
      </c>
    </row>
    <row r="413" spans="1:14">
      <c r="A413" s="688" t="s">
        <v>1525</v>
      </c>
      <c r="B413" s="583" t="s">
        <v>402</v>
      </c>
      <c r="C413" s="243">
        <v>41414</v>
      </c>
      <c r="D413" s="243">
        <v>41414</v>
      </c>
      <c r="E413" s="589" t="s">
        <v>185</v>
      </c>
      <c r="F413" s="589" t="s">
        <v>1392</v>
      </c>
      <c r="G413" s="589" t="s">
        <v>1483</v>
      </c>
      <c r="H413" s="589">
        <v>44</v>
      </c>
      <c r="I413" s="583">
        <v>44</v>
      </c>
      <c r="J413" s="589"/>
      <c r="K413" s="589" t="s">
        <v>1071</v>
      </c>
      <c r="L413" s="806">
        <v>2</v>
      </c>
      <c r="M413" s="806">
        <v>8</v>
      </c>
      <c r="N413" s="807">
        <v>41416</v>
      </c>
    </row>
    <row r="414" spans="1:14">
      <c r="A414" s="688" t="s">
        <v>1525</v>
      </c>
      <c r="B414" s="583" t="s">
        <v>402</v>
      </c>
      <c r="C414" s="243">
        <v>41414</v>
      </c>
      <c r="D414" s="243">
        <v>41414</v>
      </c>
      <c r="E414" s="589" t="s">
        <v>245</v>
      </c>
      <c r="F414" s="589" t="s">
        <v>1392</v>
      </c>
      <c r="G414" s="589" t="s">
        <v>991</v>
      </c>
      <c r="H414" s="589">
        <v>47</v>
      </c>
      <c r="I414" s="808" t="s">
        <v>1526</v>
      </c>
      <c r="J414" s="589"/>
      <c r="K414" s="637" t="s">
        <v>1071</v>
      </c>
      <c r="L414" s="809">
        <v>5</v>
      </c>
      <c r="M414" s="809">
        <v>35</v>
      </c>
      <c r="N414" s="807">
        <v>41415</v>
      </c>
    </row>
    <row r="415" spans="1:14">
      <c r="A415" s="688" t="s">
        <v>1525</v>
      </c>
      <c r="B415" s="583" t="s">
        <v>402</v>
      </c>
      <c r="C415" s="243">
        <v>41414</v>
      </c>
      <c r="D415" s="243">
        <v>41414</v>
      </c>
      <c r="E415" s="589" t="s">
        <v>179</v>
      </c>
      <c r="F415" s="589" t="s">
        <v>1392</v>
      </c>
      <c r="G415" s="805" t="s">
        <v>1000</v>
      </c>
      <c r="H415" s="589">
        <v>21</v>
      </c>
      <c r="I415" s="583">
        <v>21</v>
      </c>
      <c r="J415" s="589"/>
      <c r="K415" s="589" t="s">
        <v>1071</v>
      </c>
      <c r="L415" s="806">
        <v>2</v>
      </c>
      <c r="M415" s="806">
        <v>8</v>
      </c>
      <c r="N415" s="807">
        <v>41425</v>
      </c>
    </row>
    <row r="416" spans="1:14">
      <c r="A416" s="688" t="s">
        <v>1525</v>
      </c>
      <c r="B416" s="583" t="s">
        <v>402</v>
      </c>
      <c r="C416" s="243">
        <v>41414</v>
      </c>
      <c r="D416" s="243">
        <v>41414</v>
      </c>
      <c r="E416" s="590" t="s">
        <v>180</v>
      </c>
      <c r="F416" s="589" t="s">
        <v>1392</v>
      </c>
      <c r="G416" s="805" t="s">
        <v>1000</v>
      </c>
      <c r="H416" s="591">
        <v>10</v>
      </c>
      <c r="I416" s="590">
        <v>10</v>
      </c>
      <c r="J416" s="637"/>
      <c r="K416" s="589" t="s">
        <v>1071</v>
      </c>
      <c r="L416" s="810">
        <v>2</v>
      </c>
      <c r="M416" s="810">
        <v>8</v>
      </c>
      <c r="N416" s="807">
        <v>41425</v>
      </c>
    </row>
    <row r="417" spans="1:14">
      <c r="A417" s="688" t="s">
        <v>1525</v>
      </c>
      <c r="B417" s="583" t="s">
        <v>402</v>
      </c>
      <c r="C417" s="243">
        <v>41414</v>
      </c>
      <c r="D417" s="243">
        <v>41414</v>
      </c>
      <c r="E417" s="589" t="s">
        <v>184</v>
      </c>
      <c r="F417" s="589" t="s">
        <v>1392</v>
      </c>
      <c r="G417" s="589" t="s">
        <v>1471</v>
      </c>
      <c r="H417" s="592">
        <v>10.199999999999999</v>
      </c>
      <c r="I417" s="811">
        <v>10.199999999999999</v>
      </c>
      <c r="J417" s="589"/>
      <c r="K417" s="589" t="s">
        <v>1096</v>
      </c>
      <c r="L417" s="806">
        <v>4</v>
      </c>
      <c r="M417" s="806"/>
      <c r="N417" s="807">
        <v>41417</v>
      </c>
    </row>
    <row r="419" spans="1:14">
      <c r="A419" s="804" t="s">
        <v>1527</v>
      </c>
      <c r="B419" s="583">
        <v>64</v>
      </c>
      <c r="C419" s="243">
        <v>41443</v>
      </c>
      <c r="D419" s="243">
        <v>41443</v>
      </c>
      <c r="E419" s="584" t="s">
        <v>206</v>
      </c>
      <c r="F419" s="589" t="s">
        <v>1392</v>
      </c>
      <c r="G419" s="805" t="s">
        <v>996</v>
      </c>
      <c r="H419" s="589">
        <v>724</v>
      </c>
      <c r="I419" s="583">
        <v>724</v>
      </c>
      <c r="J419" s="589"/>
      <c r="K419" s="637" t="s">
        <v>1071</v>
      </c>
      <c r="L419" s="806">
        <v>6</v>
      </c>
      <c r="M419" s="806">
        <v>42</v>
      </c>
      <c r="N419" s="807">
        <v>41464</v>
      </c>
    </row>
    <row r="420" spans="1:14">
      <c r="A420" s="804" t="s">
        <v>1527</v>
      </c>
      <c r="B420" s="583">
        <v>64</v>
      </c>
      <c r="C420" s="243">
        <v>41443</v>
      </c>
      <c r="D420" s="243">
        <v>41443</v>
      </c>
      <c r="E420" s="589" t="s">
        <v>185</v>
      </c>
      <c r="F420" s="589" t="s">
        <v>1392</v>
      </c>
      <c r="G420" s="589" t="s">
        <v>1483</v>
      </c>
      <c r="H420" s="589">
        <v>394</v>
      </c>
      <c r="I420" s="583">
        <v>394</v>
      </c>
      <c r="J420" s="589"/>
      <c r="K420" s="589" t="s">
        <v>1071</v>
      </c>
      <c r="L420" s="806">
        <v>2</v>
      </c>
      <c r="M420" s="806">
        <v>8</v>
      </c>
      <c r="N420" s="807">
        <v>41444</v>
      </c>
    </row>
    <row r="421" spans="1:14">
      <c r="A421" s="804" t="s">
        <v>1527</v>
      </c>
      <c r="B421" s="583">
        <v>64</v>
      </c>
      <c r="C421" s="243">
        <v>41443</v>
      </c>
      <c r="D421" s="243">
        <v>41443</v>
      </c>
      <c r="E421" s="589" t="s">
        <v>245</v>
      </c>
      <c r="F421" s="589" t="s">
        <v>1392</v>
      </c>
      <c r="G421" s="589" t="s">
        <v>991</v>
      </c>
      <c r="H421" s="589">
        <v>37</v>
      </c>
      <c r="I421" s="583">
        <v>37</v>
      </c>
      <c r="J421" s="589"/>
      <c r="K421" s="637" t="s">
        <v>1071</v>
      </c>
      <c r="L421" s="809">
        <v>5</v>
      </c>
      <c r="M421" s="809">
        <v>35</v>
      </c>
      <c r="N421" s="807">
        <v>41446</v>
      </c>
    </row>
    <row r="422" spans="1:14">
      <c r="A422" s="804" t="s">
        <v>1527</v>
      </c>
      <c r="B422" s="583">
        <v>64</v>
      </c>
      <c r="C422" s="243">
        <v>41443</v>
      </c>
      <c r="D422" s="243">
        <v>41443</v>
      </c>
      <c r="E422" s="589" t="s">
        <v>179</v>
      </c>
      <c r="F422" s="589" t="s">
        <v>1392</v>
      </c>
      <c r="G422" s="805" t="s">
        <v>1000</v>
      </c>
      <c r="H422" s="589">
        <v>78</v>
      </c>
      <c r="I422" s="583">
        <v>78</v>
      </c>
      <c r="J422" s="589"/>
      <c r="K422" s="589" t="s">
        <v>1071</v>
      </c>
      <c r="L422" s="806">
        <v>2</v>
      </c>
      <c r="M422" s="806">
        <v>8</v>
      </c>
      <c r="N422" s="807">
        <v>41464</v>
      </c>
    </row>
    <row r="423" spans="1:14">
      <c r="A423" s="804" t="s">
        <v>1528</v>
      </c>
      <c r="B423" s="583">
        <v>32</v>
      </c>
      <c r="C423" s="243">
        <v>41443</v>
      </c>
      <c r="D423" s="243">
        <v>41443</v>
      </c>
      <c r="E423" s="584" t="s">
        <v>206</v>
      </c>
      <c r="F423" s="589" t="s">
        <v>1392</v>
      </c>
      <c r="G423" s="805" t="s">
        <v>996</v>
      </c>
      <c r="H423" s="589">
        <v>674</v>
      </c>
      <c r="I423" s="583">
        <v>674</v>
      </c>
      <c r="J423" s="589"/>
      <c r="K423" s="637" t="s">
        <v>1071</v>
      </c>
      <c r="L423" s="806">
        <v>6</v>
      </c>
      <c r="M423" s="806">
        <v>42</v>
      </c>
      <c r="N423" s="807">
        <v>41471</v>
      </c>
    </row>
    <row r="424" spans="1:14">
      <c r="A424" s="804" t="s">
        <v>1528</v>
      </c>
      <c r="B424" s="583">
        <v>32</v>
      </c>
      <c r="C424" s="243">
        <v>41443</v>
      </c>
      <c r="D424" s="243">
        <v>41443</v>
      </c>
      <c r="E424" s="589" t="s">
        <v>185</v>
      </c>
      <c r="F424" s="589" t="s">
        <v>1392</v>
      </c>
      <c r="G424" s="589" t="s">
        <v>1483</v>
      </c>
      <c r="H424" s="589">
        <v>282</v>
      </c>
      <c r="I424" s="583">
        <v>282</v>
      </c>
      <c r="J424" s="589"/>
      <c r="K424" s="589" t="s">
        <v>1071</v>
      </c>
      <c r="L424" s="806">
        <v>2</v>
      </c>
      <c r="M424" s="806">
        <v>8</v>
      </c>
      <c r="N424" s="807">
        <v>41444</v>
      </c>
    </row>
    <row r="425" spans="1:14">
      <c r="A425" s="804" t="s">
        <v>1528</v>
      </c>
      <c r="B425" s="583">
        <v>32</v>
      </c>
      <c r="C425" s="243">
        <v>41443</v>
      </c>
      <c r="D425" s="243">
        <v>41443</v>
      </c>
      <c r="E425" s="589" t="s">
        <v>245</v>
      </c>
      <c r="F425" s="589" t="s">
        <v>1392</v>
      </c>
      <c r="G425" s="589" t="s">
        <v>991</v>
      </c>
      <c r="H425" s="589">
        <v>50</v>
      </c>
      <c r="I425" s="583">
        <v>50</v>
      </c>
      <c r="J425" s="589"/>
      <c r="K425" s="637" t="s">
        <v>1071</v>
      </c>
      <c r="L425" s="809">
        <v>5</v>
      </c>
      <c r="M425" s="809">
        <v>35</v>
      </c>
      <c r="N425" s="807">
        <v>41446</v>
      </c>
    </row>
    <row r="426" spans="1:14">
      <c r="A426" s="804" t="s">
        <v>1528</v>
      </c>
      <c r="B426" s="583">
        <v>32</v>
      </c>
      <c r="C426" s="243">
        <v>41443</v>
      </c>
      <c r="D426" s="243">
        <v>41443</v>
      </c>
      <c r="E426" s="589" t="s">
        <v>179</v>
      </c>
      <c r="F426" s="589" t="s">
        <v>1392</v>
      </c>
      <c r="G426" s="805" t="s">
        <v>1000</v>
      </c>
      <c r="H426" s="589">
        <v>128</v>
      </c>
      <c r="I426" s="583">
        <v>128</v>
      </c>
      <c r="J426" s="589"/>
      <c r="K426" s="589" t="s">
        <v>1071</v>
      </c>
      <c r="L426" s="806">
        <v>2</v>
      </c>
      <c r="M426" s="806">
        <v>8</v>
      </c>
      <c r="N426" s="807">
        <v>41464</v>
      </c>
    </row>
    <row r="427" spans="1:14">
      <c r="A427" s="804" t="s">
        <v>1529</v>
      </c>
      <c r="B427" s="583">
        <v>5</v>
      </c>
      <c r="C427" s="243">
        <v>41443</v>
      </c>
      <c r="D427" s="243">
        <v>41443</v>
      </c>
      <c r="E427" s="584" t="s">
        <v>206</v>
      </c>
      <c r="F427" s="589" t="s">
        <v>1392</v>
      </c>
      <c r="G427" s="805" t="s">
        <v>996</v>
      </c>
      <c r="H427" s="589">
        <v>334</v>
      </c>
      <c r="I427" s="583">
        <v>334</v>
      </c>
      <c r="J427" s="589"/>
      <c r="K427" s="637" t="s">
        <v>1071</v>
      </c>
      <c r="L427" s="806">
        <v>6</v>
      </c>
      <c r="M427" s="806">
        <v>42</v>
      </c>
      <c r="N427" s="807">
        <v>41471</v>
      </c>
    </row>
    <row r="428" spans="1:14">
      <c r="A428" s="804" t="s">
        <v>1529</v>
      </c>
      <c r="B428" s="583">
        <v>5</v>
      </c>
      <c r="C428" s="243">
        <v>41443</v>
      </c>
      <c r="D428" s="243">
        <v>41443</v>
      </c>
      <c r="E428" s="589" t="s">
        <v>185</v>
      </c>
      <c r="F428" s="589" t="s">
        <v>1392</v>
      </c>
      <c r="G428" s="589" t="s">
        <v>1483</v>
      </c>
      <c r="H428" s="589">
        <v>9</v>
      </c>
      <c r="I428" s="583">
        <v>9</v>
      </c>
      <c r="J428" s="589"/>
      <c r="K428" s="589" t="s">
        <v>1071</v>
      </c>
      <c r="L428" s="806">
        <v>2</v>
      </c>
      <c r="M428" s="806">
        <v>8</v>
      </c>
      <c r="N428" s="807">
        <v>41444</v>
      </c>
    </row>
    <row r="429" spans="1:14">
      <c r="A429" s="804" t="s">
        <v>1529</v>
      </c>
      <c r="B429" s="583">
        <v>5</v>
      </c>
      <c r="C429" s="243">
        <v>41443</v>
      </c>
      <c r="D429" s="243">
        <v>41443</v>
      </c>
      <c r="E429" s="589" t="s">
        <v>245</v>
      </c>
      <c r="F429" s="589" t="s">
        <v>1392</v>
      </c>
      <c r="G429" s="589" t="s">
        <v>991</v>
      </c>
      <c r="H429" s="589">
        <v>46</v>
      </c>
      <c r="I429" s="583">
        <v>46</v>
      </c>
      <c r="J429" s="589"/>
      <c r="K429" s="637" t="s">
        <v>1071</v>
      </c>
      <c r="L429" s="809">
        <v>5</v>
      </c>
      <c r="M429" s="809">
        <v>35</v>
      </c>
      <c r="N429" s="807">
        <v>41446</v>
      </c>
    </row>
    <row r="430" spans="1:14">
      <c r="A430" s="804" t="s">
        <v>1529</v>
      </c>
      <c r="B430" s="583">
        <v>5</v>
      </c>
      <c r="C430" s="243">
        <v>41443</v>
      </c>
      <c r="D430" s="243">
        <v>41443</v>
      </c>
      <c r="E430" s="589" t="s">
        <v>179</v>
      </c>
      <c r="F430" s="589" t="s">
        <v>1392</v>
      </c>
      <c r="G430" s="805" t="s">
        <v>1000</v>
      </c>
      <c r="H430" s="589">
        <v>27</v>
      </c>
      <c r="I430" s="583">
        <v>27</v>
      </c>
      <c r="J430" s="589"/>
      <c r="K430" s="589" t="s">
        <v>1071</v>
      </c>
      <c r="L430" s="806">
        <v>2</v>
      </c>
      <c r="M430" s="806">
        <v>8</v>
      </c>
      <c r="N430" s="807">
        <v>41464</v>
      </c>
    </row>
    <row r="431" spans="1:14">
      <c r="A431" s="804" t="s">
        <v>1530</v>
      </c>
      <c r="B431" s="583" t="s">
        <v>439</v>
      </c>
      <c r="C431" s="243">
        <v>41443</v>
      </c>
      <c r="D431" s="243">
        <v>41443</v>
      </c>
      <c r="E431" s="584" t="s">
        <v>206</v>
      </c>
      <c r="F431" s="589" t="s">
        <v>1392</v>
      </c>
      <c r="G431" s="805" t="s">
        <v>996</v>
      </c>
      <c r="H431" s="589">
        <v>348</v>
      </c>
      <c r="I431" s="583">
        <v>348</v>
      </c>
      <c r="J431" s="589"/>
      <c r="K431" s="637" t="s">
        <v>1071</v>
      </c>
      <c r="L431" s="806">
        <v>6</v>
      </c>
      <c r="M431" s="806">
        <v>42</v>
      </c>
      <c r="N431" s="807">
        <v>41464</v>
      </c>
    </row>
    <row r="432" spans="1:14">
      <c r="A432" s="804" t="s">
        <v>1530</v>
      </c>
      <c r="B432" s="583" t="s">
        <v>439</v>
      </c>
      <c r="C432" s="243">
        <v>41443</v>
      </c>
      <c r="D432" s="243">
        <v>41443</v>
      </c>
      <c r="E432" s="589" t="s">
        <v>185</v>
      </c>
      <c r="F432" s="589" t="s">
        <v>1392</v>
      </c>
      <c r="G432" s="589" t="s">
        <v>1483</v>
      </c>
      <c r="H432" s="589">
        <v>137</v>
      </c>
      <c r="I432" s="583">
        <v>137</v>
      </c>
      <c r="J432" s="589"/>
      <c r="K432" s="589" t="s">
        <v>1071</v>
      </c>
      <c r="L432" s="806">
        <v>2</v>
      </c>
      <c r="M432" s="806">
        <v>8</v>
      </c>
      <c r="N432" s="807">
        <v>41444</v>
      </c>
    </row>
    <row r="433" spans="1:14">
      <c r="A433" s="804" t="s">
        <v>1530</v>
      </c>
      <c r="B433" s="583" t="s">
        <v>439</v>
      </c>
      <c r="C433" s="243">
        <v>41443</v>
      </c>
      <c r="D433" s="243">
        <v>41443</v>
      </c>
      <c r="E433" s="589" t="s">
        <v>245</v>
      </c>
      <c r="F433" s="589" t="s">
        <v>1392</v>
      </c>
      <c r="G433" s="589" t="s">
        <v>991</v>
      </c>
      <c r="H433" s="589">
        <v>46</v>
      </c>
      <c r="I433" s="583">
        <v>46</v>
      </c>
      <c r="J433" s="589"/>
      <c r="K433" s="637" t="s">
        <v>1071</v>
      </c>
      <c r="L433" s="809">
        <v>5</v>
      </c>
      <c r="M433" s="809">
        <v>35</v>
      </c>
      <c r="N433" s="807">
        <v>41446</v>
      </c>
    </row>
    <row r="434" spans="1:14">
      <c r="A434" s="804" t="s">
        <v>1530</v>
      </c>
      <c r="B434" s="583" t="s">
        <v>439</v>
      </c>
      <c r="C434" s="243">
        <v>41443</v>
      </c>
      <c r="D434" s="243">
        <v>41443</v>
      </c>
      <c r="E434" s="589" t="s">
        <v>179</v>
      </c>
      <c r="F434" s="589" t="s">
        <v>1392</v>
      </c>
      <c r="G434" s="805" t="s">
        <v>1000</v>
      </c>
      <c r="H434" s="589">
        <v>24</v>
      </c>
      <c r="I434" s="583">
        <v>24</v>
      </c>
      <c r="J434" s="589"/>
      <c r="K434" s="589" t="s">
        <v>1071</v>
      </c>
      <c r="L434" s="806">
        <v>2</v>
      </c>
      <c r="M434" s="806">
        <v>8</v>
      </c>
      <c r="N434" s="807">
        <v>41464</v>
      </c>
    </row>
    <row r="435" spans="1:14">
      <c r="A435" s="589" t="s">
        <v>1531</v>
      </c>
      <c r="B435" s="583">
        <v>9</v>
      </c>
      <c r="C435" s="243">
        <v>41443</v>
      </c>
      <c r="D435" s="243">
        <v>41443</v>
      </c>
      <c r="E435" s="584" t="s">
        <v>206</v>
      </c>
      <c r="F435" s="589" t="s">
        <v>1392</v>
      </c>
      <c r="G435" s="805" t="s">
        <v>996</v>
      </c>
      <c r="H435" s="589">
        <v>413</v>
      </c>
      <c r="I435" s="583">
        <v>413</v>
      </c>
      <c r="J435" s="589"/>
      <c r="K435" s="637" t="s">
        <v>1071</v>
      </c>
      <c r="L435" s="806">
        <v>6</v>
      </c>
      <c r="M435" s="806">
        <v>42</v>
      </c>
      <c r="N435" s="807">
        <v>41464</v>
      </c>
    </row>
    <row r="436" spans="1:14">
      <c r="A436" s="589" t="s">
        <v>1531</v>
      </c>
      <c r="B436" s="583">
        <v>9</v>
      </c>
      <c r="C436" s="243">
        <v>41443</v>
      </c>
      <c r="D436" s="243">
        <v>41443</v>
      </c>
      <c r="E436" s="589" t="s">
        <v>185</v>
      </c>
      <c r="F436" s="589" t="s">
        <v>1392</v>
      </c>
      <c r="G436" s="589" t="s">
        <v>1483</v>
      </c>
      <c r="H436" s="589">
        <v>146</v>
      </c>
      <c r="I436" s="583">
        <v>146</v>
      </c>
      <c r="J436" s="589"/>
      <c r="K436" s="589" t="s">
        <v>1071</v>
      </c>
      <c r="L436" s="806">
        <v>2</v>
      </c>
      <c r="M436" s="806">
        <v>8</v>
      </c>
      <c r="N436" s="807">
        <v>41444</v>
      </c>
    </row>
    <row r="437" spans="1:14">
      <c r="A437" s="589" t="s">
        <v>1531</v>
      </c>
      <c r="B437" s="583">
        <v>9</v>
      </c>
      <c r="C437" s="243">
        <v>41443</v>
      </c>
      <c r="D437" s="243">
        <v>41443</v>
      </c>
      <c r="E437" s="589" t="s">
        <v>245</v>
      </c>
      <c r="F437" s="589" t="s">
        <v>1392</v>
      </c>
      <c r="G437" s="589" t="s">
        <v>991</v>
      </c>
      <c r="H437" s="589">
        <v>49</v>
      </c>
      <c r="I437" s="583">
        <v>49</v>
      </c>
      <c r="J437" s="688"/>
      <c r="K437" s="637" t="s">
        <v>1071</v>
      </c>
      <c r="L437" s="809">
        <v>5</v>
      </c>
      <c r="M437" s="809">
        <v>35</v>
      </c>
      <c r="N437" s="807">
        <v>41446</v>
      </c>
    </row>
    <row r="438" spans="1:14">
      <c r="A438" s="589" t="s">
        <v>1531</v>
      </c>
      <c r="B438" s="583">
        <v>9</v>
      </c>
      <c r="C438" s="243">
        <v>41443</v>
      </c>
      <c r="D438" s="243">
        <v>41443</v>
      </c>
      <c r="E438" s="589" t="s">
        <v>179</v>
      </c>
      <c r="F438" s="589" t="s">
        <v>1392</v>
      </c>
      <c r="G438" s="805" t="s">
        <v>1000</v>
      </c>
      <c r="H438" s="589">
        <v>35</v>
      </c>
      <c r="I438" s="583">
        <v>35</v>
      </c>
      <c r="J438" s="589"/>
      <c r="K438" s="589" t="s">
        <v>1071</v>
      </c>
      <c r="L438" s="806">
        <v>2</v>
      </c>
      <c r="M438" s="806">
        <v>8</v>
      </c>
      <c r="N438" s="807">
        <v>41464</v>
      </c>
    </row>
    <row r="439" spans="1:14">
      <c r="A439" s="804" t="s">
        <v>1532</v>
      </c>
      <c r="B439" s="583">
        <v>12</v>
      </c>
      <c r="C439" s="243">
        <v>41443</v>
      </c>
      <c r="D439" s="243">
        <v>41443</v>
      </c>
      <c r="E439" s="584" t="s">
        <v>206</v>
      </c>
      <c r="F439" s="589" t="s">
        <v>1392</v>
      </c>
      <c r="G439" s="805" t="s">
        <v>996</v>
      </c>
      <c r="H439" s="589">
        <v>442</v>
      </c>
      <c r="I439" s="583">
        <v>442</v>
      </c>
      <c r="J439" s="589"/>
      <c r="K439" s="637" t="s">
        <v>1071</v>
      </c>
      <c r="L439" s="806">
        <v>6</v>
      </c>
      <c r="M439" s="806">
        <v>42</v>
      </c>
      <c r="N439" s="807">
        <v>41464</v>
      </c>
    </row>
    <row r="440" spans="1:14">
      <c r="A440" s="804" t="s">
        <v>1532</v>
      </c>
      <c r="B440" s="583">
        <v>12</v>
      </c>
      <c r="C440" s="243">
        <v>41443</v>
      </c>
      <c r="D440" s="243">
        <v>41443</v>
      </c>
      <c r="E440" s="589" t="s">
        <v>185</v>
      </c>
      <c r="F440" s="589" t="s">
        <v>1392</v>
      </c>
      <c r="G440" s="589" t="s">
        <v>1483</v>
      </c>
      <c r="H440" s="589">
        <v>178</v>
      </c>
      <c r="I440" s="583">
        <v>178</v>
      </c>
      <c r="J440" s="589"/>
      <c r="K440" s="589" t="s">
        <v>1071</v>
      </c>
      <c r="L440" s="806">
        <v>2</v>
      </c>
      <c r="M440" s="806">
        <v>8</v>
      </c>
      <c r="N440" s="807">
        <v>41444</v>
      </c>
    </row>
    <row r="441" spans="1:14">
      <c r="A441" s="804" t="s">
        <v>1532</v>
      </c>
      <c r="B441" s="583">
        <v>12</v>
      </c>
      <c r="C441" s="243">
        <v>41443</v>
      </c>
      <c r="D441" s="243">
        <v>41443</v>
      </c>
      <c r="E441" s="589" t="s">
        <v>245</v>
      </c>
      <c r="F441" s="589" t="s">
        <v>1392</v>
      </c>
      <c r="G441" s="589" t="s">
        <v>991</v>
      </c>
      <c r="H441" s="589">
        <v>46</v>
      </c>
      <c r="I441" s="583">
        <v>46</v>
      </c>
      <c r="J441" s="589"/>
      <c r="K441" s="637" t="s">
        <v>1071</v>
      </c>
      <c r="L441" s="809">
        <v>5</v>
      </c>
      <c r="M441" s="809">
        <v>35</v>
      </c>
      <c r="N441" s="807">
        <v>41446</v>
      </c>
    </row>
    <row r="442" spans="1:14">
      <c r="A442" s="804" t="s">
        <v>1532</v>
      </c>
      <c r="B442" s="583">
        <v>12</v>
      </c>
      <c r="C442" s="243">
        <v>41443</v>
      </c>
      <c r="D442" s="243">
        <v>41443</v>
      </c>
      <c r="E442" s="589" t="s">
        <v>179</v>
      </c>
      <c r="F442" s="589" t="s">
        <v>1392</v>
      </c>
      <c r="G442" s="805" t="s">
        <v>1000</v>
      </c>
      <c r="H442" s="589">
        <v>42</v>
      </c>
      <c r="I442" s="583">
        <v>42</v>
      </c>
      <c r="J442" s="589"/>
      <c r="K442" s="589" t="s">
        <v>1071</v>
      </c>
      <c r="L442" s="806">
        <v>2</v>
      </c>
      <c r="M442" s="806">
        <v>8</v>
      </c>
      <c r="N442" s="807">
        <v>41464</v>
      </c>
    </row>
    <row r="443" spans="1:14">
      <c r="A443" s="804" t="s">
        <v>1533</v>
      </c>
      <c r="B443" s="583" t="s">
        <v>440</v>
      </c>
      <c r="C443" s="243">
        <v>41443</v>
      </c>
      <c r="D443" s="243">
        <v>41443</v>
      </c>
      <c r="E443" s="584" t="s">
        <v>206</v>
      </c>
      <c r="F443" s="589" t="s">
        <v>1392</v>
      </c>
      <c r="G443" s="805" t="s">
        <v>996</v>
      </c>
      <c r="H443" s="589">
        <v>539</v>
      </c>
      <c r="I443" s="583">
        <v>539</v>
      </c>
      <c r="J443" s="589"/>
      <c r="K443" s="637" t="s">
        <v>1071</v>
      </c>
      <c r="L443" s="806">
        <v>6</v>
      </c>
      <c r="M443" s="806">
        <v>42</v>
      </c>
      <c r="N443" s="807">
        <v>41464</v>
      </c>
    </row>
    <row r="444" spans="1:14">
      <c r="A444" s="804" t="s">
        <v>1533</v>
      </c>
      <c r="B444" s="585" t="s">
        <v>440</v>
      </c>
      <c r="C444" s="243">
        <v>41443</v>
      </c>
      <c r="D444" s="243">
        <v>41443</v>
      </c>
      <c r="E444" s="589" t="s">
        <v>185</v>
      </c>
      <c r="F444" s="589" t="s">
        <v>1392</v>
      </c>
      <c r="G444" s="805" t="s">
        <v>996</v>
      </c>
      <c r="H444" s="589">
        <v>266</v>
      </c>
      <c r="I444" s="583">
        <v>266</v>
      </c>
      <c r="J444" s="589"/>
      <c r="K444" s="637" t="s">
        <v>1071</v>
      </c>
      <c r="L444" s="806">
        <v>2</v>
      </c>
      <c r="M444" s="806">
        <v>8</v>
      </c>
      <c r="N444" s="807">
        <v>41444</v>
      </c>
    </row>
    <row r="445" spans="1:14">
      <c r="A445" s="804" t="s">
        <v>1533</v>
      </c>
      <c r="B445" s="585" t="s">
        <v>440</v>
      </c>
      <c r="C445" s="243">
        <v>41443</v>
      </c>
      <c r="D445" s="243">
        <v>41443</v>
      </c>
      <c r="E445" s="589" t="s">
        <v>245</v>
      </c>
      <c r="F445" s="589" t="s">
        <v>1392</v>
      </c>
      <c r="G445" s="589" t="s">
        <v>991</v>
      </c>
      <c r="H445" s="589">
        <v>39</v>
      </c>
      <c r="I445" s="583">
        <v>39</v>
      </c>
      <c r="J445" s="589"/>
      <c r="K445" s="589" t="s">
        <v>1071</v>
      </c>
      <c r="L445" s="809">
        <v>5</v>
      </c>
      <c r="M445" s="809">
        <v>35</v>
      </c>
      <c r="N445" s="807">
        <v>41446</v>
      </c>
    </row>
    <row r="446" spans="1:14">
      <c r="A446" s="804" t="s">
        <v>1533</v>
      </c>
      <c r="B446" s="585" t="s">
        <v>440</v>
      </c>
      <c r="C446" s="243">
        <v>41443</v>
      </c>
      <c r="D446" s="243">
        <v>41443</v>
      </c>
      <c r="E446" s="589" t="s">
        <v>179</v>
      </c>
      <c r="F446" s="589" t="s">
        <v>1392</v>
      </c>
      <c r="G446" s="805" t="s">
        <v>1000</v>
      </c>
      <c r="H446" s="589">
        <v>48</v>
      </c>
      <c r="I446" s="583">
        <v>48</v>
      </c>
      <c r="J446" s="589"/>
      <c r="K446" s="589" t="s">
        <v>1071</v>
      </c>
      <c r="L446" s="806">
        <v>2</v>
      </c>
      <c r="M446" s="806">
        <v>8</v>
      </c>
      <c r="N446" s="807">
        <v>41464</v>
      </c>
    </row>
    <row r="447" spans="1:14">
      <c r="A447" s="804" t="s">
        <v>1534</v>
      </c>
      <c r="B447" s="583" t="s">
        <v>1137</v>
      </c>
      <c r="C447" s="243">
        <v>41443</v>
      </c>
      <c r="D447" s="243">
        <v>41443</v>
      </c>
      <c r="E447" s="584" t="s">
        <v>206</v>
      </c>
      <c r="F447" s="589" t="s">
        <v>1392</v>
      </c>
      <c r="G447" s="805" t="s">
        <v>996</v>
      </c>
      <c r="H447" s="589">
        <v>466</v>
      </c>
      <c r="I447" s="583">
        <v>466</v>
      </c>
      <c r="J447" s="589"/>
      <c r="K447" s="637" t="s">
        <v>1071</v>
      </c>
      <c r="L447" s="806">
        <v>6</v>
      </c>
      <c r="M447" s="806">
        <v>42</v>
      </c>
      <c r="N447" s="807">
        <v>41464</v>
      </c>
    </row>
    <row r="448" spans="1:14">
      <c r="A448" s="804" t="s">
        <v>1534</v>
      </c>
      <c r="B448" s="583" t="s">
        <v>1137</v>
      </c>
      <c r="C448" s="243">
        <v>41443</v>
      </c>
      <c r="D448" s="243">
        <v>41443</v>
      </c>
      <c r="E448" s="589" t="s">
        <v>185</v>
      </c>
      <c r="F448" s="589" t="s">
        <v>1392</v>
      </c>
      <c r="G448" s="589" t="s">
        <v>1483</v>
      </c>
      <c r="H448" s="589">
        <v>179</v>
      </c>
      <c r="I448" s="583">
        <v>179</v>
      </c>
      <c r="J448" s="589"/>
      <c r="K448" s="589" t="s">
        <v>1071</v>
      </c>
      <c r="L448" s="806">
        <v>2</v>
      </c>
      <c r="M448" s="806">
        <v>8</v>
      </c>
      <c r="N448" s="807">
        <v>41444</v>
      </c>
    </row>
    <row r="449" spans="1:14">
      <c r="A449" s="804" t="s">
        <v>1534</v>
      </c>
      <c r="B449" s="583" t="s">
        <v>1137</v>
      </c>
      <c r="C449" s="243">
        <v>41443</v>
      </c>
      <c r="D449" s="243">
        <v>41443</v>
      </c>
      <c r="E449" s="589" t="s">
        <v>245</v>
      </c>
      <c r="F449" s="589" t="s">
        <v>1392</v>
      </c>
      <c r="G449" s="589" t="s">
        <v>991</v>
      </c>
      <c r="H449" s="589">
        <v>49</v>
      </c>
      <c r="I449" s="583">
        <v>49</v>
      </c>
      <c r="J449" s="589"/>
      <c r="K449" s="589" t="s">
        <v>1071</v>
      </c>
      <c r="L449" s="809">
        <v>5</v>
      </c>
      <c r="M449" s="809">
        <v>35</v>
      </c>
      <c r="N449" s="807">
        <v>41446</v>
      </c>
    </row>
    <row r="450" spans="1:14">
      <c r="A450" s="804" t="s">
        <v>1534</v>
      </c>
      <c r="B450" s="583" t="s">
        <v>1137</v>
      </c>
      <c r="C450" s="243">
        <v>41443</v>
      </c>
      <c r="D450" s="243">
        <v>41443</v>
      </c>
      <c r="E450" s="589" t="s">
        <v>179</v>
      </c>
      <c r="F450" s="589" t="s">
        <v>1392</v>
      </c>
      <c r="G450" s="805" t="s">
        <v>1000</v>
      </c>
      <c r="H450" s="589">
        <v>47</v>
      </c>
      <c r="I450" s="583">
        <v>47</v>
      </c>
      <c r="J450" s="589"/>
      <c r="K450" s="589" t="s">
        <v>1071</v>
      </c>
      <c r="L450" s="806">
        <v>2</v>
      </c>
      <c r="M450" s="806">
        <v>8</v>
      </c>
      <c r="N450" s="807">
        <v>41464</v>
      </c>
    </row>
    <row r="451" spans="1:14">
      <c r="A451" s="804" t="s">
        <v>1535</v>
      </c>
      <c r="B451" s="583">
        <v>34</v>
      </c>
      <c r="C451" s="243">
        <v>41443</v>
      </c>
      <c r="D451" s="243">
        <v>41443</v>
      </c>
      <c r="E451" s="584" t="s">
        <v>206</v>
      </c>
      <c r="F451" s="589" t="s">
        <v>1392</v>
      </c>
      <c r="G451" s="805" t="s">
        <v>996</v>
      </c>
      <c r="H451" s="589">
        <v>1117</v>
      </c>
      <c r="I451" s="583">
        <v>1117</v>
      </c>
      <c r="J451" s="589"/>
      <c r="K451" s="637" t="s">
        <v>1071</v>
      </c>
      <c r="L451" s="806">
        <v>6</v>
      </c>
      <c r="M451" s="806">
        <v>42</v>
      </c>
      <c r="N451" s="807">
        <v>41464</v>
      </c>
    </row>
    <row r="452" spans="1:14">
      <c r="A452" s="804" t="s">
        <v>1535</v>
      </c>
      <c r="B452" s="583">
        <v>34</v>
      </c>
      <c r="C452" s="243">
        <v>41443</v>
      </c>
      <c r="D452" s="243">
        <v>41443</v>
      </c>
      <c r="E452" s="589" t="s">
        <v>185</v>
      </c>
      <c r="F452" s="589" t="s">
        <v>1392</v>
      </c>
      <c r="G452" s="589" t="s">
        <v>1483</v>
      </c>
      <c r="H452" s="589">
        <v>461</v>
      </c>
      <c r="I452" s="583">
        <v>461</v>
      </c>
      <c r="J452" s="589"/>
      <c r="K452" s="589" t="s">
        <v>1071</v>
      </c>
      <c r="L452" s="806">
        <v>2</v>
      </c>
      <c r="M452" s="806">
        <v>8</v>
      </c>
      <c r="N452" s="807">
        <v>41444</v>
      </c>
    </row>
    <row r="453" spans="1:14">
      <c r="A453" s="804" t="s">
        <v>1535</v>
      </c>
      <c r="B453" s="583">
        <v>34</v>
      </c>
      <c r="C453" s="243">
        <v>41443</v>
      </c>
      <c r="D453" s="243">
        <v>41443</v>
      </c>
      <c r="E453" s="589" t="s">
        <v>245</v>
      </c>
      <c r="F453" s="589" t="s">
        <v>1392</v>
      </c>
      <c r="G453" s="589" t="s">
        <v>991</v>
      </c>
      <c r="H453" s="589">
        <v>80</v>
      </c>
      <c r="I453" s="583">
        <v>80</v>
      </c>
      <c r="J453" s="589"/>
      <c r="K453" s="637" t="s">
        <v>1071</v>
      </c>
      <c r="L453" s="809">
        <v>5</v>
      </c>
      <c r="M453" s="809">
        <v>35</v>
      </c>
      <c r="N453" s="807">
        <v>41446</v>
      </c>
    </row>
    <row r="454" spans="1:14">
      <c r="A454" s="804" t="s">
        <v>1535</v>
      </c>
      <c r="B454" s="583">
        <v>34</v>
      </c>
      <c r="C454" s="243">
        <v>41443</v>
      </c>
      <c r="D454" s="243">
        <v>41443</v>
      </c>
      <c r="E454" s="589" t="s">
        <v>179</v>
      </c>
      <c r="F454" s="589" t="s">
        <v>1392</v>
      </c>
      <c r="G454" s="805" t="s">
        <v>1000</v>
      </c>
      <c r="H454" s="589">
        <v>76</v>
      </c>
      <c r="I454" s="583">
        <v>76</v>
      </c>
      <c r="J454" s="589"/>
      <c r="K454" s="589" t="s">
        <v>1071</v>
      </c>
      <c r="L454" s="806">
        <v>2</v>
      </c>
      <c r="M454" s="806">
        <v>8</v>
      </c>
      <c r="N454" s="807">
        <v>41464</v>
      </c>
    </row>
    <row r="455" spans="1:14">
      <c r="A455" s="804" t="s">
        <v>1536</v>
      </c>
      <c r="B455" s="583">
        <v>18</v>
      </c>
      <c r="C455" s="243">
        <v>41443</v>
      </c>
      <c r="D455" s="243">
        <v>41443</v>
      </c>
      <c r="E455" s="584" t="s">
        <v>206</v>
      </c>
      <c r="F455" s="589" t="s">
        <v>1392</v>
      </c>
      <c r="G455" s="805" t="s">
        <v>996</v>
      </c>
      <c r="H455" s="589">
        <v>503</v>
      </c>
      <c r="I455" s="583">
        <v>503</v>
      </c>
      <c r="J455" s="589"/>
      <c r="K455" s="637" t="s">
        <v>1071</v>
      </c>
      <c r="L455" s="806">
        <v>6</v>
      </c>
      <c r="M455" s="806">
        <v>42</v>
      </c>
      <c r="N455" s="807">
        <v>41464</v>
      </c>
    </row>
    <row r="456" spans="1:14">
      <c r="A456" s="804" t="s">
        <v>1536</v>
      </c>
      <c r="B456" s="583">
        <v>18</v>
      </c>
      <c r="C456" s="243">
        <v>41443</v>
      </c>
      <c r="D456" s="243">
        <v>41443</v>
      </c>
      <c r="E456" s="589" t="s">
        <v>185</v>
      </c>
      <c r="F456" s="589" t="s">
        <v>1392</v>
      </c>
      <c r="G456" s="589" t="s">
        <v>1483</v>
      </c>
      <c r="H456" s="589">
        <v>2</v>
      </c>
      <c r="I456" s="583">
        <v>2</v>
      </c>
      <c r="J456" s="589" t="s">
        <v>1419</v>
      </c>
      <c r="K456" s="589" t="s">
        <v>1071</v>
      </c>
      <c r="L456" s="806">
        <v>2</v>
      </c>
      <c r="M456" s="806">
        <v>8</v>
      </c>
      <c r="N456" s="807">
        <v>41444</v>
      </c>
    </row>
    <row r="457" spans="1:14">
      <c r="A457" s="804" t="s">
        <v>1536</v>
      </c>
      <c r="B457" s="583">
        <v>18</v>
      </c>
      <c r="C457" s="243">
        <v>41443</v>
      </c>
      <c r="D457" s="243">
        <v>41443</v>
      </c>
      <c r="E457" s="589" t="s">
        <v>245</v>
      </c>
      <c r="F457" s="589" t="s">
        <v>1392</v>
      </c>
      <c r="G457" s="589" t="s">
        <v>991</v>
      </c>
      <c r="H457" s="589">
        <v>34</v>
      </c>
      <c r="I457" s="583">
        <v>34</v>
      </c>
      <c r="J457" s="589" t="s">
        <v>1419</v>
      </c>
      <c r="K457" s="637" t="s">
        <v>1071</v>
      </c>
      <c r="L457" s="809">
        <v>5</v>
      </c>
      <c r="M457" s="809">
        <v>35</v>
      </c>
      <c r="N457" s="807">
        <v>41446</v>
      </c>
    </row>
    <row r="458" spans="1:14">
      <c r="A458" s="804" t="s">
        <v>1536</v>
      </c>
      <c r="B458" s="583">
        <v>18</v>
      </c>
      <c r="C458" s="243">
        <v>41443</v>
      </c>
      <c r="D458" s="243">
        <v>41443</v>
      </c>
      <c r="E458" s="589" t="s">
        <v>179</v>
      </c>
      <c r="F458" s="589" t="s">
        <v>1392</v>
      </c>
      <c r="G458" s="805" t="s">
        <v>1000</v>
      </c>
      <c r="H458" s="589">
        <v>16</v>
      </c>
      <c r="I458" s="583">
        <v>16</v>
      </c>
      <c r="J458" s="589"/>
      <c r="K458" s="589" t="s">
        <v>1071</v>
      </c>
      <c r="L458" s="806">
        <v>2</v>
      </c>
      <c r="M458" s="806">
        <v>8</v>
      </c>
      <c r="N458" s="807">
        <v>41464</v>
      </c>
    </row>
    <row r="459" spans="1:14">
      <c r="A459" s="804" t="s">
        <v>1537</v>
      </c>
      <c r="B459" s="583">
        <v>19</v>
      </c>
      <c r="C459" s="243">
        <v>41443</v>
      </c>
      <c r="D459" s="243">
        <v>41443</v>
      </c>
      <c r="E459" s="584" t="s">
        <v>206</v>
      </c>
      <c r="F459" s="589" t="s">
        <v>1392</v>
      </c>
      <c r="G459" s="805" t="s">
        <v>996</v>
      </c>
      <c r="H459" s="589">
        <v>234</v>
      </c>
      <c r="I459" s="583">
        <v>234</v>
      </c>
      <c r="J459" s="589"/>
      <c r="K459" s="637" t="s">
        <v>1071</v>
      </c>
      <c r="L459" s="806">
        <v>6</v>
      </c>
      <c r="M459" s="806">
        <v>42</v>
      </c>
      <c r="N459" s="807">
        <v>41464</v>
      </c>
    </row>
    <row r="460" spans="1:14">
      <c r="A460" s="804" t="s">
        <v>1537</v>
      </c>
      <c r="B460" s="583">
        <v>19</v>
      </c>
      <c r="C460" s="243">
        <v>41443</v>
      </c>
      <c r="D460" s="243">
        <v>41443</v>
      </c>
      <c r="E460" s="589" t="s">
        <v>185</v>
      </c>
      <c r="F460" s="589" t="s">
        <v>1392</v>
      </c>
      <c r="G460" s="589" t="s">
        <v>1483</v>
      </c>
      <c r="H460" s="589">
        <v>38</v>
      </c>
      <c r="I460" s="583">
        <v>38</v>
      </c>
      <c r="J460" s="589"/>
      <c r="K460" s="589" t="s">
        <v>1071</v>
      </c>
      <c r="L460" s="806">
        <v>2</v>
      </c>
      <c r="M460" s="806">
        <v>8</v>
      </c>
      <c r="N460" s="807">
        <v>41444</v>
      </c>
    </row>
    <row r="461" spans="1:14">
      <c r="A461" s="804" t="s">
        <v>1537</v>
      </c>
      <c r="B461" s="583">
        <v>19</v>
      </c>
      <c r="C461" s="243">
        <v>41443</v>
      </c>
      <c r="D461" s="243">
        <v>41443</v>
      </c>
      <c r="E461" s="589" t="s">
        <v>245</v>
      </c>
      <c r="F461" s="589" t="s">
        <v>1392</v>
      </c>
      <c r="G461" s="589" t="s">
        <v>991</v>
      </c>
      <c r="H461" s="589">
        <v>38</v>
      </c>
      <c r="I461" s="583">
        <v>38</v>
      </c>
      <c r="J461" s="589"/>
      <c r="K461" s="637" t="s">
        <v>1071</v>
      </c>
      <c r="L461" s="809">
        <v>5</v>
      </c>
      <c r="M461" s="809">
        <v>35</v>
      </c>
      <c r="N461" s="807">
        <v>41446</v>
      </c>
    </row>
    <row r="462" spans="1:14">
      <c r="A462" s="804" t="s">
        <v>1537</v>
      </c>
      <c r="B462" s="583">
        <v>19</v>
      </c>
      <c r="C462" s="243">
        <v>41443</v>
      </c>
      <c r="D462" s="243">
        <v>41443</v>
      </c>
      <c r="E462" s="589" t="s">
        <v>179</v>
      </c>
      <c r="F462" s="589" t="s">
        <v>1392</v>
      </c>
      <c r="G462" s="805" t="s">
        <v>1000</v>
      </c>
      <c r="H462" s="589">
        <v>12</v>
      </c>
      <c r="I462" s="583">
        <v>12</v>
      </c>
      <c r="J462" s="589"/>
      <c r="K462" s="589" t="s">
        <v>1071</v>
      </c>
      <c r="L462" s="806">
        <v>2</v>
      </c>
      <c r="M462" s="806">
        <v>8</v>
      </c>
      <c r="N462" s="807">
        <v>41464</v>
      </c>
    </row>
    <row r="463" spans="1:14">
      <c r="A463" s="804" t="s">
        <v>1538</v>
      </c>
      <c r="B463" s="583">
        <v>58</v>
      </c>
      <c r="C463" s="243">
        <v>41443</v>
      </c>
      <c r="D463" s="243">
        <v>41443</v>
      </c>
      <c r="E463" s="584" t="s">
        <v>206</v>
      </c>
      <c r="F463" s="589" t="s">
        <v>1392</v>
      </c>
      <c r="G463" s="805" t="s">
        <v>996</v>
      </c>
      <c r="H463" s="589">
        <v>195</v>
      </c>
      <c r="I463" s="583">
        <v>195</v>
      </c>
      <c r="J463" s="589"/>
      <c r="K463" s="637" t="s">
        <v>1071</v>
      </c>
      <c r="L463" s="806">
        <v>6</v>
      </c>
      <c r="M463" s="806">
        <v>42</v>
      </c>
      <c r="N463" s="807">
        <v>41464</v>
      </c>
    </row>
    <row r="464" spans="1:14">
      <c r="A464" s="804" t="s">
        <v>1538</v>
      </c>
      <c r="B464" s="583">
        <v>58</v>
      </c>
      <c r="C464" s="243">
        <v>41443</v>
      </c>
      <c r="D464" s="243">
        <v>41443</v>
      </c>
      <c r="E464" s="589" t="s">
        <v>185</v>
      </c>
      <c r="F464" s="589" t="s">
        <v>1392</v>
      </c>
      <c r="G464" s="589" t="s">
        <v>1483</v>
      </c>
      <c r="H464" s="589">
        <v>104</v>
      </c>
      <c r="I464" s="583">
        <v>104</v>
      </c>
      <c r="J464" s="589"/>
      <c r="K464" s="589" t="s">
        <v>1071</v>
      </c>
      <c r="L464" s="806">
        <v>2</v>
      </c>
      <c r="M464" s="806">
        <v>8</v>
      </c>
      <c r="N464" s="807">
        <v>41444</v>
      </c>
    </row>
    <row r="465" spans="1:14">
      <c r="A465" s="804" t="s">
        <v>1538</v>
      </c>
      <c r="B465" s="583">
        <v>58</v>
      </c>
      <c r="C465" s="243">
        <v>41443</v>
      </c>
      <c r="D465" s="243">
        <v>41443</v>
      </c>
      <c r="E465" s="589" t="s">
        <v>245</v>
      </c>
      <c r="F465" s="589" t="s">
        <v>1392</v>
      </c>
      <c r="G465" s="589" t="s">
        <v>991</v>
      </c>
      <c r="H465" s="589">
        <v>28</v>
      </c>
      <c r="I465" s="583">
        <v>28</v>
      </c>
      <c r="J465" s="589" t="s">
        <v>1419</v>
      </c>
      <c r="K465" s="637" t="s">
        <v>1071</v>
      </c>
      <c r="L465" s="809">
        <v>5</v>
      </c>
      <c r="M465" s="809">
        <v>35</v>
      </c>
      <c r="N465" s="807">
        <v>41446</v>
      </c>
    </row>
    <row r="466" spans="1:14">
      <c r="A466" s="804" t="s">
        <v>1538</v>
      </c>
      <c r="B466" s="583">
        <v>58</v>
      </c>
      <c r="C466" s="243">
        <v>41443</v>
      </c>
      <c r="D466" s="243">
        <v>41443</v>
      </c>
      <c r="E466" s="589" t="s">
        <v>179</v>
      </c>
      <c r="F466" s="589" t="s">
        <v>1392</v>
      </c>
      <c r="G466" s="805" t="s">
        <v>1000</v>
      </c>
      <c r="H466" s="589">
        <v>5</v>
      </c>
      <c r="I466" s="583">
        <v>5</v>
      </c>
      <c r="J466" s="589" t="s">
        <v>1419</v>
      </c>
      <c r="K466" s="589" t="s">
        <v>1071</v>
      </c>
      <c r="L466" s="806">
        <v>2</v>
      </c>
      <c r="M466" s="806">
        <v>8</v>
      </c>
      <c r="N466" s="807">
        <v>41464</v>
      </c>
    </row>
    <row r="467" spans="1:14">
      <c r="A467" s="804" t="s">
        <v>1539</v>
      </c>
      <c r="B467" s="583" t="s">
        <v>1136</v>
      </c>
      <c r="C467" s="243">
        <v>41443</v>
      </c>
      <c r="D467" s="243">
        <v>41443</v>
      </c>
      <c r="E467" s="584" t="s">
        <v>206</v>
      </c>
      <c r="F467" s="589" t="s">
        <v>1392</v>
      </c>
      <c r="G467" s="805" t="s">
        <v>996</v>
      </c>
      <c r="H467" s="589">
        <v>150</v>
      </c>
      <c r="I467" s="583">
        <v>150</v>
      </c>
      <c r="J467" s="589"/>
      <c r="K467" s="637" t="s">
        <v>1071</v>
      </c>
      <c r="L467" s="806">
        <v>6</v>
      </c>
      <c r="M467" s="806">
        <v>42</v>
      </c>
      <c r="N467" s="807">
        <v>41464</v>
      </c>
    </row>
    <row r="468" spans="1:14">
      <c r="A468" s="804" t="s">
        <v>1539</v>
      </c>
      <c r="B468" s="583" t="s">
        <v>1136</v>
      </c>
      <c r="C468" s="243">
        <v>41443</v>
      </c>
      <c r="D468" s="243">
        <v>41443</v>
      </c>
      <c r="E468" s="589" t="s">
        <v>185</v>
      </c>
      <c r="F468" s="589" t="s">
        <v>1392</v>
      </c>
      <c r="G468" s="589" t="s">
        <v>1483</v>
      </c>
      <c r="H468" s="589">
        <v>46</v>
      </c>
      <c r="I468" s="583">
        <v>46</v>
      </c>
      <c r="J468" s="589"/>
      <c r="K468" s="589" t="s">
        <v>1071</v>
      </c>
      <c r="L468" s="806">
        <v>2</v>
      </c>
      <c r="M468" s="806">
        <v>8</v>
      </c>
      <c r="N468" s="807">
        <v>41444</v>
      </c>
    </row>
    <row r="469" spans="1:14">
      <c r="A469" s="804" t="s">
        <v>1539</v>
      </c>
      <c r="B469" s="583" t="s">
        <v>1136</v>
      </c>
      <c r="C469" s="243">
        <v>41443</v>
      </c>
      <c r="D469" s="243">
        <v>41443</v>
      </c>
      <c r="E469" s="589" t="s">
        <v>245</v>
      </c>
      <c r="F469" s="589" t="s">
        <v>1392</v>
      </c>
      <c r="G469" s="589" t="s">
        <v>991</v>
      </c>
      <c r="H469" s="589">
        <v>26</v>
      </c>
      <c r="I469" s="583">
        <v>26</v>
      </c>
      <c r="J469" s="589" t="s">
        <v>1419</v>
      </c>
      <c r="K469" s="637" t="s">
        <v>1071</v>
      </c>
      <c r="L469" s="809">
        <v>5</v>
      </c>
      <c r="M469" s="809">
        <v>35</v>
      </c>
      <c r="N469" s="807">
        <v>41446</v>
      </c>
    </row>
    <row r="470" spans="1:14">
      <c r="A470" s="804" t="s">
        <v>1539</v>
      </c>
      <c r="B470" s="583" t="s">
        <v>1136</v>
      </c>
      <c r="C470" s="243">
        <v>41443</v>
      </c>
      <c r="D470" s="243">
        <v>41443</v>
      </c>
      <c r="E470" s="589" t="s">
        <v>179</v>
      </c>
      <c r="F470" s="589" t="s">
        <v>1392</v>
      </c>
      <c r="G470" s="805" t="s">
        <v>1000</v>
      </c>
      <c r="H470" s="589">
        <v>14</v>
      </c>
      <c r="I470" s="583">
        <v>14</v>
      </c>
      <c r="J470" s="589"/>
      <c r="K470" s="589" t="s">
        <v>1071</v>
      </c>
      <c r="L470" s="806">
        <v>2</v>
      </c>
      <c r="M470" s="806">
        <v>8</v>
      </c>
      <c r="N470" s="807">
        <v>41464</v>
      </c>
    </row>
    <row r="471" spans="1:14">
      <c r="A471" s="804" t="s">
        <v>1540</v>
      </c>
      <c r="B471" s="583" t="s">
        <v>1135</v>
      </c>
      <c r="C471" s="243">
        <v>41443</v>
      </c>
      <c r="D471" s="243">
        <v>41443</v>
      </c>
      <c r="E471" s="584" t="s">
        <v>206</v>
      </c>
      <c r="F471" s="589" t="s">
        <v>1392</v>
      </c>
      <c r="G471" s="805" t="s">
        <v>996</v>
      </c>
      <c r="H471" s="589">
        <v>176</v>
      </c>
      <c r="I471" s="583">
        <v>176</v>
      </c>
      <c r="J471" s="589"/>
      <c r="K471" s="637" t="s">
        <v>1071</v>
      </c>
      <c r="L471" s="806">
        <v>6</v>
      </c>
      <c r="M471" s="806">
        <v>42</v>
      </c>
      <c r="N471" s="807">
        <v>41464</v>
      </c>
    </row>
    <row r="472" spans="1:14">
      <c r="A472" s="804" t="s">
        <v>1540</v>
      </c>
      <c r="B472" s="583" t="s">
        <v>1135</v>
      </c>
      <c r="C472" s="243">
        <v>41443</v>
      </c>
      <c r="D472" s="243">
        <v>41443</v>
      </c>
      <c r="E472" s="589" t="s">
        <v>185</v>
      </c>
      <c r="F472" s="589" t="s">
        <v>1392</v>
      </c>
      <c r="G472" s="589" t="s">
        <v>1483</v>
      </c>
      <c r="H472" s="589">
        <v>11</v>
      </c>
      <c r="I472" s="583">
        <v>11</v>
      </c>
      <c r="J472" s="589"/>
      <c r="K472" s="589" t="s">
        <v>1071</v>
      </c>
      <c r="L472" s="806">
        <v>2</v>
      </c>
      <c r="M472" s="806">
        <v>8</v>
      </c>
      <c r="N472" s="807">
        <v>41444</v>
      </c>
    </row>
    <row r="473" spans="1:14">
      <c r="A473" s="804" t="s">
        <v>1540</v>
      </c>
      <c r="B473" s="583" t="s">
        <v>1135</v>
      </c>
      <c r="C473" s="243">
        <v>41443</v>
      </c>
      <c r="D473" s="243">
        <v>41443</v>
      </c>
      <c r="E473" s="589" t="s">
        <v>245</v>
      </c>
      <c r="F473" s="589" t="s">
        <v>1392</v>
      </c>
      <c r="G473" s="589" t="s">
        <v>991</v>
      </c>
      <c r="H473" s="589">
        <v>26</v>
      </c>
      <c r="I473" s="583">
        <v>26</v>
      </c>
      <c r="J473" s="589" t="s">
        <v>1419</v>
      </c>
      <c r="K473" s="637" t="s">
        <v>1071</v>
      </c>
      <c r="L473" s="809">
        <v>5</v>
      </c>
      <c r="M473" s="809">
        <v>35</v>
      </c>
      <c r="N473" s="807">
        <v>41446</v>
      </c>
    </row>
    <row r="474" spans="1:14">
      <c r="A474" s="804" t="s">
        <v>1540</v>
      </c>
      <c r="B474" s="583" t="s">
        <v>1135</v>
      </c>
      <c r="C474" s="243">
        <v>41443</v>
      </c>
      <c r="D474" s="243">
        <v>41443</v>
      </c>
      <c r="E474" s="589" t="s">
        <v>179</v>
      </c>
      <c r="F474" s="589" t="s">
        <v>1392</v>
      </c>
      <c r="G474" s="805" t="s">
        <v>1000</v>
      </c>
      <c r="H474" s="589">
        <v>15</v>
      </c>
      <c r="I474" s="583">
        <v>15</v>
      </c>
      <c r="J474" s="589"/>
      <c r="K474" s="589" t="s">
        <v>1071</v>
      </c>
      <c r="L474" s="806">
        <v>2</v>
      </c>
      <c r="M474" s="806">
        <v>8</v>
      </c>
      <c r="N474" s="807">
        <v>41464</v>
      </c>
    </row>
    <row r="475" spans="1:14">
      <c r="A475" s="804" t="s">
        <v>1541</v>
      </c>
      <c r="B475" s="583">
        <v>25</v>
      </c>
      <c r="C475" s="243">
        <v>41443</v>
      </c>
      <c r="D475" s="243">
        <v>41443</v>
      </c>
      <c r="E475" s="584" t="s">
        <v>206</v>
      </c>
      <c r="F475" s="589" t="s">
        <v>1392</v>
      </c>
      <c r="G475" s="805" t="s">
        <v>996</v>
      </c>
      <c r="H475" s="589">
        <v>62</v>
      </c>
      <c r="I475" s="583">
        <v>62</v>
      </c>
      <c r="J475" s="589"/>
      <c r="K475" s="637" t="s">
        <v>1071</v>
      </c>
      <c r="L475" s="806">
        <v>6</v>
      </c>
      <c r="M475" s="806">
        <v>42</v>
      </c>
      <c r="N475" s="807">
        <v>41464</v>
      </c>
    </row>
    <row r="476" spans="1:14">
      <c r="A476" s="804" t="s">
        <v>1541</v>
      </c>
      <c r="B476" s="583">
        <v>25</v>
      </c>
      <c r="C476" s="243">
        <v>41443</v>
      </c>
      <c r="D476" s="243">
        <v>41443</v>
      </c>
      <c r="E476" s="589" t="s">
        <v>185</v>
      </c>
      <c r="F476" s="589" t="s">
        <v>1392</v>
      </c>
      <c r="G476" s="589" t="s">
        <v>1483</v>
      </c>
      <c r="H476" s="589"/>
      <c r="I476" s="583"/>
      <c r="J476" s="589" t="s">
        <v>1395</v>
      </c>
      <c r="K476" s="589" t="s">
        <v>1071</v>
      </c>
      <c r="L476" s="806">
        <v>2</v>
      </c>
      <c r="M476" s="806">
        <v>8</v>
      </c>
      <c r="N476" s="807">
        <v>41444</v>
      </c>
    </row>
    <row r="477" spans="1:14">
      <c r="A477" s="804" t="s">
        <v>1541</v>
      </c>
      <c r="B477" s="583">
        <v>25</v>
      </c>
      <c r="C477" s="243">
        <v>41443</v>
      </c>
      <c r="D477" s="243">
        <v>41443</v>
      </c>
      <c r="E477" s="589" t="s">
        <v>245</v>
      </c>
      <c r="F477" s="589" t="s">
        <v>1392</v>
      </c>
      <c r="G477" s="589" t="s">
        <v>991</v>
      </c>
      <c r="H477" s="589">
        <v>26</v>
      </c>
      <c r="I477" s="583">
        <v>26</v>
      </c>
      <c r="J477" s="589" t="s">
        <v>1419</v>
      </c>
      <c r="K477" s="637" t="s">
        <v>1071</v>
      </c>
      <c r="L477" s="809">
        <v>5</v>
      </c>
      <c r="M477" s="809">
        <v>35</v>
      </c>
      <c r="N477" s="807">
        <v>41446</v>
      </c>
    </row>
    <row r="478" spans="1:14">
      <c r="A478" s="804" t="s">
        <v>1541</v>
      </c>
      <c r="B478" s="583">
        <v>25</v>
      </c>
      <c r="C478" s="243">
        <v>41443</v>
      </c>
      <c r="D478" s="243">
        <v>41443</v>
      </c>
      <c r="E478" s="589" t="s">
        <v>179</v>
      </c>
      <c r="F478" s="589" t="s">
        <v>1392</v>
      </c>
      <c r="G478" s="805" t="s">
        <v>1000</v>
      </c>
      <c r="H478" s="589">
        <v>15</v>
      </c>
      <c r="I478" s="583">
        <v>15</v>
      </c>
      <c r="J478" s="589"/>
      <c r="K478" s="589" t="s">
        <v>1071</v>
      </c>
      <c r="L478" s="806">
        <v>2</v>
      </c>
      <c r="M478" s="806">
        <v>8</v>
      </c>
      <c r="N478" s="807">
        <v>41464</v>
      </c>
    </row>
    <row r="479" spans="1:14">
      <c r="A479" s="804" t="s">
        <v>1542</v>
      </c>
      <c r="B479" s="583">
        <v>50</v>
      </c>
      <c r="C479" s="243">
        <v>41443</v>
      </c>
      <c r="D479" s="243">
        <v>41443</v>
      </c>
      <c r="E479" s="584" t="s">
        <v>206</v>
      </c>
      <c r="F479" s="589" t="s">
        <v>1392</v>
      </c>
      <c r="G479" s="805" t="s">
        <v>996</v>
      </c>
      <c r="H479" s="589">
        <v>133</v>
      </c>
      <c r="I479" s="583">
        <v>133</v>
      </c>
      <c r="J479" s="589"/>
      <c r="K479" s="637" t="s">
        <v>1071</v>
      </c>
      <c r="L479" s="806">
        <v>6</v>
      </c>
      <c r="M479" s="806">
        <v>42</v>
      </c>
      <c r="N479" s="807">
        <v>41464</v>
      </c>
    </row>
    <row r="480" spans="1:14">
      <c r="A480" s="804" t="s">
        <v>1542</v>
      </c>
      <c r="B480" s="583">
        <v>50</v>
      </c>
      <c r="C480" s="243">
        <v>41443</v>
      </c>
      <c r="D480" s="243">
        <v>41443</v>
      </c>
      <c r="E480" s="589" t="s">
        <v>185</v>
      </c>
      <c r="F480" s="589" t="s">
        <v>1392</v>
      </c>
      <c r="G480" s="589" t="s">
        <v>1483</v>
      </c>
      <c r="H480" s="589">
        <v>97</v>
      </c>
      <c r="I480" s="583">
        <v>97</v>
      </c>
      <c r="J480" s="589"/>
      <c r="K480" s="589" t="s">
        <v>1071</v>
      </c>
      <c r="L480" s="806">
        <v>2</v>
      </c>
      <c r="M480" s="806">
        <v>8</v>
      </c>
      <c r="N480" s="807">
        <v>41444</v>
      </c>
    </row>
    <row r="481" spans="1:14">
      <c r="A481" s="804" t="s">
        <v>1542</v>
      </c>
      <c r="B481" s="583">
        <v>50</v>
      </c>
      <c r="C481" s="243">
        <v>41443</v>
      </c>
      <c r="D481" s="243">
        <v>41443</v>
      </c>
      <c r="E481" s="589" t="s">
        <v>245</v>
      </c>
      <c r="F481" s="589" t="s">
        <v>1392</v>
      </c>
      <c r="G481" s="589" t="s">
        <v>991</v>
      </c>
      <c r="H481" s="589">
        <v>27</v>
      </c>
      <c r="I481" s="583">
        <v>27</v>
      </c>
      <c r="J481" s="589" t="s">
        <v>1419</v>
      </c>
      <c r="K481" s="637" t="s">
        <v>1071</v>
      </c>
      <c r="L481" s="809">
        <v>5</v>
      </c>
      <c r="M481" s="809">
        <v>35</v>
      </c>
      <c r="N481" s="807">
        <v>41446</v>
      </c>
    </row>
    <row r="482" spans="1:14">
      <c r="A482" s="804" t="s">
        <v>1542</v>
      </c>
      <c r="B482" s="583">
        <v>50</v>
      </c>
      <c r="C482" s="243">
        <v>41443</v>
      </c>
      <c r="D482" s="243">
        <v>41443</v>
      </c>
      <c r="E482" s="589" t="s">
        <v>179</v>
      </c>
      <c r="F482" s="589" t="s">
        <v>1392</v>
      </c>
      <c r="G482" s="805" t="s">
        <v>1000</v>
      </c>
      <c r="H482" s="589">
        <v>12</v>
      </c>
      <c r="I482" s="583">
        <v>12</v>
      </c>
      <c r="J482" s="589"/>
      <c r="K482" s="589" t="s">
        <v>1071</v>
      </c>
      <c r="L482" s="806">
        <v>2</v>
      </c>
      <c r="M482" s="806">
        <v>8</v>
      </c>
      <c r="N482" s="807">
        <v>41464</v>
      </c>
    </row>
    <row r="483" spans="1:14">
      <c r="A483" s="804" t="s">
        <v>1543</v>
      </c>
      <c r="B483" s="583">
        <v>35</v>
      </c>
      <c r="C483" s="243">
        <v>41443</v>
      </c>
      <c r="D483" s="243">
        <v>41443</v>
      </c>
      <c r="E483" s="584" t="s">
        <v>206</v>
      </c>
      <c r="F483" s="589" t="s">
        <v>1392</v>
      </c>
      <c r="G483" s="805" t="s">
        <v>996</v>
      </c>
      <c r="H483" s="589">
        <v>265</v>
      </c>
      <c r="I483" s="583">
        <v>265</v>
      </c>
      <c r="J483" s="589"/>
      <c r="K483" s="637" t="s">
        <v>1071</v>
      </c>
      <c r="L483" s="806">
        <v>6</v>
      </c>
      <c r="M483" s="806">
        <v>42</v>
      </c>
      <c r="N483" s="807">
        <v>41464</v>
      </c>
    </row>
    <row r="484" spans="1:14">
      <c r="A484" s="804" t="s">
        <v>1543</v>
      </c>
      <c r="B484" s="583">
        <v>35</v>
      </c>
      <c r="C484" s="243">
        <v>41443</v>
      </c>
      <c r="D484" s="243">
        <v>41443</v>
      </c>
      <c r="E484" s="589" t="s">
        <v>185</v>
      </c>
      <c r="F484" s="589" t="s">
        <v>1392</v>
      </c>
      <c r="G484" s="589" t="s">
        <v>1483</v>
      </c>
      <c r="H484" s="589">
        <v>76</v>
      </c>
      <c r="I484" s="583">
        <v>76</v>
      </c>
      <c r="J484" s="589"/>
      <c r="K484" s="589" t="s">
        <v>1071</v>
      </c>
      <c r="L484" s="806">
        <v>2</v>
      </c>
      <c r="M484" s="806">
        <v>8</v>
      </c>
      <c r="N484" s="807">
        <v>41444</v>
      </c>
    </row>
    <row r="485" spans="1:14">
      <c r="A485" s="804" t="s">
        <v>1543</v>
      </c>
      <c r="B485" s="583">
        <v>35</v>
      </c>
      <c r="C485" s="243">
        <v>41443</v>
      </c>
      <c r="D485" s="243">
        <v>41443</v>
      </c>
      <c r="E485" s="589" t="s">
        <v>245</v>
      </c>
      <c r="F485" s="589" t="s">
        <v>1392</v>
      </c>
      <c r="G485" s="589" t="s">
        <v>991</v>
      </c>
      <c r="H485" s="589">
        <v>27</v>
      </c>
      <c r="I485" s="583">
        <v>27</v>
      </c>
      <c r="J485" s="589" t="s">
        <v>1419</v>
      </c>
      <c r="K485" s="637" t="s">
        <v>1071</v>
      </c>
      <c r="L485" s="809">
        <v>5</v>
      </c>
      <c r="M485" s="809">
        <v>35</v>
      </c>
      <c r="N485" s="807">
        <v>41446</v>
      </c>
    </row>
    <row r="486" spans="1:14">
      <c r="A486" s="804" t="s">
        <v>1543</v>
      </c>
      <c r="B486" s="583">
        <v>35</v>
      </c>
      <c r="C486" s="243">
        <v>41443</v>
      </c>
      <c r="D486" s="243">
        <v>41443</v>
      </c>
      <c r="E486" s="589" t="s">
        <v>179</v>
      </c>
      <c r="F486" s="589" t="s">
        <v>1392</v>
      </c>
      <c r="G486" s="805" t="s">
        <v>1000</v>
      </c>
      <c r="H486" s="589">
        <v>58</v>
      </c>
      <c r="I486" s="583">
        <v>58</v>
      </c>
      <c r="J486" s="589"/>
      <c r="K486" s="589" t="s">
        <v>1071</v>
      </c>
      <c r="L486" s="806">
        <v>2</v>
      </c>
      <c r="M486" s="806">
        <v>8</v>
      </c>
      <c r="N486" s="807">
        <v>41464</v>
      </c>
    </row>
    <row r="488" spans="1:14">
      <c r="A488" s="804" t="s">
        <v>1544</v>
      </c>
      <c r="B488" s="583">
        <v>36</v>
      </c>
      <c r="C488" s="243">
        <v>41444</v>
      </c>
      <c r="D488" s="243">
        <v>41444</v>
      </c>
      <c r="E488" s="584" t="s">
        <v>206</v>
      </c>
      <c r="F488" s="589" t="s">
        <v>1392</v>
      </c>
      <c r="G488" s="805" t="s">
        <v>996</v>
      </c>
      <c r="H488" s="589">
        <v>289</v>
      </c>
      <c r="I488" s="583">
        <v>289</v>
      </c>
      <c r="J488" s="589"/>
      <c r="K488" s="637" t="s">
        <v>1071</v>
      </c>
      <c r="L488" s="806">
        <v>6</v>
      </c>
      <c r="M488" s="806">
        <v>42</v>
      </c>
      <c r="N488" s="807">
        <v>41474</v>
      </c>
    </row>
    <row r="489" spans="1:14">
      <c r="A489" s="688" t="s">
        <v>1544</v>
      </c>
      <c r="B489" s="583">
        <v>36</v>
      </c>
      <c r="C489" s="243">
        <v>41444</v>
      </c>
      <c r="D489" s="243">
        <v>41444</v>
      </c>
      <c r="E489" s="589" t="s">
        <v>185</v>
      </c>
      <c r="F489" s="589" t="s">
        <v>1392</v>
      </c>
      <c r="G489" s="589" t="s">
        <v>1483</v>
      </c>
      <c r="H489" s="589">
        <v>52</v>
      </c>
      <c r="I489" s="583">
        <v>52</v>
      </c>
      <c r="J489" s="589"/>
      <c r="K489" s="589" t="s">
        <v>1071</v>
      </c>
      <c r="L489" s="806">
        <v>2</v>
      </c>
      <c r="M489" s="806">
        <v>8</v>
      </c>
      <c r="N489" s="807">
        <v>41444</v>
      </c>
    </row>
    <row r="490" spans="1:14">
      <c r="A490" s="688" t="s">
        <v>1544</v>
      </c>
      <c r="B490" s="583">
        <v>36</v>
      </c>
      <c r="C490" s="243">
        <v>41444</v>
      </c>
      <c r="D490" s="243">
        <v>41444</v>
      </c>
      <c r="E490" s="589" t="s">
        <v>245</v>
      </c>
      <c r="F490" s="589" t="s">
        <v>1392</v>
      </c>
      <c r="G490" s="589" t="s">
        <v>991</v>
      </c>
      <c r="H490" s="589">
        <v>46</v>
      </c>
      <c r="I490" s="808" t="s">
        <v>1513</v>
      </c>
      <c r="J490" s="688"/>
      <c r="K490" s="637" t="s">
        <v>1071</v>
      </c>
      <c r="L490" s="809">
        <v>5</v>
      </c>
      <c r="M490" s="809">
        <v>35</v>
      </c>
      <c r="N490" s="807">
        <v>41446</v>
      </c>
    </row>
    <row r="491" spans="1:14">
      <c r="A491" s="688" t="s">
        <v>1544</v>
      </c>
      <c r="B491" s="583">
        <v>36</v>
      </c>
      <c r="C491" s="243">
        <v>41444</v>
      </c>
      <c r="D491" s="243">
        <v>41444</v>
      </c>
      <c r="E491" s="589" t="s">
        <v>179</v>
      </c>
      <c r="F491" s="589" t="s">
        <v>1392</v>
      </c>
      <c r="G491" s="805" t="s">
        <v>1000</v>
      </c>
      <c r="H491" s="589">
        <v>16</v>
      </c>
      <c r="I491" s="583">
        <v>16</v>
      </c>
      <c r="J491" s="589"/>
      <c r="K491" s="589" t="s">
        <v>1071</v>
      </c>
      <c r="L491" s="806">
        <v>2</v>
      </c>
      <c r="M491" s="806">
        <v>8</v>
      </c>
      <c r="N491" s="807">
        <v>41471</v>
      </c>
    </row>
    <row r="492" spans="1:14">
      <c r="A492" s="804" t="s">
        <v>1545</v>
      </c>
      <c r="B492" s="583">
        <v>37</v>
      </c>
      <c r="C492" s="243">
        <v>41444</v>
      </c>
      <c r="D492" s="243">
        <v>41444</v>
      </c>
      <c r="E492" s="584" t="s">
        <v>206</v>
      </c>
      <c r="F492" s="589" t="s">
        <v>1392</v>
      </c>
      <c r="G492" s="805" t="s">
        <v>996</v>
      </c>
      <c r="H492" s="589">
        <v>219</v>
      </c>
      <c r="I492" s="583">
        <v>219</v>
      </c>
      <c r="J492" s="589"/>
      <c r="K492" s="637" t="s">
        <v>1071</v>
      </c>
      <c r="L492" s="806">
        <v>6</v>
      </c>
      <c r="M492" s="806">
        <v>42</v>
      </c>
      <c r="N492" s="807">
        <v>41474</v>
      </c>
    </row>
    <row r="493" spans="1:14">
      <c r="A493" s="688" t="s">
        <v>1545</v>
      </c>
      <c r="B493" s="583">
        <v>37</v>
      </c>
      <c r="C493" s="243">
        <v>41444</v>
      </c>
      <c r="D493" s="243">
        <v>41444</v>
      </c>
      <c r="E493" s="589" t="s">
        <v>185</v>
      </c>
      <c r="F493" s="589" t="s">
        <v>1392</v>
      </c>
      <c r="G493" s="589" t="s">
        <v>1483</v>
      </c>
      <c r="H493" s="589">
        <v>86</v>
      </c>
      <c r="I493" s="583">
        <v>86</v>
      </c>
      <c r="J493" s="589"/>
      <c r="K493" s="589" t="s">
        <v>1071</v>
      </c>
      <c r="L493" s="806">
        <v>2</v>
      </c>
      <c r="M493" s="806">
        <v>8</v>
      </c>
      <c r="N493" s="807">
        <v>41444</v>
      </c>
    </row>
    <row r="494" spans="1:14">
      <c r="A494" s="688" t="s">
        <v>1545</v>
      </c>
      <c r="B494" s="583">
        <v>37</v>
      </c>
      <c r="C494" s="243">
        <v>41444</v>
      </c>
      <c r="D494" s="243">
        <v>41444</v>
      </c>
      <c r="E494" s="589" t="s">
        <v>245</v>
      </c>
      <c r="F494" s="589" t="s">
        <v>1392</v>
      </c>
      <c r="G494" s="589" t="s">
        <v>991</v>
      </c>
      <c r="H494" s="589">
        <v>32</v>
      </c>
      <c r="I494" s="808" t="s">
        <v>1546</v>
      </c>
      <c r="J494" s="589" t="s">
        <v>1419</v>
      </c>
      <c r="K494" s="637" t="s">
        <v>1071</v>
      </c>
      <c r="L494" s="809">
        <v>5</v>
      </c>
      <c r="M494" s="809">
        <v>35</v>
      </c>
      <c r="N494" s="807">
        <v>41446</v>
      </c>
    </row>
    <row r="495" spans="1:14">
      <c r="A495" s="688" t="s">
        <v>1545</v>
      </c>
      <c r="B495" s="583">
        <v>37</v>
      </c>
      <c r="C495" s="243">
        <v>41444</v>
      </c>
      <c r="D495" s="243">
        <v>41444</v>
      </c>
      <c r="E495" s="589" t="s">
        <v>179</v>
      </c>
      <c r="F495" s="589" t="s">
        <v>1392</v>
      </c>
      <c r="G495" s="805" t="s">
        <v>1000</v>
      </c>
      <c r="H495" s="589">
        <v>7</v>
      </c>
      <c r="I495" s="583">
        <v>7</v>
      </c>
      <c r="J495" s="589" t="s">
        <v>1419</v>
      </c>
      <c r="K495" s="589" t="s">
        <v>1071</v>
      </c>
      <c r="L495" s="806">
        <v>2</v>
      </c>
      <c r="M495" s="806">
        <v>8</v>
      </c>
      <c r="N495" s="807">
        <v>41471</v>
      </c>
    </row>
    <row r="496" spans="1:14">
      <c r="A496" s="589" t="s">
        <v>1547</v>
      </c>
      <c r="B496" s="583">
        <v>63</v>
      </c>
      <c r="C496" s="243">
        <v>41444</v>
      </c>
      <c r="D496" s="243">
        <v>41444</v>
      </c>
      <c r="E496" s="584" t="s">
        <v>206</v>
      </c>
      <c r="F496" s="589" t="s">
        <v>1392</v>
      </c>
      <c r="G496" s="805" t="s">
        <v>996</v>
      </c>
      <c r="H496" s="589">
        <v>1722</v>
      </c>
      <c r="I496" s="583">
        <v>1722</v>
      </c>
      <c r="J496" s="589"/>
      <c r="K496" s="637" t="s">
        <v>1071</v>
      </c>
      <c r="L496" s="806">
        <v>6</v>
      </c>
      <c r="M496" s="806">
        <v>42</v>
      </c>
      <c r="N496" s="807">
        <v>41474</v>
      </c>
    </row>
    <row r="497" spans="1:14">
      <c r="A497" s="804" t="s">
        <v>1547</v>
      </c>
      <c r="B497" s="583">
        <v>63</v>
      </c>
      <c r="C497" s="243">
        <v>41444</v>
      </c>
      <c r="D497" s="243">
        <v>41444</v>
      </c>
      <c r="E497" s="589" t="s">
        <v>185</v>
      </c>
      <c r="F497" s="589" t="s">
        <v>1392</v>
      </c>
      <c r="G497" s="589" t="s">
        <v>1483</v>
      </c>
      <c r="H497" s="589">
        <v>4</v>
      </c>
      <c r="I497" s="583">
        <v>4</v>
      </c>
      <c r="J497" s="589" t="s">
        <v>1419</v>
      </c>
      <c r="K497" s="589" t="s">
        <v>1071</v>
      </c>
      <c r="L497" s="806">
        <v>2</v>
      </c>
      <c r="M497" s="806">
        <v>8</v>
      </c>
      <c r="N497" s="807">
        <v>41444</v>
      </c>
    </row>
    <row r="498" spans="1:14">
      <c r="A498" s="804" t="s">
        <v>1547</v>
      </c>
      <c r="B498" s="583">
        <v>63</v>
      </c>
      <c r="C498" s="243">
        <v>41444</v>
      </c>
      <c r="D498" s="243">
        <v>41444</v>
      </c>
      <c r="E498" s="589" t="s">
        <v>245</v>
      </c>
      <c r="F498" s="589" t="s">
        <v>1392</v>
      </c>
      <c r="G498" s="589" t="s">
        <v>991</v>
      </c>
      <c r="H498" s="589">
        <v>49</v>
      </c>
      <c r="I498" s="808" t="s">
        <v>1498</v>
      </c>
      <c r="J498" s="589"/>
      <c r="K498" s="637" t="s">
        <v>1071</v>
      </c>
      <c r="L498" s="809">
        <v>5</v>
      </c>
      <c r="M498" s="809">
        <v>35</v>
      </c>
      <c r="N498" s="807">
        <v>41446</v>
      </c>
    </row>
    <row r="499" spans="1:14">
      <c r="A499" s="804" t="s">
        <v>1547</v>
      </c>
      <c r="B499" s="583">
        <v>63</v>
      </c>
      <c r="C499" s="243">
        <v>41444</v>
      </c>
      <c r="D499" s="243">
        <v>41444</v>
      </c>
      <c r="E499" s="589" t="s">
        <v>179</v>
      </c>
      <c r="F499" s="589" t="s">
        <v>1392</v>
      </c>
      <c r="G499" s="805" t="s">
        <v>1000</v>
      </c>
      <c r="H499" s="589">
        <v>4112</v>
      </c>
      <c r="I499" s="583">
        <v>4112</v>
      </c>
      <c r="J499" s="589"/>
      <c r="K499" s="589" t="s">
        <v>1071</v>
      </c>
      <c r="L499" s="806">
        <v>2</v>
      </c>
      <c r="M499" s="806">
        <v>8</v>
      </c>
      <c r="N499" s="807">
        <v>41471</v>
      </c>
    </row>
    <row r="500" spans="1:14">
      <c r="A500" s="804" t="s">
        <v>1548</v>
      </c>
      <c r="B500" s="585">
        <v>65</v>
      </c>
      <c r="C500" s="243">
        <v>41444</v>
      </c>
      <c r="D500" s="243">
        <v>41444</v>
      </c>
      <c r="E500" s="584" t="s">
        <v>206</v>
      </c>
      <c r="F500" s="589" t="s">
        <v>1392</v>
      </c>
      <c r="G500" s="805" t="s">
        <v>996</v>
      </c>
      <c r="H500" s="589">
        <v>229</v>
      </c>
      <c r="I500" s="583">
        <v>229</v>
      </c>
      <c r="J500" s="589"/>
      <c r="K500" s="637" t="s">
        <v>1071</v>
      </c>
      <c r="L500" s="806">
        <v>6</v>
      </c>
      <c r="M500" s="806">
        <v>42</v>
      </c>
      <c r="N500" s="807">
        <v>41474</v>
      </c>
    </row>
    <row r="501" spans="1:14">
      <c r="A501" s="589" t="s">
        <v>1548</v>
      </c>
      <c r="B501" s="585">
        <v>65</v>
      </c>
      <c r="C501" s="243">
        <v>41444</v>
      </c>
      <c r="D501" s="243">
        <v>41444</v>
      </c>
      <c r="E501" s="589" t="s">
        <v>185</v>
      </c>
      <c r="F501" s="589" t="s">
        <v>1392</v>
      </c>
      <c r="G501" s="589" t="s">
        <v>1483</v>
      </c>
      <c r="H501" s="589">
        <v>74</v>
      </c>
      <c r="I501" s="583">
        <v>74</v>
      </c>
      <c r="J501" s="589"/>
      <c r="K501" s="589" t="s">
        <v>1071</v>
      </c>
      <c r="L501" s="806">
        <v>2</v>
      </c>
      <c r="M501" s="806">
        <v>8</v>
      </c>
      <c r="N501" s="807">
        <v>41444</v>
      </c>
    </row>
    <row r="502" spans="1:14">
      <c r="A502" s="589" t="s">
        <v>1548</v>
      </c>
      <c r="B502" s="585">
        <v>65</v>
      </c>
      <c r="C502" s="243">
        <v>41444</v>
      </c>
      <c r="D502" s="243">
        <v>41444</v>
      </c>
      <c r="E502" s="589" t="s">
        <v>245</v>
      </c>
      <c r="F502" s="589" t="s">
        <v>1392</v>
      </c>
      <c r="G502" s="589" t="s">
        <v>991</v>
      </c>
      <c r="H502" s="589">
        <v>43</v>
      </c>
      <c r="I502" s="808" t="s">
        <v>1399</v>
      </c>
      <c r="J502" s="589"/>
      <c r="K502" s="637" t="s">
        <v>1071</v>
      </c>
      <c r="L502" s="809">
        <v>5</v>
      </c>
      <c r="M502" s="809">
        <v>35</v>
      </c>
      <c r="N502" s="807">
        <v>41446</v>
      </c>
    </row>
    <row r="503" spans="1:14">
      <c r="A503" s="589" t="s">
        <v>1548</v>
      </c>
      <c r="B503" s="585">
        <v>65</v>
      </c>
      <c r="C503" s="243">
        <v>41444</v>
      </c>
      <c r="D503" s="243">
        <v>41444</v>
      </c>
      <c r="E503" s="589" t="s">
        <v>179</v>
      </c>
      <c r="F503" s="589" t="s">
        <v>1392</v>
      </c>
      <c r="G503" s="805" t="s">
        <v>1000</v>
      </c>
      <c r="H503" s="589">
        <v>16</v>
      </c>
      <c r="I503" s="583">
        <v>16</v>
      </c>
      <c r="J503" s="589"/>
      <c r="K503" s="589" t="s">
        <v>1071</v>
      </c>
      <c r="L503" s="806">
        <v>2</v>
      </c>
      <c r="M503" s="806">
        <v>8</v>
      </c>
      <c r="N503" s="807">
        <v>41471</v>
      </c>
    </row>
    <row r="505" spans="1:14">
      <c r="A505" s="804" t="s">
        <v>1549</v>
      </c>
      <c r="B505" s="583" t="s">
        <v>1095</v>
      </c>
      <c r="C505" s="243">
        <v>41442</v>
      </c>
      <c r="D505" s="243">
        <v>41442</v>
      </c>
      <c r="E505" s="584" t="s">
        <v>206</v>
      </c>
      <c r="F505" s="589" t="s">
        <v>1392</v>
      </c>
      <c r="G505" s="805" t="s">
        <v>996</v>
      </c>
      <c r="H505" s="589">
        <v>512</v>
      </c>
      <c r="I505" s="583">
        <v>512</v>
      </c>
      <c r="J505" s="589"/>
      <c r="K505" s="637" t="s">
        <v>1071</v>
      </c>
      <c r="L505" s="806">
        <v>6</v>
      </c>
      <c r="M505" s="806">
        <v>42</v>
      </c>
      <c r="N505" s="807">
        <v>41445</v>
      </c>
    </row>
    <row r="506" spans="1:14">
      <c r="A506" s="688" t="s">
        <v>1549</v>
      </c>
      <c r="B506" s="583" t="s">
        <v>1095</v>
      </c>
      <c r="C506" s="243">
        <v>41442</v>
      </c>
      <c r="D506" s="243">
        <v>41442</v>
      </c>
      <c r="E506" s="589" t="s">
        <v>185</v>
      </c>
      <c r="F506" s="589" t="s">
        <v>1392</v>
      </c>
      <c r="G506" s="589" t="s">
        <v>1483</v>
      </c>
      <c r="H506" s="589">
        <v>297</v>
      </c>
      <c r="I506" s="583">
        <v>297</v>
      </c>
      <c r="J506" s="589"/>
      <c r="K506" s="589" t="s">
        <v>1071</v>
      </c>
      <c r="L506" s="806">
        <v>2</v>
      </c>
      <c r="M506" s="806">
        <v>8</v>
      </c>
      <c r="N506" s="807">
        <v>41444</v>
      </c>
    </row>
    <row r="507" spans="1:14">
      <c r="A507" s="688" t="s">
        <v>1549</v>
      </c>
      <c r="B507" s="583" t="s">
        <v>1095</v>
      </c>
      <c r="C507" s="243">
        <v>41442</v>
      </c>
      <c r="D507" s="243">
        <v>41442</v>
      </c>
      <c r="E507" s="589" t="s">
        <v>245</v>
      </c>
      <c r="F507" s="589" t="s">
        <v>1392</v>
      </c>
      <c r="G507" s="589" t="s">
        <v>991</v>
      </c>
      <c r="H507" s="589">
        <v>50</v>
      </c>
      <c r="I507" s="808" t="s">
        <v>1511</v>
      </c>
      <c r="J507" s="589"/>
      <c r="K507" s="637" t="s">
        <v>1071</v>
      </c>
      <c r="L507" s="809">
        <v>5</v>
      </c>
      <c r="M507" s="809">
        <v>35</v>
      </c>
      <c r="N507" s="807">
        <v>41446</v>
      </c>
    </row>
    <row r="508" spans="1:14">
      <c r="A508" s="688" t="s">
        <v>1549</v>
      </c>
      <c r="B508" s="583" t="s">
        <v>1095</v>
      </c>
      <c r="C508" s="243">
        <v>41442</v>
      </c>
      <c r="D508" s="243">
        <v>41442</v>
      </c>
      <c r="E508" s="589" t="s">
        <v>179</v>
      </c>
      <c r="F508" s="589" t="s">
        <v>1392</v>
      </c>
      <c r="G508" s="805" t="s">
        <v>1000</v>
      </c>
      <c r="H508" s="589">
        <v>12</v>
      </c>
      <c r="I508" s="583">
        <v>12</v>
      </c>
      <c r="J508" s="589"/>
      <c r="K508" s="589" t="s">
        <v>1071</v>
      </c>
      <c r="L508" s="806">
        <v>2</v>
      </c>
      <c r="M508" s="806">
        <v>8</v>
      </c>
      <c r="N508" s="807">
        <v>41445</v>
      </c>
    </row>
    <row r="509" spans="1:14">
      <c r="A509" s="589" t="s">
        <v>1549</v>
      </c>
      <c r="B509" s="583" t="s">
        <v>1095</v>
      </c>
      <c r="C509" s="243">
        <v>41442</v>
      </c>
      <c r="D509" s="243">
        <v>41442</v>
      </c>
      <c r="E509" s="590" t="s">
        <v>180</v>
      </c>
      <c r="F509" s="589" t="s">
        <v>1392</v>
      </c>
      <c r="G509" s="805" t="s">
        <v>1000</v>
      </c>
      <c r="H509" s="591">
        <v>8</v>
      </c>
      <c r="I509" s="590">
        <v>8</v>
      </c>
      <c r="J509" s="637" t="s">
        <v>1419</v>
      </c>
      <c r="K509" s="589" t="s">
        <v>1071</v>
      </c>
      <c r="L509" s="810">
        <v>2</v>
      </c>
      <c r="M509" s="810">
        <v>8</v>
      </c>
      <c r="N509" s="807">
        <v>41445</v>
      </c>
    </row>
    <row r="510" spans="1:14">
      <c r="A510" s="688" t="s">
        <v>1549</v>
      </c>
      <c r="B510" s="583" t="s">
        <v>1095</v>
      </c>
      <c r="C510" s="243">
        <v>41442</v>
      </c>
      <c r="D510" s="243">
        <v>41442</v>
      </c>
      <c r="E510" s="589" t="s">
        <v>184</v>
      </c>
      <c r="F510" s="589" t="s">
        <v>1392</v>
      </c>
      <c r="G510" s="589" t="s">
        <v>1471</v>
      </c>
      <c r="H510" s="592"/>
      <c r="I510" s="811"/>
      <c r="J510" s="589" t="s">
        <v>1395</v>
      </c>
      <c r="K510" s="589" t="s">
        <v>1096</v>
      </c>
      <c r="L510" s="806">
        <v>4</v>
      </c>
      <c r="M510" s="806"/>
      <c r="N510" s="807">
        <v>41449</v>
      </c>
    </row>
    <row r="511" spans="1:14">
      <c r="A511" s="804" t="s">
        <v>1550</v>
      </c>
      <c r="B511" s="583" t="s">
        <v>1097</v>
      </c>
      <c r="C511" s="243">
        <v>41442</v>
      </c>
      <c r="D511" s="243">
        <v>41442</v>
      </c>
      <c r="E511" s="584" t="s">
        <v>206</v>
      </c>
      <c r="F511" s="589" t="s">
        <v>1392</v>
      </c>
      <c r="G511" s="805" t="s">
        <v>996</v>
      </c>
      <c r="H511" s="589">
        <v>654</v>
      </c>
      <c r="I511" s="583">
        <v>654</v>
      </c>
      <c r="J511" s="589"/>
      <c r="K511" s="637" t="s">
        <v>1071</v>
      </c>
      <c r="L511" s="806">
        <v>6</v>
      </c>
      <c r="M511" s="806">
        <v>42</v>
      </c>
      <c r="N511" s="807">
        <v>41445</v>
      </c>
    </row>
    <row r="512" spans="1:14">
      <c r="A512" s="688" t="s">
        <v>1550</v>
      </c>
      <c r="B512" s="583" t="s">
        <v>1097</v>
      </c>
      <c r="C512" s="243">
        <v>41442</v>
      </c>
      <c r="D512" s="243">
        <v>41442</v>
      </c>
      <c r="E512" s="589" t="s">
        <v>185</v>
      </c>
      <c r="F512" s="589" t="s">
        <v>1392</v>
      </c>
      <c r="G512" s="589" t="s">
        <v>1483</v>
      </c>
      <c r="H512" s="589">
        <v>456</v>
      </c>
      <c r="I512" s="583">
        <v>456</v>
      </c>
      <c r="J512" s="589"/>
      <c r="K512" s="589" t="s">
        <v>1071</v>
      </c>
      <c r="L512" s="806">
        <v>2</v>
      </c>
      <c r="M512" s="806">
        <v>8</v>
      </c>
      <c r="N512" s="807">
        <v>41444</v>
      </c>
    </row>
    <row r="513" spans="1:14">
      <c r="A513" s="688" t="s">
        <v>1550</v>
      </c>
      <c r="B513" s="583" t="s">
        <v>1097</v>
      </c>
      <c r="C513" s="243">
        <v>41442</v>
      </c>
      <c r="D513" s="243">
        <v>41442</v>
      </c>
      <c r="E513" s="589" t="s">
        <v>245</v>
      </c>
      <c r="F513" s="589" t="s">
        <v>1392</v>
      </c>
      <c r="G513" s="589" t="s">
        <v>991</v>
      </c>
      <c r="H513" s="589">
        <v>63</v>
      </c>
      <c r="I513" s="808" t="s">
        <v>1551</v>
      </c>
      <c r="J513" s="688"/>
      <c r="K513" s="637" t="s">
        <v>1071</v>
      </c>
      <c r="L513" s="809">
        <v>5</v>
      </c>
      <c r="M513" s="809">
        <v>35</v>
      </c>
      <c r="N513" s="807">
        <v>41446</v>
      </c>
    </row>
    <row r="514" spans="1:14">
      <c r="A514" s="688" t="s">
        <v>1550</v>
      </c>
      <c r="B514" s="583" t="s">
        <v>1097</v>
      </c>
      <c r="C514" s="243">
        <v>41442</v>
      </c>
      <c r="D514" s="243">
        <v>41442</v>
      </c>
      <c r="E514" s="589" t="s">
        <v>179</v>
      </c>
      <c r="F514" s="589" t="s">
        <v>1392</v>
      </c>
      <c r="G514" s="805" t="s">
        <v>1000</v>
      </c>
      <c r="H514" s="589">
        <v>46</v>
      </c>
      <c r="I514" s="583">
        <v>46</v>
      </c>
      <c r="J514" s="589"/>
      <c r="K514" s="589" t="s">
        <v>1071</v>
      </c>
      <c r="L514" s="806">
        <v>2</v>
      </c>
      <c r="M514" s="806">
        <v>8</v>
      </c>
      <c r="N514" s="807">
        <v>41445</v>
      </c>
    </row>
    <row r="515" spans="1:14">
      <c r="A515" s="589" t="s">
        <v>1550</v>
      </c>
      <c r="B515" s="583" t="s">
        <v>1097</v>
      </c>
      <c r="C515" s="243">
        <v>41442</v>
      </c>
      <c r="D515" s="243">
        <v>41442</v>
      </c>
      <c r="E515" s="590" t="s">
        <v>180</v>
      </c>
      <c r="F515" s="589" t="s">
        <v>1392</v>
      </c>
      <c r="G515" s="805" t="s">
        <v>1000</v>
      </c>
      <c r="H515" s="591">
        <v>22</v>
      </c>
      <c r="I515" s="590">
        <v>22</v>
      </c>
      <c r="J515" s="637"/>
      <c r="K515" s="589" t="s">
        <v>1071</v>
      </c>
      <c r="L515" s="810">
        <v>2</v>
      </c>
      <c r="M515" s="810">
        <v>8</v>
      </c>
      <c r="N515" s="807">
        <v>41445</v>
      </c>
    </row>
    <row r="516" spans="1:14">
      <c r="A516" s="688" t="s">
        <v>1550</v>
      </c>
      <c r="B516" s="583" t="s">
        <v>1097</v>
      </c>
      <c r="C516" s="243">
        <v>41442</v>
      </c>
      <c r="D516" s="243">
        <v>41442</v>
      </c>
      <c r="E516" s="589" t="s">
        <v>184</v>
      </c>
      <c r="F516" s="589" t="s">
        <v>1392</v>
      </c>
      <c r="G516" s="589" t="s">
        <v>1471</v>
      </c>
      <c r="H516" s="806">
        <v>12</v>
      </c>
      <c r="I516" s="824">
        <v>12</v>
      </c>
      <c r="J516" s="589"/>
      <c r="K516" s="589" t="s">
        <v>1096</v>
      </c>
      <c r="L516" s="806">
        <v>4</v>
      </c>
      <c r="M516" s="806"/>
      <c r="N516" s="807">
        <v>41449</v>
      </c>
    </row>
    <row r="517" spans="1:14">
      <c r="A517" s="589" t="s">
        <v>1552</v>
      </c>
      <c r="B517" s="583">
        <v>45</v>
      </c>
      <c r="C517" s="243">
        <v>41442</v>
      </c>
      <c r="D517" s="243">
        <v>41442</v>
      </c>
      <c r="E517" s="584" t="s">
        <v>206</v>
      </c>
      <c r="F517" s="589" t="s">
        <v>1392</v>
      </c>
      <c r="G517" s="805" t="s">
        <v>996</v>
      </c>
      <c r="H517" s="589">
        <v>697</v>
      </c>
      <c r="I517" s="583">
        <v>697</v>
      </c>
      <c r="J517" s="589"/>
      <c r="K517" s="637" t="s">
        <v>1071</v>
      </c>
      <c r="L517" s="806">
        <v>6</v>
      </c>
      <c r="M517" s="806">
        <v>42</v>
      </c>
      <c r="N517" s="807">
        <v>41445</v>
      </c>
    </row>
    <row r="518" spans="1:14">
      <c r="A518" s="804" t="s">
        <v>1552</v>
      </c>
      <c r="B518" s="583">
        <v>45</v>
      </c>
      <c r="C518" s="243">
        <v>41442</v>
      </c>
      <c r="D518" s="243">
        <v>41442</v>
      </c>
      <c r="E518" s="589" t="s">
        <v>185</v>
      </c>
      <c r="F518" s="589" t="s">
        <v>1392</v>
      </c>
      <c r="G518" s="589" t="s">
        <v>1483</v>
      </c>
      <c r="H518" s="589">
        <v>161</v>
      </c>
      <c r="I518" s="583">
        <v>161</v>
      </c>
      <c r="J518" s="589"/>
      <c r="K518" s="589" t="s">
        <v>1071</v>
      </c>
      <c r="L518" s="806">
        <v>2</v>
      </c>
      <c r="M518" s="806">
        <v>8</v>
      </c>
      <c r="N518" s="807">
        <v>41444</v>
      </c>
    </row>
    <row r="519" spans="1:14">
      <c r="A519" s="804" t="s">
        <v>1552</v>
      </c>
      <c r="B519" s="583">
        <v>45</v>
      </c>
      <c r="C519" s="243">
        <v>41442</v>
      </c>
      <c r="D519" s="243">
        <v>41442</v>
      </c>
      <c r="E519" s="589" t="s">
        <v>245</v>
      </c>
      <c r="F519" s="589" t="s">
        <v>1392</v>
      </c>
      <c r="G519" s="589" t="s">
        <v>991</v>
      </c>
      <c r="H519" s="589">
        <v>181</v>
      </c>
      <c r="I519" s="808" t="s">
        <v>1553</v>
      </c>
      <c r="J519" s="589"/>
      <c r="K519" s="637" t="s">
        <v>1071</v>
      </c>
      <c r="L519" s="809">
        <v>5</v>
      </c>
      <c r="M519" s="809">
        <v>35</v>
      </c>
      <c r="N519" s="807">
        <v>41446</v>
      </c>
    </row>
    <row r="520" spans="1:14">
      <c r="A520" s="804" t="s">
        <v>1552</v>
      </c>
      <c r="B520" s="583">
        <v>45</v>
      </c>
      <c r="C520" s="243">
        <v>41442</v>
      </c>
      <c r="D520" s="243">
        <v>41442</v>
      </c>
      <c r="E520" s="589" t="s">
        <v>179</v>
      </c>
      <c r="F520" s="589" t="s">
        <v>1392</v>
      </c>
      <c r="G520" s="805" t="s">
        <v>1000</v>
      </c>
      <c r="H520" s="589">
        <v>60</v>
      </c>
      <c r="I520" s="583">
        <v>60</v>
      </c>
      <c r="J520" s="589"/>
      <c r="K520" s="589" t="s">
        <v>1071</v>
      </c>
      <c r="L520" s="806">
        <v>2</v>
      </c>
      <c r="M520" s="806">
        <v>8</v>
      </c>
      <c r="N520" s="807">
        <v>41445</v>
      </c>
    </row>
    <row r="521" spans="1:14">
      <c r="A521" s="589" t="s">
        <v>1552</v>
      </c>
      <c r="B521" s="583">
        <v>45</v>
      </c>
      <c r="C521" s="243">
        <v>41442</v>
      </c>
      <c r="D521" s="243">
        <v>41442</v>
      </c>
      <c r="E521" s="590" t="s">
        <v>180</v>
      </c>
      <c r="F521" s="589" t="s">
        <v>1392</v>
      </c>
      <c r="G521" s="805" t="s">
        <v>1000</v>
      </c>
      <c r="H521" s="591">
        <v>33</v>
      </c>
      <c r="I521" s="590">
        <v>33</v>
      </c>
      <c r="J521" s="637"/>
      <c r="K521" s="589" t="s">
        <v>1071</v>
      </c>
      <c r="L521" s="810">
        <v>2</v>
      </c>
      <c r="M521" s="810">
        <v>8</v>
      </c>
      <c r="N521" s="807">
        <v>41445</v>
      </c>
    </row>
    <row r="522" spans="1:14">
      <c r="A522" s="804" t="s">
        <v>1552</v>
      </c>
      <c r="B522" s="583">
        <v>45</v>
      </c>
      <c r="C522" s="243">
        <v>41442</v>
      </c>
      <c r="D522" s="243">
        <v>41442</v>
      </c>
      <c r="E522" s="589" t="s">
        <v>184</v>
      </c>
      <c r="F522" s="589" t="s">
        <v>1392</v>
      </c>
      <c r="G522" s="589" t="s">
        <v>1471</v>
      </c>
      <c r="H522" s="592">
        <v>9.1999999999999993</v>
      </c>
      <c r="I522" s="811">
        <v>9.1999999999999993</v>
      </c>
      <c r="J522" s="589"/>
      <c r="K522" s="589" t="s">
        <v>1096</v>
      </c>
      <c r="L522" s="806">
        <v>4</v>
      </c>
      <c r="M522" s="806"/>
      <c r="N522" s="807">
        <v>41449</v>
      </c>
    </row>
    <row r="523" spans="1:14">
      <c r="A523" s="804" t="s">
        <v>1554</v>
      </c>
      <c r="B523" s="585" t="s">
        <v>1098</v>
      </c>
      <c r="C523" s="243">
        <v>41442</v>
      </c>
      <c r="D523" s="243">
        <v>41442</v>
      </c>
      <c r="E523" s="584" t="s">
        <v>206</v>
      </c>
      <c r="F523" s="589" t="s">
        <v>1392</v>
      </c>
      <c r="G523" s="805" t="s">
        <v>996</v>
      </c>
      <c r="H523" s="589">
        <v>701</v>
      </c>
      <c r="I523" s="583">
        <v>701</v>
      </c>
      <c r="J523" s="589"/>
      <c r="K523" s="637" t="s">
        <v>1071</v>
      </c>
      <c r="L523" s="806">
        <v>6</v>
      </c>
      <c r="M523" s="806">
        <v>42</v>
      </c>
      <c r="N523" s="807">
        <v>41445</v>
      </c>
    </row>
    <row r="524" spans="1:14">
      <c r="A524" s="589" t="s">
        <v>1554</v>
      </c>
      <c r="B524" s="585" t="s">
        <v>1098</v>
      </c>
      <c r="C524" s="243">
        <v>41442</v>
      </c>
      <c r="D524" s="243">
        <v>41442</v>
      </c>
      <c r="E524" s="589" t="s">
        <v>185</v>
      </c>
      <c r="F524" s="589" t="s">
        <v>1392</v>
      </c>
      <c r="G524" s="589" t="s">
        <v>1483</v>
      </c>
      <c r="H524" s="589">
        <v>151</v>
      </c>
      <c r="I524" s="583">
        <v>151</v>
      </c>
      <c r="J524" s="589"/>
      <c r="K524" s="589" t="s">
        <v>1071</v>
      </c>
      <c r="L524" s="806">
        <v>2</v>
      </c>
      <c r="M524" s="806">
        <v>8</v>
      </c>
      <c r="N524" s="807">
        <v>41444</v>
      </c>
    </row>
    <row r="525" spans="1:14">
      <c r="A525" s="589" t="s">
        <v>1554</v>
      </c>
      <c r="B525" s="585" t="s">
        <v>1098</v>
      </c>
      <c r="C525" s="243">
        <v>41442</v>
      </c>
      <c r="D525" s="243">
        <v>41442</v>
      </c>
      <c r="E525" s="589" t="s">
        <v>179</v>
      </c>
      <c r="F525" s="589" t="s">
        <v>1392</v>
      </c>
      <c r="G525" s="805" t="s">
        <v>1000</v>
      </c>
      <c r="H525" s="589">
        <v>61</v>
      </c>
      <c r="I525" s="583">
        <v>61</v>
      </c>
      <c r="J525" s="589"/>
      <c r="K525" s="589" t="s">
        <v>1071</v>
      </c>
      <c r="L525" s="806">
        <v>2</v>
      </c>
      <c r="M525" s="806">
        <v>8</v>
      </c>
      <c r="N525" s="807">
        <v>41452</v>
      </c>
    </row>
    <row r="526" spans="1:14">
      <c r="A526" s="589" t="s">
        <v>1554</v>
      </c>
      <c r="B526" s="585" t="s">
        <v>1098</v>
      </c>
      <c r="C526" s="243">
        <v>41442</v>
      </c>
      <c r="D526" s="243">
        <v>41442</v>
      </c>
      <c r="E526" s="590" t="s">
        <v>180</v>
      </c>
      <c r="F526" s="589" t="s">
        <v>1392</v>
      </c>
      <c r="G526" s="805" t="s">
        <v>1000</v>
      </c>
      <c r="H526" s="591">
        <v>27</v>
      </c>
      <c r="I526" s="590">
        <v>27</v>
      </c>
      <c r="J526" s="637"/>
      <c r="K526" s="589" t="s">
        <v>1071</v>
      </c>
      <c r="L526" s="810">
        <v>2</v>
      </c>
      <c r="M526" s="810">
        <v>8</v>
      </c>
      <c r="N526" s="807">
        <v>41445</v>
      </c>
    </row>
    <row r="527" spans="1:14">
      <c r="A527" s="589" t="s">
        <v>1554</v>
      </c>
      <c r="B527" s="585" t="s">
        <v>1098</v>
      </c>
      <c r="C527" s="243">
        <v>41442</v>
      </c>
      <c r="D527" s="243">
        <v>41442</v>
      </c>
      <c r="E527" s="589" t="s">
        <v>184</v>
      </c>
      <c r="F527" s="589" t="s">
        <v>1392</v>
      </c>
      <c r="G527" s="589" t="s">
        <v>1471</v>
      </c>
      <c r="H527" s="592"/>
      <c r="I527" s="811"/>
      <c r="J527" s="589" t="s">
        <v>1395</v>
      </c>
      <c r="K527" s="589" t="s">
        <v>1096</v>
      </c>
      <c r="L527" s="806">
        <v>4</v>
      </c>
      <c r="M527" s="806"/>
      <c r="N527" s="807">
        <v>41449</v>
      </c>
    </row>
    <row r="528" spans="1:14">
      <c r="A528" s="804" t="s">
        <v>1554</v>
      </c>
      <c r="B528" s="583" t="s">
        <v>1098</v>
      </c>
      <c r="C528" s="243">
        <v>41442</v>
      </c>
      <c r="D528" s="243">
        <v>41442</v>
      </c>
      <c r="E528" s="584" t="s">
        <v>181</v>
      </c>
      <c r="F528" s="804" t="s">
        <v>1392</v>
      </c>
      <c r="G528" s="812" t="s">
        <v>1402</v>
      </c>
      <c r="H528" s="332">
        <v>3.7</v>
      </c>
      <c r="I528" s="813">
        <v>3.7</v>
      </c>
      <c r="J528" s="814"/>
      <c r="K528" s="589" t="s">
        <v>1071</v>
      </c>
      <c r="L528" s="810">
        <v>0.1</v>
      </c>
      <c r="M528" s="810"/>
      <c r="N528" s="807">
        <v>41457</v>
      </c>
    </row>
    <row r="529" spans="1:14">
      <c r="A529" s="804" t="s">
        <v>1554</v>
      </c>
      <c r="B529" s="583" t="s">
        <v>1098</v>
      </c>
      <c r="C529" s="243">
        <v>41442</v>
      </c>
      <c r="D529" s="243">
        <v>41442</v>
      </c>
      <c r="E529" s="584" t="s">
        <v>181</v>
      </c>
      <c r="F529" s="804" t="s">
        <v>1392</v>
      </c>
      <c r="G529" s="812" t="s">
        <v>1402</v>
      </c>
      <c r="H529" s="332">
        <v>3.7</v>
      </c>
      <c r="I529" s="813">
        <v>3.7</v>
      </c>
      <c r="J529" s="814"/>
      <c r="K529" s="589" t="s">
        <v>1071</v>
      </c>
      <c r="L529" s="810">
        <v>0.1</v>
      </c>
      <c r="M529" s="810"/>
      <c r="N529" s="807">
        <v>41457</v>
      </c>
    </row>
    <row r="530" spans="1:14">
      <c r="A530" s="589" t="s">
        <v>1555</v>
      </c>
      <c r="B530" s="583" t="s">
        <v>1099</v>
      </c>
      <c r="C530" s="243">
        <v>41442</v>
      </c>
      <c r="D530" s="243">
        <v>41442</v>
      </c>
      <c r="E530" s="584" t="s">
        <v>206</v>
      </c>
      <c r="F530" s="589" t="s">
        <v>1392</v>
      </c>
      <c r="G530" s="805" t="s">
        <v>996</v>
      </c>
      <c r="H530" s="589">
        <v>637</v>
      </c>
      <c r="I530" s="583">
        <v>637</v>
      </c>
      <c r="J530" s="589"/>
      <c r="K530" s="637" t="s">
        <v>1071</v>
      </c>
      <c r="L530" s="806">
        <v>6</v>
      </c>
      <c r="M530" s="806">
        <v>42</v>
      </c>
      <c r="N530" s="807">
        <v>41445</v>
      </c>
    </row>
    <row r="531" spans="1:14">
      <c r="A531" s="589" t="s">
        <v>1555</v>
      </c>
      <c r="B531" s="583" t="s">
        <v>1099</v>
      </c>
      <c r="C531" s="243">
        <v>41442</v>
      </c>
      <c r="D531" s="243">
        <v>41442</v>
      </c>
      <c r="E531" s="589" t="s">
        <v>185</v>
      </c>
      <c r="F531" s="589" t="s">
        <v>1392</v>
      </c>
      <c r="G531" s="589" t="s">
        <v>1483</v>
      </c>
      <c r="H531" s="589">
        <v>154</v>
      </c>
      <c r="I531" s="583">
        <v>154</v>
      </c>
      <c r="J531" s="589"/>
      <c r="K531" s="589" t="s">
        <v>1071</v>
      </c>
      <c r="L531" s="806">
        <v>2</v>
      </c>
      <c r="M531" s="806">
        <v>8</v>
      </c>
      <c r="N531" s="807">
        <v>41444</v>
      </c>
    </row>
    <row r="532" spans="1:14">
      <c r="A532" s="589" t="s">
        <v>1555</v>
      </c>
      <c r="B532" s="583" t="s">
        <v>1099</v>
      </c>
      <c r="C532" s="243">
        <v>41442</v>
      </c>
      <c r="D532" s="243">
        <v>41442</v>
      </c>
      <c r="E532" s="589" t="s">
        <v>179</v>
      </c>
      <c r="F532" s="589" t="s">
        <v>1392</v>
      </c>
      <c r="G532" s="805" t="s">
        <v>1000</v>
      </c>
      <c r="H532" s="589">
        <v>45</v>
      </c>
      <c r="I532" s="583">
        <v>45</v>
      </c>
      <c r="J532" s="589"/>
      <c r="K532" s="589" t="s">
        <v>1071</v>
      </c>
      <c r="L532" s="806">
        <v>2</v>
      </c>
      <c r="M532" s="806">
        <v>8</v>
      </c>
      <c r="N532" s="807">
        <v>41445</v>
      </c>
    </row>
    <row r="533" spans="1:14">
      <c r="A533" s="589" t="s">
        <v>1555</v>
      </c>
      <c r="B533" s="583" t="s">
        <v>1099</v>
      </c>
      <c r="C533" s="243">
        <v>41442</v>
      </c>
      <c r="D533" s="243">
        <v>41442</v>
      </c>
      <c r="E533" s="590" t="s">
        <v>180</v>
      </c>
      <c r="F533" s="589" t="s">
        <v>1392</v>
      </c>
      <c r="G533" s="805" t="s">
        <v>1000</v>
      </c>
      <c r="H533" s="591">
        <v>32</v>
      </c>
      <c r="I533" s="590">
        <v>32</v>
      </c>
      <c r="J533" s="637"/>
      <c r="K533" s="589" t="s">
        <v>1071</v>
      </c>
      <c r="L533" s="810">
        <v>2</v>
      </c>
      <c r="M533" s="810">
        <v>8</v>
      </c>
      <c r="N533" s="807">
        <v>41445</v>
      </c>
    </row>
    <row r="534" spans="1:14">
      <c r="A534" s="589" t="s">
        <v>1555</v>
      </c>
      <c r="B534" s="583" t="s">
        <v>1099</v>
      </c>
      <c r="C534" s="243">
        <v>41442</v>
      </c>
      <c r="D534" s="243">
        <v>41442</v>
      </c>
      <c r="E534" s="589" t="s">
        <v>184</v>
      </c>
      <c r="F534" s="589" t="s">
        <v>1392</v>
      </c>
      <c r="G534" s="589" t="s">
        <v>1471</v>
      </c>
      <c r="H534" s="592">
        <v>5.6</v>
      </c>
      <c r="I534" s="811">
        <v>5.6</v>
      </c>
      <c r="J534" s="589"/>
      <c r="K534" s="589" t="s">
        <v>1096</v>
      </c>
      <c r="L534" s="806">
        <v>4</v>
      </c>
      <c r="M534" s="806"/>
      <c r="N534" s="807">
        <v>41449</v>
      </c>
    </row>
    <row r="535" spans="1:14">
      <c r="A535" s="804" t="s">
        <v>1556</v>
      </c>
      <c r="B535" s="583" t="s">
        <v>1557</v>
      </c>
      <c r="C535" s="243">
        <v>41442</v>
      </c>
      <c r="D535" s="243">
        <v>41442</v>
      </c>
      <c r="E535" s="584" t="s">
        <v>206</v>
      </c>
      <c r="F535" s="589" t="s">
        <v>1392</v>
      </c>
      <c r="G535" s="805" t="s">
        <v>996</v>
      </c>
      <c r="H535" s="589">
        <v>982</v>
      </c>
      <c r="I535" s="583">
        <v>982</v>
      </c>
      <c r="J535" s="589"/>
      <c r="K535" s="637" t="s">
        <v>1071</v>
      </c>
      <c r="L535" s="806">
        <v>6</v>
      </c>
      <c r="M535" s="806">
        <v>42</v>
      </c>
      <c r="N535" s="807">
        <v>41445</v>
      </c>
    </row>
    <row r="536" spans="1:14">
      <c r="A536" s="688" t="s">
        <v>1556</v>
      </c>
      <c r="B536" s="583" t="s">
        <v>1557</v>
      </c>
      <c r="C536" s="243">
        <v>41442</v>
      </c>
      <c r="D536" s="243">
        <v>41442</v>
      </c>
      <c r="E536" s="589" t="s">
        <v>185</v>
      </c>
      <c r="F536" s="589" t="s">
        <v>1392</v>
      </c>
      <c r="G536" s="589" t="s">
        <v>1483</v>
      </c>
      <c r="H536" s="589">
        <v>465</v>
      </c>
      <c r="I536" s="583">
        <v>465</v>
      </c>
      <c r="J536" s="589"/>
      <c r="K536" s="589" t="s">
        <v>1071</v>
      </c>
      <c r="L536" s="806">
        <v>2</v>
      </c>
      <c r="M536" s="806">
        <v>8</v>
      </c>
      <c r="N536" s="807">
        <v>41444</v>
      </c>
    </row>
    <row r="537" spans="1:14">
      <c r="A537" s="688" t="s">
        <v>1556</v>
      </c>
      <c r="B537" s="583" t="s">
        <v>1557</v>
      </c>
      <c r="C537" s="243">
        <v>41442</v>
      </c>
      <c r="D537" s="243">
        <v>41442</v>
      </c>
      <c r="E537" s="589" t="s">
        <v>245</v>
      </c>
      <c r="F537" s="589" t="s">
        <v>1392</v>
      </c>
      <c r="G537" s="589" t="s">
        <v>991</v>
      </c>
      <c r="H537" s="589">
        <v>41</v>
      </c>
      <c r="I537" s="808" t="s">
        <v>1558</v>
      </c>
      <c r="J537" s="589"/>
      <c r="K537" s="637" t="s">
        <v>1071</v>
      </c>
      <c r="L537" s="809">
        <v>5</v>
      </c>
      <c r="M537" s="809">
        <v>35</v>
      </c>
      <c r="N537" s="807">
        <v>41446</v>
      </c>
    </row>
    <row r="538" spans="1:14">
      <c r="A538" s="688" t="s">
        <v>1556</v>
      </c>
      <c r="B538" s="583" t="s">
        <v>1557</v>
      </c>
      <c r="C538" s="243">
        <v>41442</v>
      </c>
      <c r="D538" s="243">
        <v>41442</v>
      </c>
      <c r="E538" s="589" t="s">
        <v>179</v>
      </c>
      <c r="F538" s="589" t="s">
        <v>1392</v>
      </c>
      <c r="G538" s="805" t="s">
        <v>1000</v>
      </c>
      <c r="H538" s="589">
        <v>87</v>
      </c>
      <c r="I538" s="583">
        <v>87</v>
      </c>
      <c r="J538" s="589"/>
      <c r="K538" s="589" t="s">
        <v>1071</v>
      </c>
      <c r="L538" s="806">
        <v>2</v>
      </c>
      <c r="M538" s="806">
        <v>8</v>
      </c>
      <c r="N538" s="807">
        <v>41445</v>
      </c>
    </row>
    <row r="539" spans="1:14">
      <c r="A539" s="804" t="s">
        <v>1559</v>
      </c>
      <c r="B539" s="583" t="s">
        <v>1560</v>
      </c>
      <c r="C539" s="243">
        <v>41442</v>
      </c>
      <c r="D539" s="243">
        <v>41442</v>
      </c>
      <c r="E539" s="584" t="s">
        <v>206</v>
      </c>
      <c r="F539" s="589" t="s">
        <v>1392</v>
      </c>
      <c r="G539" s="805" t="s">
        <v>996</v>
      </c>
      <c r="H539" s="589">
        <v>1192</v>
      </c>
      <c r="I539" s="583">
        <v>1192</v>
      </c>
      <c r="J539" s="589"/>
      <c r="K539" s="637" t="s">
        <v>1071</v>
      </c>
      <c r="L539" s="806">
        <v>6</v>
      </c>
      <c r="M539" s="806">
        <v>42</v>
      </c>
      <c r="N539" s="807">
        <v>41445</v>
      </c>
    </row>
    <row r="540" spans="1:14">
      <c r="A540" s="688" t="s">
        <v>1559</v>
      </c>
      <c r="B540" s="583" t="s">
        <v>1560</v>
      </c>
      <c r="C540" s="243">
        <v>41442</v>
      </c>
      <c r="D540" s="243">
        <v>41442</v>
      </c>
      <c r="E540" s="589" t="s">
        <v>185</v>
      </c>
      <c r="F540" s="589" t="s">
        <v>1392</v>
      </c>
      <c r="G540" s="589" t="s">
        <v>1483</v>
      </c>
      <c r="H540" s="589">
        <v>427</v>
      </c>
      <c r="I540" s="583">
        <v>427</v>
      </c>
      <c r="J540" s="589"/>
      <c r="K540" s="589" t="s">
        <v>1071</v>
      </c>
      <c r="L540" s="806">
        <v>2</v>
      </c>
      <c r="M540" s="806">
        <v>8</v>
      </c>
      <c r="N540" s="807">
        <v>41444</v>
      </c>
    </row>
    <row r="541" spans="1:14">
      <c r="A541" s="688" t="s">
        <v>1559</v>
      </c>
      <c r="B541" s="583" t="s">
        <v>1560</v>
      </c>
      <c r="C541" s="243">
        <v>41442</v>
      </c>
      <c r="D541" s="243">
        <v>41442</v>
      </c>
      <c r="E541" s="589" t="s">
        <v>245</v>
      </c>
      <c r="F541" s="589" t="s">
        <v>1392</v>
      </c>
      <c r="G541" s="589" t="s">
        <v>991</v>
      </c>
      <c r="H541" s="589">
        <v>47</v>
      </c>
      <c r="I541" s="808" t="s">
        <v>1526</v>
      </c>
      <c r="J541" s="589"/>
      <c r="K541" s="637" t="s">
        <v>1071</v>
      </c>
      <c r="L541" s="809">
        <v>5</v>
      </c>
      <c r="M541" s="809">
        <v>35</v>
      </c>
      <c r="N541" s="807">
        <v>41446</v>
      </c>
    </row>
    <row r="542" spans="1:14">
      <c r="A542" s="688" t="s">
        <v>1559</v>
      </c>
      <c r="B542" s="583" t="s">
        <v>1560</v>
      </c>
      <c r="C542" s="243">
        <v>41442</v>
      </c>
      <c r="D542" s="243">
        <v>41442</v>
      </c>
      <c r="E542" s="589" t="s">
        <v>179</v>
      </c>
      <c r="F542" s="589" t="s">
        <v>1392</v>
      </c>
      <c r="G542" s="805" t="s">
        <v>1000</v>
      </c>
      <c r="H542" s="589">
        <v>123</v>
      </c>
      <c r="I542" s="583">
        <v>123</v>
      </c>
      <c r="J542" s="589"/>
      <c r="K542" s="589" t="s">
        <v>1071</v>
      </c>
      <c r="L542" s="806">
        <v>2</v>
      </c>
      <c r="M542" s="806">
        <v>8</v>
      </c>
      <c r="N542" s="807">
        <v>41445</v>
      </c>
    </row>
    <row r="543" spans="1:14">
      <c r="A543" s="804" t="s">
        <v>1561</v>
      </c>
      <c r="B543" s="583">
        <v>52</v>
      </c>
      <c r="C543" s="243">
        <v>41442</v>
      </c>
      <c r="D543" s="243">
        <v>41442</v>
      </c>
      <c r="E543" s="584" t="s">
        <v>206</v>
      </c>
      <c r="F543" s="589" t="s">
        <v>1392</v>
      </c>
      <c r="G543" s="805" t="s">
        <v>996</v>
      </c>
      <c r="H543" s="589">
        <v>338</v>
      </c>
      <c r="I543" s="583">
        <v>338</v>
      </c>
      <c r="J543" s="589"/>
      <c r="K543" s="637" t="s">
        <v>1071</v>
      </c>
      <c r="L543" s="806">
        <v>6</v>
      </c>
      <c r="M543" s="806">
        <v>42</v>
      </c>
      <c r="N543" s="807">
        <v>41445</v>
      </c>
    </row>
    <row r="544" spans="1:14">
      <c r="A544" s="688" t="s">
        <v>1561</v>
      </c>
      <c r="B544" s="583">
        <v>52</v>
      </c>
      <c r="C544" s="243">
        <v>41442</v>
      </c>
      <c r="D544" s="243">
        <v>41442</v>
      </c>
      <c r="E544" s="589" t="s">
        <v>185</v>
      </c>
      <c r="F544" s="589" t="s">
        <v>1392</v>
      </c>
      <c r="G544" s="589" t="s">
        <v>1483</v>
      </c>
      <c r="H544" s="589">
        <v>122</v>
      </c>
      <c r="I544" s="583">
        <v>122</v>
      </c>
      <c r="J544" s="589"/>
      <c r="K544" s="589" t="s">
        <v>1071</v>
      </c>
      <c r="L544" s="806">
        <v>2</v>
      </c>
      <c r="M544" s="806">
        <v>8</v>
      </c>
      <c r="N544" s="807">
        <v>41444</v>
      </c>
    </row>
    <row r="545" spans="1:14">
      <c r="A545" s="688" t="s">
        <v>1561</v>
      </c>
      <c r="B545" s="583">
        <v>52</v>
      </c>
      <c r="C545" s="243">
        <v>41442</v>
      </c>
      <c r="D545" s="243">
        <v>41442</v>
      </c>
      <c r="E545" s="589" t="s">
        <v>245</v>
      </c>
      <c r="F545" s="589" t="s">
        <v>1392</v>
      </c>
      <c r="G545" s="589" t="s">
        <v>991</v>
      </c>
      <c r="H545" s="589">
        <v>35</v>
      </c>
      <c r="I545" s="808" t="s">
        <v>1562</v>
      </c>
      <c r="J545" s="589" t="s">
        <v>1419</v>
      </c>
      <c r="K545" s="637" t="s">
        <v>1071</v>
      </c>
      <c r="L545" s="809">
        <v>5</v>
      </c>
      <c r="M545" s="809">
        <v>35</v>
      </c>
      <c r="N545" s="807">
        <v>41446</v>
      </c>
    </row>
    <row r="546" spans="1:14">
      <c r="A546" s="688" t="s">
        <v>1561</v>
      </c>
      <c r="B546" s="583">
        <v>52</v>
      </c>
      <c r="C546" s="243">
        <v>41442</v>
      </c>
      <c r="D546" s="243">
        <v>41442</v>
      </c>
      <c r="E546" s="589" t="s">
        <v>179</v>
      </c>
      <c r="F546" s="589" t="s">
        <v>1392</v>
      </c>
      <c r="G546" s="805" t="s">
        <v>1000</v>
      </c>
      <c r="H546" s="589">
        <v>35</v>
      </c>
      <c r="I546" s="583">
        <v>35</v>
      </c>
      <c r="J546" s="589"/>
      <c r="K546" s="589" t="s">
        <v>1071</v>
      </c>
      <c r="L546" s="806">
        <v>2</v>
      </c>
      <c r="M546" s="806">
        <v>8</v>
      </c>
      <c r="N546" s="807">
        <v>41445</v>
      </c>
    </row>
    <row r="547" spans="1:14">
      <c r="A547" s="804" t="s">
        <v>1563</v>
      </c>
      <c r="B547" s="583">
        <v>53</v>
      </c>
      <c r="C547" s="243">
        <v>41442</v>
      </c>
      <c r="D547" s="243">
        <v>41442</v>
      </c>
      <c r="E547" s="584" t="s">
        <v>206</v>
      </c>
      <c r="F547" s="589" t="s">
        <v>1392</v>
      </c>
      <c r="G547" s="805" t="s">
        <v>996</v>
      </c>
      <c r="H547" s="589">
        <v>187</v>
      </c>
      <c r="I547" s="583">
        <v>187</v>
      </c>
      <c r="J547" s="589"/>
      <c r="K547" s="637" t="s">
        <v>1071</v>
      </c>
      <c r="L547" s="806">
        <v>6</v>
      </c>
      <c r="M547" s="806">
        <v>42</v>
      </c>
      <c r="N547" s="807">
        <v>41445</v>
      </c>
    </row>
    <row r="548" spans="1:14">
      <c r="A548" s="688" t="s">
        <v>1563</v>
      </c>
      <c r="B548" s="583">
        <v>53</v>
      </c>
      <c r="C548" s="243">
        <v>41442</v>
      </c>
      <c r="D548" s="243">
        <v>41442</v>
      </c>
      <c r="E548" s="589" t="s">
        <v>185</v>
      </c>
      <c r="F548" s="589" t="s">
        <v>1392</v>
      </c>
      <c r="G548" s="589" t="s">
        <v>1483</v>
      </c>
      <c r="H548" s="589">
        <v>35</v>
      </c>
      <c r="I548" s="583">
        <v>35</v>
      </c>
      <c r="J548" s="589"/>
      <c r="K548" s="589" t="s">
        <v>1071</v>
      </c>
      <c r="L548" s="806">
        <v>2</v>
      </c>
      <c r="M548" s="806">
        <v>8</v>
      </c>
      <c r="N548" s="807">
        <v>41444</v>
      </c>
    </row>
    <row r="549" spans="1:14">
      <c r="A549" s="688" t="s">
        <v>1563</v>
      </c>
      <c r="B549" s="583">
        <v>53</v>
      </c>
      <c r="C549" s="243">
        <v>41442</v>
      </c>
      <c r="D549" s="243">
        <v>41442</v>
      </c>
      <c r="E549" s="589" t="s">
        <v>245</v>
      </c>
      <c r="F549" s="589" t="s">
        <v>1392</v>
      </c>
      <c r="G549" s="589" t="s">
        <v>991</v>
      </c>
      <c r="H549" s="589">
        <v>28</v>
      </c>
      <c r="I549" s="808" t="s">
        <v>1409</v>
      </c>
      <c r="J549" s="589" t="s">
        <v>1419</v>
      </c>
      <c r="K549" s="637" t="s">
        <v>1071</v>
      </c>
      <c r="L549" s="809">
        <v>5</v>
      </c>
      <c r="M549" s="809">
        <v>35</v>
      </c>
      <c r="N549" s="807">
        <v>41446</v>
      </c>
    </row>
    <row r="550" spans="1:14">
      <c r="A550" s="688" t="s">
        <v>1563</v>
      </c>
      <c r="B550" s="583">
        <v>53</v>
      </c>
      <c r="C550" s="243">
        <v>41442</v>
      </c>
      <c r="D550" s="243">
        <v>41442</v>
      </c>
      <c r="E550" s="589" t="s">
        <v>179</v>
      </c>
      <c r="F550" s="589" t="s">
        <v>1392</v>
      </c>
      <c r="G550" s="805" t="s">
        <v>1000</v>
      </c>
      <c r="H550" s="589">
        <v>10</v>
      </c>
      <c r="I550" s="583">
        <v>10</v>
      </c>
      <c r="J550" s="589"/>
      <c r="K550" s="589" t="s">
        <v>1071</v>
      </c>
      <c r="L550" s="806">
        <v>2</v>
      </c>
      <c r="M550" s="806">
        <v>8</v>
      </c>
      <c r="N550" s="807">
        <v>41445</v>
      </c>
    </row>
    <row r="551" spans="1:14">
      <c r="A551" s="804" t="s">
        <v>1564</v>
      </c>
      <c r="B551" s="583">
        <v>54</v>
      </c>
      <c r="C551" s="243">
        <v>41442</v>
      </c>
      <c r="D551" s="243">
        <v>41442</v>
      </c>
      <c r="E551" s="584" t="s">
        <v>206</v>
      </c>
      <c r="F551" s="589" t="s">
        <v>1392</v>
      </c>
      <c r="G551" s="805" t="s">
        <v>996</v>
      </c>
      <c r="H551" s="589">
        <v>341</v>
      </c>
      <c r="I551" s="583">
        <v>341</v>
      </c>
      <c r="J551" s="589"/>
      <c r="K551" s="637" t="s">
        <v>1071</v>
      </c>
      <c r="L551" s="806">
        <v>6</v>
      </c>
      <c r="M551" s="806">
        <v>42</v>
      </c>
      <c r="N551" s="807">
        <v>41445</v>
      </c>
    </row>
    <row r="552" spans="1:14">
      <c r="A552" s="688" t="s">
        <v>1564</v>
      </c>
      <c r="B552" s="583">
        <v>54</v>
      </c>
      <c r="C552" s="243">
        <v>41442</v>
      </c>
      <c r="D552" s="243">
        <v>41442</v>
      </c>
      <c r="E552" s="589" t="s">
        <v>185</v>
      </c>
      <c r="F552" s="589" t="s">
        <v>1392</v>
      </c>
      <c r="G552" s="589" t="s">
        <v>1483</v>
      </c>
      <c r="H552" s="589">
        <v>109</v>
      </c>
      <c r="I552" s="583">
        <v>109</v>
      </c>
      <c r="J552" s="589"/>
      <c r="K552" s="589" t="s">
        <v>1071</v>
      </c>
      <c r="L552" s="806">
        <v>2</v>
      </c>
      <c r="M552" s="806">
        <v>8</v>
      </c>
      <c r="N552" s="807">
        <v>41444</v>
      </c>
    </row>
    <row r="553" spans="1:14">
      <c r="A553" s="688" t="s">
        <v>1564</v>
      </c>
      <c r="B553" s="583">
        <v>54</v>
      </c>
      <c r="C553" s="243">
        <v>41442</v>
      </c>
      <c r="D553" s="243">
        <v>41442</v>
      </c>
      <c r="E553" s="589" t="s">
        <v>245</v>
      </c>
      <c r="F553" s="589" t="s">
        <v>1392</v>
      </c>
      <c r="G553" s="589" t="s">
        <v>991</v>
      </c>
      <c r="H553" s="589">
        <v>35</v>
      </c>
      <c r="I553" s="808" t="s">
        <v>1562</v>
      </c>
      <c r="J553" s="589" t="s">
        <v>1419</v>
      </c>
      <c r="K553" s="637" t="s">
        <v>1071</v>
      </c>
      <c r="L553" s="809">
        <v>5</v>
      </c>
      <c r="M553" s="809">
        <v>35</v>
      </c>
      <c r="N553" s="807">
        <v>41446</v>
      </c>
    </row>
    <row r="554" spans="1:14">
      <c r="A554" s="688" t="s">
        <v>1564</v>
      </c>
      <c r="B554" s="583">
        <v>54</v>
      </c>
      <c r="C554" s="243">
        <v>41442</v>
      </c>
      <c r="D554" s="243">
        <v>41442</v>
      </c>
      <c r="E554" s="589" t="s">
        <v>179</v>
      </c>
      <c r="F554" s="589" t="s">
        <v>1392</v>
      </c>
      <c r="G554" s="805" t="s">
        <v>1000</v>
      </c>
      <c r="H554" s="589">
        <v>32</v>
      </c>
      <c r="I554" s="583">
        <v>32</v>
      </c>
      <c r="J554" s="589"/>
      <c r="K554" s="589" t="s">
        <v>1071</v>
      </c>
      <c r="L554" s="806">
        <v>2</v>
      </c>
      <c r="M554" s="806">
        <v>8</v>
      </c>
      <c r="N554" s="807">
        <v>41445</v>
      </c>
    </row>
    <row r="555" spans="1:14">
      <c r="A555" s="804" t="s">
        <v>1565</v>
      </c>
      <c r="B555" s="583">
        <v>55</v>
      </c>
      <c r="C555" s="243">
        <v>41442</v>
      </c>
      <c r="D555" s="243">
        <v>41442</v>
      </c>
      <c r="E555" s="584" t="s">
        <v>206</v>
      </c>
      <c r="F555" s="589" t="s">
        <v>1392</v>
      </c>
      <c r="G555" s="805" t="s">
        <v>996</v>
      </c>
      <c r="H555" s="589">
        <v>217</v>
      </c>
      <c r="I555" s="583">
        <v>217</v>
      </c>
      <c r="J555" s="589"/>
      <c r="K555" s="637" t="s">
        <v>1071</v>
      </c>
      <c r="L555" s="806">
        <v>6</v>
      </c>
      <c r="M555" s="806">
        <v>42</v>
      </c>
      <c r="N555" s="807">
        <v>41445</v>
      </c>
    </row>
    <row r="556" spans="1:14">
      <c r="A556" s="688" t="s">
        <v>1565</v>
      </c>
      <c r="B556" s="583">
        <v>55</v>
      </c>
      <c r="C556" s="243">
        <v>41442</v>
      </c>
      <c r="D556" s="243">
        <v>41442</v>
      </c>
      <c r="E556" s="589" t="s">
        <v>185</v>
      </c>
      <c r="F556" s="589" t="s">
        <v>1392</v>
      </c>
      <c r="G556" s="589" t="s">
        <v>1483</v>
      </c>
      <c r="H556" s="589"/>
      <c r="I556" s="583"/>
      <c r="J556" s="589" t="s">
        <v>1395</v>
      </c>
      <c r="K556" s="589" t="s">
        <v>1071</v>
      </c>
      <c r="L556" s="806">
        <v>2</v>
      </c>
      <c r="M556" s="806">
        <v>8</v>
      </c>
      <c r="N556" s="807">
        <v>41444</v>
      </c>
    </row>
    <row r="557" spans="1:14">
      <c r="A557" s="688" t="s">
        <v>1565</v>
      </c>
      <c r="B557" s="583">
        <v>55</v>
      </c>
      <c r="C557" s="243">
        <v>41442</v>
      </c>
      <c r="D557" s="243">
        <v>41442</v>
      </c>
      <c r="E557" s="589" t="s">
        <v>245</v>
      </c>
      <c r="F557" s="589" t="s">
        <v>1392</v>
      </c>
      <c r="G557" s="589" t="s">
        <v>991</v>
      </c>
      <c r="H557" s="589">
        <v>28</v>
      </c>
      <c r="I557" s="808" t="s">
        <v>1409</v>
      </c>
      <c r="J557" s="589" t="s">
        <v>1419</v>
      </c>
      <c r="K557" s="637" t="s">
        <v>1071</v>
      </c>
      <c r="L557" s="809">
        <v>5</v>
      </c>
      <c r="M557" s="809">
        <v>35</v>
      </c>
      <c r="N557" s="807">
        <v>41446</v>
      </c>
    </row>
    <row r="558" spans="1:14">
      <c r="A558" s="688" t="s">
        <v>1565</v>
      </c>
      <c r="B558" s="583">
        <v>55</v>
      </c>
      <c r="C558" s="243">
        <v>41442</v>
      </c>
      <c r="D558" s="243">
        <v>41442</v>
      </c>
      <c r="E558" s="589" t="s">
        <v>179</v>
      </c>
      <c r="F558" s="589" t="s">
        <v>1392</v>
      </c>
      <c r="G558" s="805" t="s">
        <v>1000</v>
      </c>
      <c r="H558" s="589">
        <v>8</v>
      </c>
      <c r="I558" s="583">
        <v>8</v>
      </c>
      <c r="J558" s="589" t="s">
        <v>1419</v>
      </c>
      <c r="K558" s="589" t="s">
        <v>1071</v>
      </c>
      <c r="L558" s="806">
        <v>2</v>
      </c>
      <c r="M558" s="806">
        <v>8</v>
      </c>
      <c r="N558" s="807">
        <v>41445</v>
      </c>
    </row>
    <row r="559" spans="1:14">
      <c r="A559" s="804" t="s">
        <v>1566</v>
      </c>
      <c r="B559" s="583" t="s">
        <v>297</v>
      </c>
      <c r="C559" s="243">
        <v>41442</v>
      </c>
      <c r="D559" s="243">
        <v>41442</v>
      </c>
      <c r="E559" s="584" t="s">
        <v>206</v>
      </c>
      <c r="F559" s="589" t="s">
        <v>1392</v>
      </c>
      <c r="G559" s="805" t="s">
        <v>996</v>
      </c>
      <c r="H559" s="589">
        <v>243</v>
      </c>
      <c r="I559" s="583">
        <v>243</v>
      </c>
      <c r="J559" s="589"/>
      <c r="K559" s="637" t="s">
        <v>1071</v>
      </c>
      <c r="L559" s="806">
        <v>6</v>
      </c>
      <c r="M559" s="806">
        <v>42</v>
      </c>
      <c r="N559" s="807">
        <v>41445</v>
      </c>
    </row>
    <row r="560" spans="1:14">
      <c r="A560" s="688" t="s">
        <v>1566</v>
      </c>
      <c r="B560" s="583" t="s">
        <v>297</v>
      </c>
      <c r="C560" s="243">
        <v>41442</v>
      </c>
      <c r="D560" s="243">
        <v>41442</v>
      </c>
      <c r="E560" s="589" t="s">
        <v>185</v>
      </c>
      <c r="F560" s="589" t="s">
        <v>1392</v>
      </c>
      <c r="G560" s="589" t="s">
        <v>1483</v>
      </c>
      <c r="H560" s="589">
        <v>12</v>
      </c>
      <c r="I560" s="583">
        <v>12</v>
      </c>
      <c r="J560" s="589"/>
      <c r="K560" s="589" t="s">
        <v>1071</v>
      </c>
      <c r="L560" s="806">
        <v>2</v>
      </c>
      <c r="M560" s="806">
        <v>8</v>
      </c>
      <c r="N560" s="807">
        <v>41444</v>
      </c>
    </row>
    <row r="561" spans="1:14">
      <c r="A561" s="688" t="s">
        <v>1566</v>
      </c>
      <c r="B561" s="583" t="s">
        <v>297</v>
      </c>
      <c r="C561" s="243">
        <v>41442</v>
      </c>
      <c r="D561" s="243">
        <v>41442</v>
      </c>
      <c r="E561" s="589" t="s">
        <v>245</v>
      </c>
      <c r="F561" s="589" t="s">
        <v>1392</v>
      </c>
      <c r="G561" s="589" t="s">
        <v>991</v>
      </c>
      <c r="H561" s="589">
        <v>49</v>
      </c>
      <c r="I561" s="808" t="s">
        <v>1498</v>
      </c>
      <c r="J561" s="589"/>
      <c r="K561" s="637" t="s">
        <v>1071</v>
      </c>
      <c r="L561" s="809">
        <v>5</v>
      </c>
      <c r="M561" s="809">
        <v>35</v>
      </c>
      <c r="N561" s="807">
        <v>41446</v>
      </c>
    </row>
    <row r="562" spans="1:14">
      <c r="A562" s="688" t="s">
        <v>1566</v>
      </c>
      <c r="B562" s="583" t="s">
        <v>297</v>
      </c>
      <c r="C562" s="243">
        <v>41442</v>
      </c>
      <c r="D562" s="243">
        <v>41442</v>
      </c>
      <c r="E562" s="589" t="s">
        <v>179</v>
      </c>
      <c r="F562" s="589" t="s">
        <v>1392</v>
      </c>
      <c r="G562" s="805" t="s">
        <v>1000</v>
      </c>
      <c r="H562" s="589">
        <v>15</v>
      </c>
      <c r="I562" s="583">
        <v>15</v>
      </c>
      <c r="J562" s="589"/>
      <c r="K562" s="589" t="s">
        <v>1071</v>
      </c>
      <c r="L562" s="806">
        <v>2</v>
      </c>
      <c r="M562" s="806">
        <v>8</v>
      </c>
      <c r="N562" s="807">
        <v>41445</v>
      </c>
    </row>
    <row r="563" spans="1:14">
      <c r="A563" s="688" t="s">
        <v>1566</v>
      </c>
      <c r="B563" s="583" t="s">
        <v>297</v>
      </c>
      <c r="C563" s="243">
        <v>41442</v>
      </c>
      <c r="D563" s="243">
        <v>41442</v>
      </c>
      <c r="E563" s="590" t="s">
        <v>180</v>
      </c>
      <c r="F563" s="589" t="s">
        <v>1392</v>
      </c>
      <c r="G563" s="805" t="s">
        <v>1000</v>
      </c>
      <c r="H563" s="591">
        <v>4</v>
      </c>
      <c r="I563" s="590">
        <v>4</v>
      </c>
      <c r="J563" s="637" t="s">
        <v>1419</v>
      </c>
      <c r="K563" s="589" t="s">
        <v>1071</v>
      </c>
      <c r="L563" s="810">
        <v>2</v>
      </c>
      <c r="M563" s="810">
        <v>8</v>
      </c>
      <c r="N563" s="807">
        <v>41445</v>
      </c>
    </row>
    <row r="564" spans="1:14">
      <c r="A564" s="688" t="s">
        <v>1566</v>
      </c>
      <c r="B564" s="583" t="s">
        <v>297</v>
      </c>
      <c r="C564" s="243">
        <v>41442</v>
      </c>
      <c r="D564" s="243">
        <v>41442</v>
      </c>
      <c r="E564" s="589" t="s">
        <v>184</v>
      </c>
      <c r="F564" s="589" t="s">
        <v>1392</v>
      </c>
      <c r="G564" s="589" t="s">
        <v>1471</v>
      </c>
      <c r="H564" s="592">
        <v>5.4</v>
      </c>
      <c r="I564" s="811">
        <v>5.4</v>
      </c>
      <c r="J564" s="589"/>
      <c r="K564" s="589" t="s">
        <v>1096</v>
      </c>
      <c r="L564" s="806">
        <v>4</v>
      </c>
      <c r="M564" s="806"/>
      <c r="N564" s="807">
        <v>41449</v>
      </c>
    </row>
    <row r="565" spans="1:14">
      <c r="A565" s="688" t="s">
        <v>1566</v>
      </c>
      <c r="B565" s="583" t="s">
        <v>297</v>
      </c>
      <c r="C565" s="243">
        <v>41442</v>
      </c>
      <c r="D565" s="243">
        <v>41442</v>
      </c>
      <c r="E565" s="584" t="s">
        <v>181</v>
      </c>
      <c r="F565" s="804" t="s">
        <v>1392</v>
      </c>
      <c r="G565" s="812" t="s">
        <v>1402</v>
      </c>
      <c r="H565" s="332">
        <v>3.3</v>
      </c>
      <c r="I565" s="813">
        <v>3.3</v>
      </c>
      <c r="J565" s="814"/>
      <c r="K565" s="589" t="s">
        <v>1071</v>
      </c>
      <c r="L565" s="810">
        <v>0.1</v>
      </c>
      <c r="M565" s="810"/>
      <c r="N565" s="807">
        <v>41457</v>
      </c>
    </row>
    <row r="566" spans="1:14">
      <c r="A566" s="688" t="s">
        <v>1566</v>
      </c>
      <c r="B566" s="583" t="s">
        <v>297</v>
      </c>
      <c r="C566" s="243">
        <v>41442</v>
      </c>
      <c r="D566" s="243">
        <v>41442</v>
      </c>
      <c r="E566" s="584" t="s">
        <v>181</v>
      </c>
      <c r="F566" s="804" t="s">
        <v>1392</v>
      </c>
      <c r="G566" s="812" t="s">
        <v>1402</v>
      </c>
      <c r="H566" s="332">
        <v>4.8</v>
      </c>
      <c r="I566" s="813">
        <v>4.8</v>
      </c>
      <c r="J566" s="814"/>
      <c r="K566" s="589" t="s">
        <v>1071</v>
      </c>
      <c r="L566" s="810">
        <v>0.1</v>
      </c>
      <c r="M566" s="810"/>
      <c r="N566" s="807">
        <v>41457</v>
      </c>
    </row>
    <row r="567" spans="1:14">
      <c r="A567" s="804" t="s">
        <v>1567</v>
      </c>
      <c r="B567" s="583" t="s">
        <v>402</v>
      </c>
      <c r="C567" s="243">
        <v>41442</v>
      </c>
      <c r="D567" s="243">
        <v>41442</v>
      </c>
      <c r="E567" s="584" t="s">
        <v>206</v>
      </c>
      <c r="F567" s="589" t="s">
        <v>1392</v>
      </c>
      <c r="G567" s="805" t="s">
        <v>996</v>
      </c>
      <c r="H567" s="589">
        <v>253</v>
      </c>
      <c r="I567" s="583">
        <v>253</v>
      </c>
      <c r="J567" s="589"/>
      <c r="K567" s="637" t="s">
        <v>1071</v>
      </c>
      <c r="L567" s="806">
        <v>6</v>
      </c>
      <c r="M567" s="806">
        <v>42</v>
      </c>
      <c r="N567" s="807">
        <v>41445</v>
      </c>
    </row>
    <row r="568" spans="1:14">
      <c r="A568" s="688" t="s">
        <v>1567</v>
      </c>
      <c r="B568" s="583" t="s">
        <v>402</v>
      </c>
      <c r="C568" s="243">
        <v>41442</v>
      </c>
      <c r="D568" s="243">
        <v>41442</v>
      </c>
      <c r="E568" s="589" t="s">
        <v>185</v>
      </c>
      <c r="F568" s="589" t="s">
        <v>1392</v>
      </c>
      <c r="G568" s="589" t="s">
        <v>1483</v>
      </c>
      <c r="H568" s="589">
        <v>10</v>
      </c>
      <c r="I568" s="583">
        <v>10</v>
      </c>
      <c r="J568" s="589"/>
      <c r="K568" s="589" t="s">
        <v>1071</v>
      </c>
      <c r="L568" s="806">
        <v>2</v>
      </c>
      <c r="M568" s="806">
        <v>8</v>
      </c>
      <c r="N568" s="807">
        <v>41444</v>
      </c>
    </row>
    <row r="569" spans="1:14">
      <c r="A569" s="688" t="s">
        <v>1567</v>
      </c>
      <c r="B569" s="583" t="s">
        <v>402</v>
      </c>
      <c r="C569" s="243">
        <v>41442</v>
      </c>
      <c r="D569" s="243">
        <v>41442</v>
      </c>
      <c r="E569" s="589" t="s">
        <v>245</v>
      </c>
      <c r="F569" s="589" t="s">
        <v>1392</v>
      </c>
      <c r="G569" s="589" t="s">
        <v>991</v>
      </c>
      <c r="H569" s="589">
        <v>56</v>
      </c>
      <c r="I569" s="808" t="s">
        <v>1568</v>
      </c>
      <c r="J569" s="589"/>
      <c r="K569" s="637" t="s">
        <v>1071</v>
      </c>
      <c r="L569" s="809">
        <v>5</v>
      </c>
      <c r="M569" s="809">
        <v>35</v>
      </c>
      <c r="N569" s="807">
        <v>41446</v>
      </c>
    </row>
    <row r="570" spans="1:14">
      <c r="A570" s="688" t="s">
        <v>1567</v>
      </c>
      <c r="B570" s="583" t="s">
        <v>402</v>
      </c>
      <c r="C570" s="243">
        <v>41442</v>
      </c>
      <c r="D570" s="243">
        <v>41442</v>
      </c>
      <c r="E570" s="589" t="s">
        <v>179</v>
      </c>
      <c r="F570" s="589" t="s">
        <v>1392</v>
      </c>
      <c r="G570" s="805" t="s">
        <v>1000</v>
      </c>
      <c r="H570" s="589">
        <v>20</v>
      </c>
      <c r="I570" s="583">
        <v>20</v>
      </c>
      <c r="J570" s="589"/>
      <c r="K570" s="589" t="s">
        <v>1071</v>
      </c>
      <c r="L570" s="806">
        <v>2</v>
      </c>
      <c r="M570" s="806">
        <v>8</v>
      </c>
      <c r="N570" s="807">
        <v>41445</v>
      </c>
    </row>
    <row r="571" spans="1:14">
      <c r="A571" s="688" t="s">
        <v>1567</v>
      </c>
      <c r="B571" s="583" t="s">
        <v>402</v>
      </c>
      <c r="C571" s="243">
        <v>41442</v>
      </c>
      <c r="D571" s="243">
        <v>41442</v>
      </c>
      <c r="E571" s="590" t="s">
        <v>180</v>
      </c>
      <c r="F571" s="589" t="s">
        <v>1392</v>
      </c>
      <c r="G571" s="805" t="s">
        <v>1000</v>
      </c>
      <c r="H571" s="591">
        <v>3</v>
      </c>
      <c r="I571" s="590">
        <v>3</v>
      </c>
      <c r="J571" s="637" t="s">
        <v>1419</v>
      </c>
      <c r="K571" s="589" t="s">
        <v>1071</v>
      </c>
      <c r="L571" s="810">
        <v>2</v>
      </c>
      <c r="M571" s="810">
        <v>8</v>
      </c>
      <c r="N571" s="807">
        <v>41445</v>
      </c>
    </row>
    <row r="572" spans="1:14">
      <c r="A572" s="688" t="s">
        <v>1567</v>
      </c>
      <c r="B572" s="583" t="s">
        <v>402</v>
      </c>
      <c r="C572" s="243">
        <v>41442</v>
      </c>
      <c r="D572" s="243">
        <v>41442</v>
      </c>
      <c r="E572" s="589" t="s">
        <v>184</v>
      </c>
      <c r="F572" s="589" t="s">
        <v>1392</v>
      </c>
      <c r="G572" s="589" t="s">
        <v>1471</v>
      </c>
      <c r="H572" s="592">
        <v>8.4</v>
      </c>
      <c r="I572" s="811">
        <v>8.4</v>
      </c>
      <c r="J572" s="589"/>
      <c r="K572" s="589" t="s">
        <v>1096</v>
      </c>
      <c r="L572" s="806">
        <v>4</v>
      </c>
      <c r="M572" s="806"/>
      <c r="N572" s="807">
        <v>41449</v>
      </c>
    </row>
    <row r="574" spans="1:14">
      <c r="A574" s="804" t="s">
        <v>1569</v>
      </c>
      <c r="B574" s="583" t="s">
        <v>1095</v>
      </c>
      <c r="C574" s="243">
        <v>41477</v>
      </c>
      <c r="D574" s="243">
        <v>41477</v>
      </c>
      <c r="E574" s="584" t="s">
        <v>206</v>
      </c>
      <c r="F574" s="589" t="s">
        <v>1392</v>
      </c>
      <c r="G574" s="805" t="s">
        <v>996</v>
      </c>
      <c r="H574" s="589">
        <v>577</v>
      </c>
      <c r="I574" s="583">
        <v>577</v>
      </c>
      <c r="J574" s="589"/>
      <c r="K574" s="637" t="s">
        <v>1071</v>
      </c>
      <c r="L574" s="806">
        <v>6</v>
      </c>
      <c r="M574" s="806">
        <v>42</v>
      </c>
      <c r="N574" s="807">
        <v>41487</v>
      </c>
    </row>
    <row r="575" spans="1:14">
      <c r="A575" s="688" t="s">
        <v>1569</v>
      </c>
      <c r="B575" s="583" t="s">
        <v>1095</v>
      </c>
      <c r="C575" s="243">
        <v>41477</v>
      </c>
      <c r="D575" s="243">
        <v>41477</v>
      </c>
      <c r="E575" s="589" t="s">
        <v>185</v>
      </c>
      <c r="F575" s="589" t="s">
        <v>1392</v>
      </c>
      <c r="G575" s="589" t="s">
        <v>1483</v>
      </c>
      <c r="H575" s="589">
        <v>16</v>
      </c>
      <c r="I575" s="583">
        <v>16</v>
      </c>
      <c r="J575" s="589"/>
      <c r="K575" s="589" t="s">
        <v>1071</v>
      </c>
      <c r="L575" s="806">
        <v>2</v>
      </c>
      <c r="M575" s="806">
        <v>8</v>
      </c>
      <c r="N575" s="807">
        <v>41478</v>
      </c>
    </row>
    <row r="576" spans="1:14">
      <c r="A576" s="688" t="s">
        <v>1569</v>
      </c>
      <c r="B576" s="583" t="s">
        <v>1095</v>
      </c>
      <c r="C576" s="243">
        <v>41477</v>
      </c>
      <c r="D576" s="243">
        <v>41477</v>
      </c>
      <c r="E576" s="589" t="s">
        <v>245</v>
      </c>
      <c r="F576" s="589" t="s">
        <v>1392</v>
      </c>
      <c r="G576" s="589" t="s">
        <v>991</v>
      </c>
      <c r="H576" s="589">
        <v>27</v>
      </c>
      <c r="I576" s="808" t="s">
        <v>1393</v>
      </c>
      <c r="J576" s="589" t="s">
        <v>1419</v>
      </c>
      <c r="K576" s="637" t="s">
        <v>1071</v>
      </c>
      <c r="L576" s="809">
        <v>5</v>
      </c>
      <c r="M576" s="809">
        <v>35</v>
      </c>
      <c r="N576" s="807">
        <v>41485</v>
      </c>
    </row>
    <row r="577" spans="1:14">
      <c r="A577" s="688" t="s">
        <v>1569</v>
      </c>
      <c r="B577" s="583" t="s">
        <v>1095</v>
      </c>
      <c r="C577" s="243">
        <v>41477</v>
      </c>
      <c r="D577" s="243">
        <v>41477</v>
      </c>
      <c r="E577" s="589" t="s">
        <v>179</v>
      </c>
      <c r="F577" s="589" t="s">
        <v>1392</v>
      </c>
      <c r="G577" s="805" t="s">
        <v>1000</v>
      </c>
      <c r="H577" s="589">
        <v>13</v>
      </c>
      <c r="I577" s="583">
        <v>13</v>
      </c>
      <c r="J577" s="589"/>
      <c r="K577" s="589" t="s">
        <v>1071</v>
      </c>
      <c r="L577" s="806">
        <v>2</v>
      </c>
      <c r="M577" s="806">
        <v>8</v>
      </c>
      <c r="N577" s="807">
        <v>41487</v>
      </c>
    </row>
    <row r="578" spans="1:14">
      <c r="A578" s="589" t="s">
        <v>1569</v>
      </c>
      <c r="B578" s="583" t="s">
        <v>1095</v>
      </c>
      <c r="C578" s="243">
        <v>41477</v>
      </c>
      <c r="D578" s="243">
        <v>41477</v>
      </c>
      <c r="E578" s="590" t="s">
        <v>180</v>
      </c>
      <c r="F578" s="589" t="s">
        <v>1392</v>
      </c>
      <c r="G578" s="805" t="s">
        <v>1000</v>
      </c>
      <c r="H578" s="591"/>
      <c r="I578" s="590"/>
      <c r="J578" s="637" t="s">
        <v>1395</v>
      </c>
      <c r="K578" s="589" t="s">
        <v>1071</v>
      </c>
      <c r="L578" s="810">
        <v>2</v>
      </c>
      <c r="M578" s="810">
        <v>8</v>
      </c>
      <c r="N578" s="807">
        <v>41487</v>
      </c>
    </row>
    <row r="579" spans="1:14">
      <c r="A579" s="688" t="s">
        <v>1569</v>
      </c>
      <c r="B579" s="583" t="s">
        <v>1095</v>
      </c>
      <c r="C579" s="243">
        <v>41477</v>
      </c>
      <c r="D579" s="243">
        <v>41477</v>
      </c>
      <c r="E579" s="589" t="s">
        <v>184</v>
      </c>
      <c r="F579" s="589" t="s">
        <v>1392</v>
      </c>
      <c r="G579" s="589" t="s">
        <v>1471</v>
      </c>
      <c r="H579" s="592">
        <v>6.1</v>
      </c>
      <c r="I579" s="811">
        <v>6.1</v>
      </c>
      <c r="J579" s="589"/>
      <c r="K579" s="589" t="s">
        <v>1096</v>
      </c>
      <c r="L579" s="806">
        <v>4</v>
      </c>
      <c r="M579" s="806"/>
      <c r="N579" s="807">
        <v>41492</v>
      </c>
    </row>
    <row r="580" spans="1:14">
      <c r="A580" s="804" t="s">
        <v>1570</v>
      </c>
      <c r="B580" s="583" t="s">
        <v>1097</v>
      </c>
      <c r="C580" s="243">
        <v>41477</v>
      </c>
      <c r="D580" s="243">
        <v>41477</v>
      </c>
      <c r="E580" s="584" t="s">
        <v>206</v>
      </c>
      <c r="F580" s="589" t="s">
        <v>1392</v>
      </c>
      <c r="G580" s="805" t="s">
        <v>996</v>
      </c>
      <c r="H580" s="589">
        <v>1188</v>
      </c>
      <c r="I580" s="583">
        <v>1188</v>
      </c>
      <c r="J580" s="589"/>
      <c r="K580" s="637" t="s">
        <v>1071</v>
      </c>
      <c r="L580" s="806">
        <v>6</v>
      </c>
      <c r="M580" s="806">
        <v>42</v>
      </c>
      <c r="N580" s="807">
        <v>41487</v>
      </c>
    </row>
    <row r="581" spans="1:14">
      <c r="A581" s="688" t="s">
        <v>1570</v>
      </c>
      <c r="B581" s="583" t="s">
        <v>1097</v>
      </c>
      <c r="C581" s="243">
        <v>41477</v>
      </c>
      <c r="D581" s="243">
        <v>41477</v>
      </c>
      <c r="E581" s="589" t="s">
        <v>185</v>
      </c>
      <c r="F581" s="589" t="s">
        <v>1392</v>
      </c>
      <c r="G581" s="589" t="s">
        <v>1483</v>
      </c>
      <c r="H581" s="589">
        <v>509</v>
      </c>
      <c r="I581" s="583">
        <v>509</v>
      </c>
      <c r="J581" s="589"/>
      <c r="K581" s="589" t="s">
        <v>1071</v>
      </c>
      <c r="L581" s="806">
        <v>2</v>
      </c>
      <c r="M581" s="806">
        <v>8</v>
      </c>
      <c r="N581" s="807">
        <v>41478</v>
      </c>
    </row>
    <row r="582" spans="1:14">
      <c r="A582" s="688" t="s">
        <v>1570</v>
      </c>
      <c r="B582" s="583" t="s">
        <v>1097</v>
      </c>
      <c r="C582" s="243">
        <v>41477</v>
      </c>
      <c r="D582" s="243">
        <v>41477</v>
      </c>
      <c r="E582" s="589" t="s">
        <v>245</v>
      </c>
      <c r="F582" s="589" t="s">
        <v>1392</v>
      </c>
      <c r="G582" s="589" t="s">
        <v>991</v>
      </c>
      <c r="H582" s="589">
        <v>480</v>
      </c>
      <c r="I582" s="808" t="s">
        <v>1571</v>
      </c>
      <c r="J582" s="688"/>
      <c r="K582" s="637" t="s">
        <v>1071</v>
      </c>
      <c r="L582" s="809">
        <v>5</v>
      </c>
      <c r="M582" s="809">
        <v>35</v>
      </c>
      <c r="N582" s="807">
        <v>41485</v>
      </c>
    </row>
    <row r="583" spans="1:14">
      <c r="A583" s="688" t="s">
        <v>1570</v>
      </c>
      <c r="B583" s="583" t="s">
        <v>1097</v>
      </c>
      <c r="C583" s="243">
        <v>41477</v>
      </c>
      <c r="D583" s="243">
        <v>41477</v>
      </c>
      <c r="E583" s="589" t="s">
        <v>179</v>
      </c>
      <c r="F583" s="589" t="s">
        <v>1392</v>
      </c>
      <c r="G583" s="805" t="s">
        <v>1000</v>
      </c>
      <c r="H583" s="589">
        <v>37</v>
      </c>
      <c r="I583" s="583">
        <v>37</v>
      </c>
      <c r="J583" s="589"/>
      <c r="K583" s="589" t="s">
        <v>1071</v>
      </c>
      <c r="L583" s="806">
        <v>2</v>
      </c>
      <c r="M583" s="806">
        <v>8</v>
      </c>
      <c r="N583" s="807">
        <v>41487</v>
      </c>
    </row>
    <row r="584" spans="1:14">
      <c r="A584" s="589" t="s">
        <v>1570</v>
      </c>
      <c r="B584" s="583" t="s">
        <v>1097</v>
      </c>
      <c r="C584" s="243">
        <v>41477</v>
      </c>
      <c r="D584" s="243">
        <v>41477</v>
      </c>
      <c r="E584" s="590" t="s">
        <v>180</v>
      </c>
      <c r="F584" s="589" t="s">
        <v>1392</v>
      </c>
      <c r="G584" s="805" t="s">
        <v>1000</v>
      </c>
      <c r="H584" s="591">
        <v>9</v>
      </c>
      <c r="I584" s="590">
        <v>9</v>
      </c>
      <c r="J584" s="637"/>
      <c r="K584" s="589" t="s">
        <v>1071</v>
      </c>
      <c r="L584" s="810">
        <v>2</v>
      </c>
      <c r="M584" s="810">
        <v>8</v>
      </c>
      <c r="N584" s="807">
        <v>41487</v>
      </c>
    </row>
    <row r="585" spans="1:14">
      <c r="A585" s="688" t="s">
        <v>1570</v>
      </c>
      <c r="B585" s="583" t="s">
        <v>1097</v>
      </c>
      <c r="C585" s="243">
        <v>41477</v>
      </c>
      <c r="D585" s="243">
        <v>41477</v>
      </c>
      <c r="E585" s="589" t="s">
        <v>184</v>
      </c>
      <c r="F585" s="589" t="s">
        <v>1392</v>
      </c>
      <c r="G585" s="589" t="s">
        <v>1471</v>
      </c>
      <c r="H585" s="592">
        <v>12.6</v>
      </c>
      <c r="I585" s="811">
        <v>12.6</v>
      </c>
      <c r="J585" s="589"/>
      <c r="K585" s="589" t="s">
        <v>1096</v>
      </c>
      <c r="L585" s="806">
        <v>4</v>
      </c>
      <c r="M585" s="806"/>
      <c r="N585" s="807">
        <v>41492</v>
      </c>
    </row>
    <row r="586" spans="1:14">
      <c r="A586" s="589" t="s">
        <v>1572</v>
      </c>
      <c r="B586" s="583">
        <v>45</v>
      </c>
      <c r="C586" s="243">
        <v>41477</v>
      </c>
      <c r="D586" s="243">
        <v>41477</v>
      </c>
      <c r="E586" s="584" t="s">
        <v>206</v>
      </c>
      <c r="F586" s="589" t="s">
        <v>1392</v>
      </c>
      <c r="G586" s="805" t="s">
        <v>996</v>
      </c>
      <c r="H586" s="589">
        <v>793</v>
      </c>
      <c r="I586" s="583">
        <v>793</v>
      </c>
      <c r="J586" s="589"/>
      <c r="K586" s="637" t="s">
        <v>1071</v>
      </c>
      <c r="L586" s="806">
        <v>6</v>
      </c>
      <c r="M586" s="806">
        <v>42</v>
      </c>
      <c r="N586" s="807">
        <v>41487</v>
      </c>
    </row>
    <row r="587" spans="1:14">
      <c r="A587" s="804" t="s">
        <v>1572</v>
      </c>
      <c r="B587" s="583">
        <v>45</v>
      </c>
      <c r="C587" s="243">
        <v>41477</v>
      </c>
      <c r="D587" s="243">
        <v>41477</v>
      </c>
      <c r="E587" s="589" t="s">
        <v>185</v>
      </c>
      <c r="F587" s="589" t="s">
        <v>1392</v>
      </c>
      <c r="G587" s="589" t="s">
        <v>1483</v>
      </c>
      <c r="H587" s="589">
        <v>51</v>
      </c>
      <c r="I587" s="583">
        <v>51</v>
      </c>
      <c r="J587" s="589"/>
      <c r="K587" s="589" t="s">
        <v>1071</v>
      </c>
      <c r="L587" s="806">
        <v>2</v>
      </c>
      <c r="M587" s="806">
        <v>8</v>
      </c>
      <c r="N587" s="807">
        <v>41478</v>
      </c>
    </row>
    <row r="588" spans="1:14">
      <c r="A588" s="804" t="s">
        <v>1572</v>
      </c>
      <c r="B588" s="583">
        <v>45</v>
      </c>
      <c r="C588" s="243">
        <v>41477</v>
      </c>
      <c r="D588" s="243">
        <v>41477</v>
      </c>
      <c r="E588" s="589" t="s">
        <v>245</v>
      </c>
      <c r="F588" s="589" t="s">
        <v>1392</v>
      </c>
      <c r="G588" s="589" t="s">
        <v>991</v>
      </c>
      <c r="H588" s="589">
        <v>47</v>
      </c>
      <c r="I588" s="808" t="s">
        <v>1526</v>
      </c>
      <c r="J588" s="589"/>
      <c r="K588" s="637" t="s">
        <v>1071</v>
      </c>
      <c r="L588" s="809">
        <v>5</v>
      </c>
      <c r="M588" s="809">
        <v>35</v>
      </c>
      <c r="N588" s="807">
        <v>41485</v>
      </c>
    </row>
    <row r="589" spans="1:14">
      <c r="A589" s="804" t="s">
        <v>1572</v>
      </c>
      <c r="B589" s="583">
        <v>45</v>
      </c>
      <c r="C589" s="243">
        <v>41477</v>
      </c>
      <c r="D589" s="243">
        <v>41477</v>
      </c>
      <c r="E589" s="589" t="s">
        <v>179</v>
      </c>
      <c r="F589" s="589" t="s">
        <v>1392</v>
      </c>
      <c r="G589" s="805" t="s">
        <v>1000</v>
      </c>
      <c r="H589" s="589">
        <v>58</v>
      </c>
      <c r="I589" s="583">
        <v>58</v>
      </c>
      <c r="J589" s="589"/>
      <c r="K589" s="589" t="s">
        <v>1071</v>
      </c>
      <c r="L589" s="806">
        <v>2</v>
      </c>
      <c r="M589" s="806">
        <v>8</v>
      </c>
      <c r="N589" s="807">
        <v>41487</v>
      </c>
    </row>
    <row r="590" spans="1:14">
      <c r="A590" s="589" t="s">
        <v>1572</v>
      </c>
      <c r="B590" s="583">
        <v>45</v>
      </c>
      <c r="C590" s="243">
        <v>41477</v>
      </c>
      <c r="D590" s="243">
        <v>41477</v>
      </c>
      <c r="E590" s="590" t="s">
        <v>180</v>
      </c>
      <c r="F590" s="589" t="s">
        <v>1392</v>
      </c>
      <c r="G590" s="805" t="s">
        <v>1000</v>
      </c>
      <c r="H590" s="591">
        <v>22</v>
      </c>
      <c r="I590" s="590">
        <v>22</v>
      </c>
      <c r="J590" s="637"/>
      <c r="K590" s="589" t="s">
        <v>1071</v>
      </c>
      <c r="L590" s="810">
        <v>2</v>
      </c>
      <c r="M590" s="810">
        <v>8</v>
      </c>
      <c r="N590" s="807">
        <v>41487</v>
      </c>
    </row>
    <row r="591" spans="1:14">
      <c r="A591" s="804" t="s">
        <v>1572</v>
      </c>
      <c r="B591" s="583">
        <v>45</v>
      </c>
      <c r="C591" s="243">
        <v>41477</v>
      </c>
      <c r="D591" s="243">
        <v>41477</v>
      </c>
      <c r="E591" s="589" t="s">
        <v>184</v>
      </c>
      <c r="F591" s="589" t="s">
        <v>1392</v>
      </c>
      <c r="G591" s="589" t="s">
        <v>1471</v>
      </c>
      <c r="H591" s="592">
        <v>11.6</v>
      </c>
      <c r="I591" s="811">
        <v>11.6</v>
      </c>
      <c r="J591" s="589"/>
      <c r="K591" s="589" t="s">
        <v>1096</v>
      </c>
      <c r="L591" s="806">
        <v>4</v>
      </c>
      <c r="M591" s="806"/>
      <c r="N591" s="807">
        <v>41492</v>
      </c>
    </row>
    <row r="592" spans="1:14">
      <c r="A592" s="804" t="s">
        <v>1573</v>
      </c>
      <c r="B592" s="585" t="s">
        <v>1098</v>
      </c>
      <c r="C592" s="243">
        <v>41477</v>
      </c>
      <c r="D592" s="243">
        <v>41477</v>
      </c>
      <c r="E592" s="584" t="s">
        <v>206</v>
      </c>
      <c r="F592" s="589" t="s">
        <v>1392</v>
      </c>
      <c r="G592" s="805" t="s">
        <v>996</v>
      </c>
      <c r="H592" s="589">
        <v>808</v>
      </c>
      <c r="I592" s="583">
        <v>808</v>
      </c>
      <c r="J592" s="589"/>
      <c r="K592" s="637" t="s">
        <v>1071</v>
      </c>
      <c r="L592" s="806">
        <v>6</v>
      </c>
      <c r="M592" s="806">
        <v>42</v>
      </c>
      <c r="N592" s="807">
        <v>41487</v>
      </c>
    </row>
    <row r="593" spans="1:14">
      <c r="A593" s="589" t="s">
        <v>1573</v>
      </c>
      <c r="B593" s="585" t="s">
        <v>1098</v>
      </c>
      <c r="C593" s="243">
        <v>41477</v>
      </c>
      <c r="D593" s="243">
        <v>41477</v>
      </c>
      <c r="E593" s="589" t="s">
        <v>185</v>
      </c>
      <c r="F593" s="589" t="s">
        <v>1392</v>
      </c>
      <c r="G593" s="589" t="s">
        <v>1483</v>
      </c>
      <c r="H593" s="589">
        <v>44</v>
      </c>
      <c r="I593" s="583">
        <v>44</v>
      </c>
      <c r="J593" s="589"/>
      <c r="K593" s="589" t="s">
        <v>1071</v>
      </c>
      <c r="L593" s="806">
        <v>2</v>
      </c>
      <c r="M593" s="806">
        <v>8</v>
      </c>
      <c r="N593" s="807">
        <v>41478</v>
      </c>
    </row>
    <row r="594" spans="1:14">
      <c r="A594" s="589" t="s">
        <v>1573</v>
      </c>
      <c r="B594" s="585" t="s">
        <v>1098</v>
      </c>
      <c r="C594" s="243">
        <v>41477</v>
      </c>
      <c r="D594" s="243">
        <v>41477</v>
      </c>
      <c r="E594" s="589" t="s">
        <v>245</v>
      </c>
      <c r="F594" s="589" t="s">
        <v>1392</v>
      </c>
      <c r="G594" s="589" t="s">
        <v>991</v>
      </c>
      <c r="H594" s="589">
        <v>38</v>
      </c>
      <c r="I594" s="808" t="s">
        <v>1574</v>
      </c>
      <c r="J594" s="688"/>
      <c r="K594" s="637" t="s">
        <v>1071</v>
      </c>
      <c r="L594" s="809">
        <v>5</v>
      </c>
      <c r="M594" s="809">
        <v>35</v>
      </c>
      <c r="N594" s="807">
        <v>41485</v>
      </c>
    </row>
    <row r="595" spans="1:14">
      <c r="A595" s="589" t="s">
        <v>1573</v>
      </c>
      <c r="B595" s="585" t="s">
        <v>1098</v>
      </c>
      <c r="C595" s="243">
        <v>41477</v>
      </c>
      <c r="D595" s="243">
        <v>41477</v>
      </c>
      <c r="E595" s="589" t="s">
        <v>179</v>
      </c>
      <c r="F595" s="589" t="s">
        <v>1392</v>
      </c>
      <c r="G595" s="805" t="s">
        <v>1000</v>
      </c>
      <c r="H595" s="589">
        <v>86</v>
      </c>
      <c r="I595" s="583">
        <v>86</v>
      </c>
      <c r="J595" s="589"/>
      <c r="K595" s="589" t="s">
        <v>1071</v>
      </c>
      <c r="L595" s="806">
        <v>2</v>
      </c>
      <c r="M595" s="806">
        <v>8</v>
      </c>
      <c r="N595" s="807">
        <v>41487</v>
      </c>
    </row>
    <row r="596" spans="1:14">
      <c r="A596" s="589" t="s">
        <v>1573</v>
      </c>
      <c r="B596" s="585" t="s">
        <v>1098</v>
      </c>
      <c r="C596" s="243">
        <v>41477</v>
      </c>
      <c r="D596" s="243">
        <v>41477</v>
      </c>
      <c r="E596" s="590" t="s">
        <v>180</v>
      </c>
      <c r="F596" s="589" t="s">
        <v>1392</v>
      </c>
      <c r="G596" s="805" t="s">
        <v>1000</v>
      </c>
      <c r="H596" s="591">
        <v>25</v>
      </c>
      <c r="I596" s="590">
        <v>25</v>
      </c>
      <c r="J596" s="637"/>
      <c r="K596" s="589" t="s">
        <v>1071</v>
      </c>
      <c r="L596" s="810">
        <v>2</v>
      </c>
      <c r="M596" s="810">
        <v>8</v>
      </c>
      <c r="N596" s="807">
        <v>41487</v>
      </c>
    </row>
    <row r="597" spans="1:14">
      <c r="A597" s="589" t="s">
        <v>1573</v>
      </c>
      <c r="B597" s="585" t="s">
        <v>1098</v>
      </c>
      <c r="C597" s="243">
        <v>41477</v>
      </c>
      <c r="D597" s="243">
        <v>41477</v>
      </c>
      <c r="E597" s="589" t="s">
        <v>184</v>
      </c>
      <c r="F597" s="589" t="s">
        <v>1392</v>
      </c>
      <c r="G597" s="589" t="s">
        <v>1471</v>
      </c>
      <c r="H597" s="592">
        <v>9</v>
      </c>
      <c r="I597" s="811">
        <v>9</v>
      </c>
      <c r="J597" s="589"/>
      <c r="K597" s="589" t="s">
        <v>1096</v>
      </c>
      <c r="L597" s="806">
        <v>4</v>
      </c>
      <c r="M597" s="806"/>
      <c r="N597" s="807">
        <v>41492</v>
      </c>
    </row>
    <row r="598" spans="1:14">
      <c r="A598" s="804" t="s">
        <v>1573</v>
      </c>
      <c r="B598" s="583" t="s">
        <v>1098</v>
      </c>
      <c r="C598" s="243">
        <v>41477</v>
      </c>
      <c r="D598" s="243">
        <v>41477</v>
      </c>
      <c r="E598" s="584" t="s">
        <v>181</v>
      </c>
      <c r="F598" s="804" t="s">
        <v>1392</v>
      </c>
      <c r="G598" s="812" t="s">
        <v>1402</v>
      </c>
      <c r="H598" s="332">
        <v>36.299999999999997</v>
      </c>
      <c r="I598" s="813">
        <v>36.299999999999997</v>
      </c>
      <c r="J598" s="814"/>
      <c r="K598" s="589" t="s">
        <v>1071</v>
      </c>
      <c r="L598" s="810">
        <v>0.1</v>
      </c>
      <c r="M598" s="810"/>
      <c r="N598" s="807">
        <v>41487</v>
      </c>
    </row>
    <row r="599" spans="1:14">
      <c r="A599" s="804" t="s">
        <v>1573</v>
      </c>
      <c r="B599" s="583" t="s">
        <v>1098</v>
      </c>
      <c r="C599" s="243">
        <v>41477</v>
      </c>
      <c r="D599" s="243">
        <v>41477</v>
      </c>
      <c r="E599" s="584" t="s">
        <v>181</v>
      </c>
      <c r="F599" s="804" t="s">
        <v>1392</v>
      </c>
      <c r="G599" s="812" t="s">
        <v>1402</v>
      </c>
      <c r="H599" s="332">
        <v>30.7</v>
      </c>
      <c r="I599" s="813">
        <v>30.7</v>
      </c>
      <c r="J599" s="814"/>
      <c r="K599" s="589" t="s">
        <v>1071</v>
      </c>
      <c r="L599" s="810">
        <v>0.1</v>
      </c>
      <c r="M599" s="810"/>
      <c r="N599" s="807">
        <v>41487</v>
      </c>
    </row>
    <row r="600" spans="1:14">
      <c r="A600" s="589" t="s">
        <v>1575</v>
      </c>
      <c r="B600" s="583" t="s">
        <v>1099</v>
      </c>
      <c r="C600" s="243">
        <v>41477</v>
      </c>
      <c r="D600" s="243">
        <v>41477</v>
      </c>
      <c r="E600" s="584" t="s">
        <v>206</v>
      </c>
      <c r="F600" s="589" t="s">
        <v>1392</v>
      </c>
      <c r="G600" s="805" t="s">
        <v>996</v>
      </c>
      <c r="H600" s="589">
        <v>1049</v>
      </c>
      <c r="I600" s="583">
        <v>1049</v>
      </c>
      <c r="J600" s="589"/>
      <c r="K600" s="637" t="s">
        <v>1071</v>
      </c>
      <c r="L600" s="806">
        <v>6</v>
      </c>
      <c r="M600" s="806">
        <v>42</v>
      </c>
      <c r="N600" s="807">
        <v>41487</v>
      </c>
    </row>
    <row r="601" spans="1:14">
      <c r="A601" s="589" t="s">
        <v>1575</v>
      </c>
      <c r="B601" s="583" t="s">
        <v>1099</v>
      </c>
      <c r="C601" s="243">
        <v>41477</v>
      </c>
      <c r="D601" s="243">
        <v>41477</v>
      </c>
      <c r="E601" s="589" t="s">
        <v>185</v>
      </c>
      <c r="F601" s="589" t="s">
        <v>1392</v>
      </c>
      <c r="G601" s="589" t="s">
        <v>1483</v>
      </c>
      <c r="H601" s="589">
        <v>67</v>
      </c>
      <c r="I601" s="583">
        <v>67</v>
      </c>
      <c r="J601" s="589"/>
      <c r="K601" s="589" t="s">
        <v>1071</v>
      </c>
      <c r="L601" s="806">
        <v>2</v>
      </c>
      <c r="M601" s="806">
        <v>8</v>
      </c>
      <c r="N601" s="807">
        <v>41478</v>
      </c>
    </row>
    <row r="602" spans="1:14">
      <c r="A602" s="589" t="s">
        <v>1575</v>
      </c>
      <c r="B602" s="583" t="s">
        <v>1099</v>
      </c>
      <c r="C602" s="243">
        <v>41477</v>
      </c>
      <c r="D602" s="243">
        <v>41477</v>
      </c>
      <c r="E602" s="589" t="s">
        <v>245</v>
      </c>
      <c r="F602" s="589" t="s">
        <v>1392</v>
      </c>
      <c r="G602" s="589" t="s">
        <v>991</v>
      </c>
      <c r="H602" s="589">
        <v>142</v>
      </c>
      <c r="I602" s="808" t="s">
        <v>1576</v>
      </c>
      <c r="J602" s="688"/>
      <c r="K602" s="637" t="s">
        <v>1071</v>
      </c>
      <c r="L602" s="809">
        <v>5</v>
      </c>
      <c r="M602" s="809">
        <v>35</v>
      </c>
      <c r="N602" s="807">
        <v>41485</v>
      </c>
    </row>
    <row r="603" spans="1:14">
      <c r="A603" s="589" t="s">
        <v>1575</v>
      </c>
      <c r="B603" s="583" t="s">
        <v>1099</v>
      </c>
      <c r="C603" s="243">
        <v>41477</v>
      </c>
      <c r="D603" s="243">
        <v>41477</v>
      </c>
      <c r="E603" s="589" t="s">
        <v>179</v>
      </c>
      <c r="F603" s="589" t="s">
        <v>1392</v>
      </c>
      <c r="G603" s="805" t="s">
        <v>1000</v>
      </c>
      <c r="H603" s="589">
        <v>65</v>
      </c>
      <c r="I603" s="583">
        <v>65</v>
      </c>
      <c r="J603" s="589"/>
      <c r="K603" s="589" t="s">
        <v>1071</v>
      </c>
      <c r="L603" s="806">
        <v>2</v>
      </c>
      <c r="M603" s="806">
        <v>8</v>
      </c>
      <c r="N603" s="807">
        <v>41487</v>
      </c>
    </row>
    <row r="604" spans="1:14">
      <c r="A604" s="589" t="s">
        <v>1575</v>
      </c>
      <c r="B604" s="583" t="s">
        <v>1099</v>
      </c>
      <c r="C604" s="243">
        <v>41477</v>
      </c>
      <c r="D604" s="243">
        <v>41477</v>
      </c>
      <c r="E604" s="590" t="s">
        <v>180</v>
      </c>
      <c r="F604" s="589" t="s">
        <v>1392</v>
      </c>
      <c r="G604" s="805" t="s">
        <v>1000</v>
      </c>
      <c r="H604" s="591">
        <v>38</v>
      </c>
      <c r="I604" s="590">
        <v>38</v>
      </c>
      <c r="J604" s="637"/>
      <c r="K604" s="589" t="s">
        <v>1071</v>
      </c>
      <c r="L604" s="810">
        <v>2</v>
      </c>
      <c r="M604" s="810">
        <v>8</v>
      </c>
      <c r="N604" s="807">
        <v>41487</v>
      </c>
    </row>
    <row r="605" spans="1:14">
      <c r="A605" s="589" t="s">
        <v>1575</v>
      </c>
      <c r="B605" s="583" t="s">
        <v>1099</v>
      </c>
      <c r="C605" s="243">
        <v>41477</v>
      </c>
      <c r="D605" s="243">
        <v>41477</v>
      </c>
      <c r="E605" s="589" t="s">
        <v>184</v>
      </c>
      <c r="F605" s="589" t="s">
        <v>1392</v>
      </c>
      <c r="G605" s="589" t="s">
        <v>1471</v>
      </c>
      <c r="H605" s="592">
        <v>9.8000000000000007</v>
      </c>
      <c r="I605" s="811">
        <v>9.8000000000000007</v>
      </c>
      <c r="J605" s="589"/>
      <c r="K605" s="589" t="s">
        <v>1096</v>
      </c>
      <c r="L605" s="806">
        <v>4</v>
      </c>
      <c r="M605" s="806"/>
      <c r="N605" s="807">
        <v>41492</v>
      </c>
    </row>
    <row r="606" spans="1:14">
      <c r="A606" s="804" t="s">
        <v>1577</v>
      </c>
      <c r="B606" s="583">
        <v>52</v>
      </c>
      <c r="C606" s="243">
        <v>41477</v>
      </c>
      <c r="D606" s="243">
        <v>41477</v>
      </c>
      <c r="E606" s="584" t="s">
        <v>206</v>
      </c>
      <c r="F606" s="589" t="s">
        <v>1392</v>
      </c>
      <c r="G606" s="805" t="s">
        <v>996</v>
      </c>
      <c r="H606" s="589">
        <v>360</v>
      </c>
      <c r="I606" s="583">
        <v>360</v>
      </c>
      <c r="J606" s="589"/>
      <c r="K606" s="637" t="s">
        <v>1071</v>
      </c>
      <c r="L606" s="806">
        <v>6</v>
      </c>
      <c r="M606" s="806">
        <v>42</v>
      </c>
      <c r="N606" s="807">
        <v>41487</v>
      </c>
    </row>
    <row r="607" spans="1:14">
      <c r="A607" s="688" t="s">
        <v>1577</v>
      </c>
      <c r="B607" s="583">
        <v>52</v>
      </c>
      <c r="C607" s="243">
        <v>41477</v>
      </c>
      <c r="D607" s="243">
        <v>41477</v>
      </c>
      <c r="E607" s="589" t="s">
        <v>185</v>
      </c>
      <c r="F607" s="589" t="s">
        <v>1392</v>
      </c>
      <c r="G607" s="589" t="s">
        <v>1483</v>
      </c>
      <c r="H607" s="589">
        <v>257</v>
      </c>
      <c r="I607" s="583">
        <v>257</v>
      </c>
      <c r="J607" s="589"/>
      <c r="K607" s="589" t="s">
        <v>1071</v>
      </c>
      <c r="L607" s="806">
        <v>2</v>
      </c>
      <c r="M607" s="806">
        <v>8</v>
      </c>
      <c r="N607" s="807">
        <v>41478</v>
      </c>
    </row>
    <row r="608" spans="1:14">
      <c r="A608" s="688" t="s">
        <v>1577</v>
      </c>
      <c r="B608" s="583">
        <v>52</v>
      </c>
      <c r="C608" s="243">
        <v>41477</v>
      </c>
      <c r="D608" s="243">
        <v>41477</v>
      </c>
      <c r="E608" s="589" t="s">
        <v>245</v>
      </c>
      <c r="F608" s="589" t="s">
        <v>1392</v>
      </c>
      <c r="G608" s="589" t="s">
        <v>991</v>
      </c>
      <c r="H608" s="589">
        <v>24</v>
      </c>
      <c r="I608" s="808" t="s">
        <v>1448</v>
      </c>
      <c r="J608" s="589" t="s">
        <v>1419</v>
      </c>
      <c r="K608" s="637" t="s">
        <v>1071</v>
      </c>
      <c r="L608" s="809">
        <v>5</v>
      </c>
      <c r="M608" s="809">
        <v>35</v>
      </c>
      <c r="N608" s="807">
        <v>41485</v>
      </c>
    </row>
    <row r="609" spans="1:14">
      <c r="A609" s="688" t="s">
        <v>1577</v>
      </c>
      <c r="B609" s="583">
        <v>52</v>
      </c>
      <c r="C609" s="243">
        <v>41477</v>
      </c>
      <c r="D609" s="243">
        <v>41477</v>
      </c>
      <c r="E609" s="589" t="s">
        <v>179</v>
      </c>
      <c r="F609" s="589" t="s">
        <v>1392</v>
      </c>
      <c r="G609" s="805" t="s">
        <v>1000</v>
      </c>
      <c r="H609" s="589">
        <v>6</v>
      </c>
      <c r="I609" s="583">
        <v>6</v>
      </c>
      <c r="J609" s="589" t="s">
        <v>1419</v>
      </c>
      <c r="K609" s="589" t="s">
        <v>1071</v>
      </c>
      <c r="L609" s="806">
        <v>2</v>
      </c>
      <c r="M609" s="806">
        <v>8</v>
      </c>
      <c r="N609" s="807">
        <v>41487</v>
      </c>
    </row>
    <row r="610" spans="1:14">
      <c r="A610" s="804" t="s">
        <v>1578</v>
      </c>
      <c r="B610" s="583">
        <v>53</v>
      </c>
      <c r="C610" s="243">
        <v>41477</v>
      </c>
      <c r="D610" s="243">
        <v>41477</v>
      </c>
      <c r="E610" s="584" t="s">
        <v>206</v>
      </c>
      <c r="F610" s="589" t="s">
        <v>1392</v>
      </c>
      <c r="G610" s="805" t="s">
        <v>996</v>
      </c>
      <c r="H610" s="589">
        <v>277</v>
      </c>
      <c r="I610" s="583">
        <v>277</v>
      </c>
      <c r="J610" s="589"/>
      <c r="K610" s="637" t="s">
        <v>1071</v>
      </c>
      <c r="L610" s="806">
        <v>6</v>
      </c>
      <c r="M610" s="806">
        <v>42</v>
      </c>
      <c r="N610" s="807">
        <v>41487</v>
      </c>
    </row>
    <row r="611" spans="1:14">
      <c r="A611" s="688" t="s">
        <v>1578</v>
      </c>
      <c r="B611" s="583">
        <v>53</v>
      </c>
      <c r="C611" s="243">
        <v>41477</v>
      </c>
      <c r="D611" s="243">
        <v>41477</v>
      </c>
      <c r="E611" s="589" t="s">
        <v>185</v>
      </c>
      <c r="F611" s="589" t="s">
        <v>1392</v>
      </c>
      <c r="G611" s="589" t="s">
        <v>1483</v>
      </c>
      <c r="H611" s="589">
        <v>83</v>
      </c>
      <c r="I611" s="583">
        <v>83</v>
      </c>
      <c r="J611" s="589"/>
      <c r="K611" s="589" t="s">
        <v>1071</v>
      </c>
      <c r="L611" s="806">
        <v>2</v>
      </c>
      <c r="M611" s="806">
        <v>8</v>
      </c>
      <c r="N611" s="807">
        <v>41478</v>
      </c>
    </row>
    <row r="612" spans="1:14">
      <c r="A612" s="688" t="s">
        <v>1578</v>
      </c>
      <c r="B612" s="583">
        <v>53</v>
      </c>
      <c r="C612" s="243">
        <v>41477</v>
      </c>
      <c r="D612" s="243">
        <v>41477</v>
      </c>
      <c r="E612" s="589" t="s">
        <v>245</v>
      </c>
      <c r="F612" s="589" t="s">
        <v>1392</v>
      </c>
      <c r="G612" s="589" t="s">
        <v>991</v>
      </c>
      <c r="H612" s="589">
        <v>25</v>
      </c>
      <c r="I612" s="808" t="s">
        <v>1460</v>
      </c>
      <c r="J612" s="589" t="s">
        <v>1419</v>
      </c>
      <c r="K612" s="637" t="s">
        <v>1071</v>
      </c>
      <c r="L612" s="809">
        <v>5</v>
      </c>
      <c r="M612" s="809">
        <v>35</v>
      </c>
      <c r="N612" s="807">
        <v>41485</v>
      </c>
    </row>
    <row r="613" spans="1:14">
      <c r="A613" s="688" t="s">
        <v>1578</v>
      </c>
      <c r="B613" s="583">
        <v>53</v>
      </c>
      <c r="C613" s="243">
        <v>41477</v>
      </c>
      <c r="D613" s="243">
        <v>41477</v>
      </c>
      <c r="E613" s="589" t="s">
        <v>179</v>
      </c>
      <c r="F613" s="589" t="s">
        <v>1392</v>
      </c>
      <c r="G613" s="805" t="s">
        <v>1000</v>
      </c>
      <c r="H613" s="589"/>
      <c r="I613" s="583"/>
      <c r="J613" s="589" t="s">
        <v>1395</v>
      </c>
      <c r="K613" s="589" t="s">
        <v>1071</v>
      </c>
      <c r="L613" s="806">
        <v>2</v>
      </c>
      <c r="M613" s="806">
        <v>8</v>
      </c>
      <c r="N613" s="807">
        <v>41487</v>
      </c>
    </row>
    <row r="614" spans="1:14">
      <c r="A614" s="804" t="s">
        <v>1579</v>
      </c>
      <c r="B614" s="583">
        <v>54</v>
      </c>
      <c r="C614" s="243">
        <v>41477</v>
      </c>
      <c r="D614" s="243">
        <v>41477</v>
      </c>
      <c r="E614" s="584" t="s">
        <v>206</v>
      </c>
      <c r="F614" s="589" t="s">
        <v>1392</v>
      </c>
      <c r="G614" s="805" t="s">
        <v>996</v>
      </c>
      <c r="H614" s="589">
        <v>199</v>
      </c>
      <c r="I614" s="583">
        <v>199</v>
      </c>
      <c r="J614" s="589"/>
      <c r="K614" s="637" t="s">
        <v>1071</v>
      </c>
      <c r="L614" s="806">
        <v>6</v>
      </c>
      <c r="M614" s="806">
        <v>42</v>
      </c>
      <c r="N614" s="807">
        <v>41487</v>
      </c>
    </row>
    <row r="615" spans="1:14">
      <c r="A615" s="688" t="s">
        <v>1579</v>
      </c>
      <c r="B615" s="583">
        <v>54</v>
      </c>
      <c r="C615" s="243">
        <v>41477</v>
      </c>
      <c r="D615" s="243">
        <v>41477</v>
      </c>
      <c r="E615" s="589" t="s">
        <v>185</v>
      </c>
      <c r="F615" s="589" t="s">
        <v>1392</v>
      </c>
      <c r="G615" s="589" t="s">
        <v>1483</v>
      </c>
      <c r="H615" s="589">
        <v>41</v>
      </c>
      <c r="I615" s="583">
        <v>41</v>
      </c>
      <c r="J615" s="589"/>
      <c r="K615" s="589" t="s">
        <v>1071</v>
      </c>
      <c r="L615" s="806">
        <v>2</v>
      </c>
      <c r="M615" s="806">
        <v>8</v>
      </c>
      <c r="N615" s="807">
        <v>41478</v>
      </c>
    </row>
    <row r="616" spans="1:14">
      <c r="A616" s="688" t="s">
        <v>1579</v>
      </c>
      <c r="B616" s="583">
        <v>54</v>
      </c>
      <c r="C616" s="243">
        <v>41477</v>
      </c>
      <c r="D616" s="243">
        <v>41477</v>
      </c>
      <c r="E616" s="589" t="s">
        <v>245</v>
      </c>
      <c r="F616" s="589" t="s">
        <v>1392</v>
      </c>
      <c r="G616" s="589" t="s">
        <v>991</v>
      </c>
      <c r="H616" s="589">
        <v>29</v>
      </c>
      <c r="I616" s="808" t="s">
        <v>1509</v>
      </c>
      <c r="J616" s="589" t="s">
        <v>1419</v>
      </c>
      <c r="K616" s="637" t="s">
        <v>1071</v>
      </c>
      <c r="L616" s="809">
        <v>5</v>
      </c>
      <c r="M616" s="809">
        <v>35</v>
      </c>
      <c r="N616" s="807">
        <v>41485</v>
      </c>
    </row>
    <row r="617" spans="1:14">
      <c r="A617" s="688" t="s">
        <v>1579</v>
      </c>
      <c r="B617" s="583">
        <v>54</v>
      </c>
      <c r="C617" s="243">
        <v>41477</v>
      </c>
      <c r="D617" s="243">
        <v>41477</v>
      </c>
      <c r="E617" s="589" t="s">
        <v>179</v>
      </c>
      <c r="F617" s="589" t="s">
        <v>1392</v>
      </c>
      <c r="G617" s="805" t="s">
        <v>1000</v>
      </c>
      <c r="H617" s="589">
        <v>45</v>
      </c>
      <c r="I617" s="583">
        <v>45</v>
      </c>
      <c r="J617" s="589"/>
      <c r="K617" s="589" t="s">
        <v>1071</v>
      </c>
      <c r="L617" s="806">
        <v>2</v>
      </c>
      <c r="M617" s="806">
        <v>8</v>
      </c>
      <c r="N617" s="807">
        <v>41487</v>
      </c>
    </row>
    <row r="618" spans="1:14">
      <c r="A618" s="804" t="s">
        <v>1580</v>
      </c>
      <c r="B618" s="583">
        <v>55</v>
      </c>
      <c r="C618" s="243">
        <v>41477</v>
      </c>
      <c r="D618" s="243">
        <v>41477</v>
      </c>
      <c r="E618" s="584" t="s">
        <v>206</v>
      </c>
      <c r="F618" s="589" t="s">
        <v>1392</v>
      </c>
      <c r="G618" s="805" t="s">
        <v>996</v>
      </c>
      <c r="H618" s="589">
        <v>149</v>
      </c>
      <c r="I618" s="583">
        <v>149</v>
      </c>
      <c r="J618" s="589"/>
      <c r="K618" s="637" t="s">
        <v>1071</v>
      </c>
      <c r="L618" s="806">
        <v>6</v>
      </c>
      <c r="M618" s="806">
        <v>42</v>
      </c>
      <c r="N618" s="807">
        <v>41487</v>
      </c>
    </row>
    <row r="619" spans="1:14">
      <c r="A619" s="688" t="s">
        <v>1580</v>
      </c>
      <c r="B619" s="583">
        <v>55</v>
      </c>
      <c r="C619" s="243">
        <v>41477</v>
      </c>
      <c r="D619" s="243">
        <v>41477</v>
      </c>
      <c r="E619" s="589" t="s">
        <v>185</v>
      </c>
      <c r="F619" s="589" t="s">
        <v>1392</v>
      </c>
      <c r="G619" s="589" t="s">
        <v>1483</v>
      </c>
      <c r="H619" s="589">
        <v>6</v>
      </c>
      <c r="I619" s="583">
        <v>6</v>
      </c>
      <c r="J619" s="589" t="s">
        <v>1419</v>
      </c>
      <c r="K619" s="589" t="s">
        <v>1071</v>
      </c>
      <c r="L619" s="806">
        <v>2</v>
      </c>
      <c r="M619" s="806">
        <v>8</v>
      </c>
      <c r="N619" s="807">
        <v>41478</v>
      </c>
    </row>
    <row r="620" spans="1:14">
      <c r="A620" s="688" t="s">
        <v>1580</v>
      </c>
      <c r="B620" s="583">
        <v>55</v>
      </c>
      <c r="C620" s="243">
        <v>41477</v>
      </c>
      <c r="D620" s="243">
        <v>41477</v>
      </c>
      <c r="E620" s="589" t="s">
        <v>245</v>
      </c>
      <c r="F620" s="589" t="s">
        <v>1392</v>
      </c>
      <c r="G620" s="589" t="s">
        <v>991</v>
      </c>
      <c r="H620" s="589">
        <v>21</v>
      </c>
      <c r="I620" s="808" t="s">
        <v>1463</v>
      </c>
      <c r="J620" s="589" t="s">
        <v>1419</v>
      </c>
      <c r="K620" s="637" t="s">
        <v>1071</v>
      </c>
      <c r="L620" s="809">
        <v>5</v>
      </c>
      <c r="M620" s="809">
        <v>35</v>
      </c>
      <c r="N620" s="807">
        <v>41485</v>
      </c>
    </row>
    <row r="621" spans="1:14">
      <c r="A621" s="688" t="s">
        <v>1580</v>
      </c>
      <c r="B621" s="583">
        <v>55</v>
      </c>
      <c r="C621" s="243">
        <v>41477</v>
      </c>
      <c r="D621" s="243">
        <v>41477</v>
      </c>
      <c r="E621" s="589" t="s">
        <v>179</v>
      </c>
      <c r="F621" s="589" t="s">
        <v>1392</v>
      </c>
      <c r="G621" s="805" t="s">
        <v>1000</v>
      </c>
      <c r="H621" s="589"/>
      <c r="I621" s="583"/>
      <c r="J621" s="589" t="s">
        <v>1395</v>
      </c>
      <c r="K621" s="589" t="s">
        <v>1071</v>
      </c>
      <c r="L621" s="806">
        <v>2</v>
      </c>
      <c r="M621" s="806">
        <v>8</v>
      </c>
      <c r="N621" s="807">
        <v>41487</v>
      </c>
    </row>
    <row r="622" spans="1:14">
      <c r="A622" s="804" t="s">
        <v>1581</v>
      </c>
      <c r="B622" s="583" t="s">
        <v>297</v>
      </c>
      <c r="C622" s="243">
        <v>41477</v>
      </c>
      <c r="D622" s="243">
        <v>41477</v>
      </c>
      <c r="E622" s="584" t="s">
        <v>206</v>
      </c>
      <c r="F622" s="589" t="s">
        <v>1392</v>
      </c>
      <c r="G622" s="805" t="s">
        <v>996</v>
      </c>
      <c r="H622" s="589">
        <v>392</v>
      </c>
      <c r="I622" s="583">
        <v>392</v>
      </c>
      <c r="J622" s="589"/>
      <c r="K622" s="637" t="s">
        <v>1071</v>
      </c>
      <c r="L622" s="806">
        <v>6</v>
      </c>
      <c r="M622" s="806">
        <v>42</v>
      </c>
      <c r="N622" s="807">
        <v>41487</v>
      </c>
    </row>
    <row r="623" spans="1:14">
      <c r="A623" s="688" t="s">
        <v>1581</v>
      </c>
      <c r="B623" s="583" t="s">
        <v>297</v>
      </c>
      <c r="C623" s="243">
        <v>41477</v>
      </c>
      <c r="D623" s="243">
        <v>41477</v>
      </c>
      <c r="E623" s="589" t="s">
        <v>185</v>
      </c>
      <c r="F623" s="589" t="s">
        <v>1392</v>
      </c>
      <c r="G623" s="589" t="s">
        <v>1483</v>
      </c>
      <c r="H623" s="589">
        <v>35</v>
      </c>
      <c r="I623" s="583">
        <v>35</v>
      </c>
      <c r="J623" s="589"/>
      <c r="K623" s="589" t="s">
        <v>1071</v>
      </c>
      <c r="L623" s="806">
        <v>2</v>
      </c>
      <c r="M623" s="806">
        <v>8</v>
      </c>
      <c r="N623" s="807">
        <v>41478</v>
      </c>
    </row>
    <row r="624" spans="1:14">
      <c r="A624" s="688" t="s">
        <v>1581</v>
      </c>
      <c r="B624" s="583" t="s">
        <v>297</v>
      </c>
      <c r="C624" s="243">
        <v>41477</v>
      </c>
      <c r="D624" s="243">
        <v>41477</v>
      </c>
      <c r="E624" s="589" t="s">
        <v>245</v>
      </c>
      <c r="F624" s="589" t="s">
        <v>1392</v>
      </c>
      <c r="G624" s="589" t="s">
        <v>991</v>
      </c>
      <c r="H624" s="589">
        <v>62</v>
      </c>
      <c r="I624" s="808" t="s">
        <v>1582</v>
      </c>
      <c r="J624" s="589"/>
      <c r="K624" s="637" t="s">
        <v>1071</v>
      </c>
      <c r="L624" s="809">
        <v>5</v>
      </c>
      <c r="M624" s="809">
        <v>35</v>
      </c>
      <c r="N624" s="807">
        <v>41485</v>
      </c>
    </row>
    <row r="625" spans="1:14">
      <c r="A625" s="688" t="s">
        <v>1581</v>
      </c>
      <c r="B625" s="583" t="s">
        <v>297</v>
      </c>
      <c r="C625" s="243">
        <v>41477</v>
      </c>
      <c r="D625" s="243">
        <v>41477</v>
      </c>
      <c r="E625" s="589" t="s">
        <v>179</v>
      </c>
      <c r="F625" s="589" t="s">
        <v>1392</v>
      </c>
      <c r="G625" s="805" t="s">
        <v>1000</v>
      </c>
      <c r="H625" s="589">
        <v>4</v>
      </c>
      <c r="I625" s="583">
        <v>4</v>
      </c>
      <c r="J625" s="589" t="s">
        <v>1419</v>
      </c>
      <c r="K625" s="589" t="s">
        <v>1071</v>
      </c>
      <c r="L625" s="806">
        <v>2</v>
      </c>
      <c r="M625" s="806">
        <v>8</v>
      </c>
      <c r="N625" s="807">
        <v>41487</v>
      </c>
    </row>
    <row r="626" spans="1:14">
      <c r="A626" s="688" t="s">
        <v>1581</v>
      </c>
      <c r="B626" s="583" t="s">
        <v>297</v>
      </c>
      <c r="C626" s="243">
        <v>41477</v>
      </c>
      <c r="D626" s="243">
        <v>41477</v>
      </c>
      <c r="E626" s="590" t="s">
        <v>180</v>
      </c>
      <c r="F626" s="589" t="s">
        <v>1392</v>
      </c>
      <c r="G626" s="805" t="s">
        <v>1000</v>
      </c>
      <c r="H626" s="591"/>
      <c r="I626" s="590"/>
      <c r="J626" s="637" t="s">
        <v>1395</v>
      </c>
      <c r="K626" s="589" t="s">
        <v>1071</v>
      </c>
      <c r="L626" s="810">
        <v>2</v>
      </c>
      <c r="M626" s="810">
        <v>8</v>
      </c>
      <c r="N626" s="807">
        <v>41487</v>
      </c>
    </row>
    <row r="627" spans="1:14">
      <c r="A627" s="688" t="s">
        <v>1581</v>
      </c>
      <c r="B627" s="583" t="s">
        <v>297</v>
      </c>
      <c r="C627" s="243">
        <v>41477</v>
      </c>
      <c r="D627" s="243">
        <v>41477</v>
      </c>
      <c r="E627" s="589" t="s">
        <v>184</v>
      </c>
      <c r="F627" s="589" t="s">
        <v>1392</v>
      </c>
      <c r="G627" s="589" t="s">
        <v>1471</v>
      </c>
      <c r="H627" s="592">
        <v>7.4</v>
      </c>
      <c r="I627" s="811">
        <v>7.4</v>
      </c>
      <c r="J627" s="589"/>
      <c r="K627" s="589" t="s">
        <v>1096</v>
      </c>
      <c r="L627" s="806">
        <v>4</v>
      </c>
      <c r="M627" s="806"/>
      <c r="N627" s="807">
        <v>41492</v>
      </c>
    </row>
    <row r="628" spans="1:14">
      <c r="A628" s="688" t="s">
        <v>1581</v>
      </c>
      <c r="B628" s="583" t="s">
        <v>297</v>
      </c>
      <c r="C628" s="243">
        <v>41477</v>
      </c>
      <c r="D628" s="243">
        <v>41477</v>
      </c>
      <c r="E628" s="584" t="s">
        <v>181</v>
      </c>
      <c r="F628" s="804" t="s">
        <v>1392</v>
      </c>
      <c r="G628" s="812" t="s">
        <v>1402</v>
      </c>
      <c r="H628" s="332">
        <v>8.1999999999999993</v>
      </c>
      <c r="I628" s="813">
        <v>8.1999999999999993</v>
      </c>
      <c r="J628" s="814"/>
      <c r="K628" s="589" t="s">
        <v>1071</v>
      </c>
      <c r="L628" s="810">
        <v>0.1</v>
      </c>
      <c r="M628" s="810"/>
      <c r="N628" s="807">
        <v>41487</v>
      </c>
    </row>
    <row r="629" spans="1:14">
      <c r="A629" s="688" t="s">
        <v>1581</v>
      </c>
      <c r="B629" s="583" t="s">
        <v>297</v>
      </c>
      <c r="C629" s="243">
        <v>41477</v>
      </c>
      <c r="D629" s="243">
        <v>41477</v>
      </c>
      <c r="E629" s="584" t="s">
        <v>181</v>
      </c>
      <c r="F629" s="804" t="s">
        <v>1392</v>
      </c>
      <c r="G629" s="812" t="s">
        <v>1402</v>
      </c>
      <c r="H629" s="332">
        <v>7.2</v>
      </c>
      <c r="I629" s="813">
        <v>7.2</v>
      </c>
      <c r="J629" s="814"/>
      <c r="K629" s="589" t="s">
        <v>1071</v>
      </c>
      <c r="L629" s="810">
        <v>0.1</v>
      </c>
      <c r="M629" s="810"/>
      <c r="N629" s="807">
        <v>41487</v>
      </c>
    </row>
    <row r="630" spans="1:14">
      <c r="A630" s="804" t="s">
        <v>1583</v>
      </c>
      <c r="B630" s="583" t="s">
        <v>402</v>
      </c>
      <c r="C630" s="243">
        <v>41477</v>
      </c>
      <c r="D630" s="243">
        <v>41477</v>
      </c>
      <c r="E630" s="584" t="s">
        <v>206</v>
      </c>
      <c r="F630" s="589" t="s">
        <v>1392</v>
      </c>
      <c r="G630" s="805" t="s">
        <v>996</v>
      </c>
      <c r="H630" s="589">
        <v>422</v>
      </c>
      <c r="I630" s="583">
        <v>422</v>
      </c>
      <c r="J630" s="589"/>
      <c r="K630" s="637" t="s">
        <v>1071</v>
      </c>
      <c r="L630" s="806">
        <v>6</v>
      </c>
      <c r="M630" s="806">
        <v>42</v>
      </c>
      <c r="N630" s="807">
        <v>41487</v>
      </c>
    </row>
    <row r="631" spans="1:14">
      <c r="A631" s="688" t="s">
        <v>1583</v>
      </c>
      <c r="B631" s="583" t="s">
        <v>402</v>
      </c>
      <c r="C631" s="243">
        <v>41477</v>
      </c>
      <c r="D631" s="243">
        <v>41477</v>
      </c>
      <c r="E631" s="589" t="s">
        <v>185</v>
      </c>
      <c r="F631" s="589" t="s">
        <v>1392</v>
      </c>
      <c r="G631" s="589" t="s">
        <v>1483</v>
      </c>
      <c r="H631" s="589">
        <v>29</v>
      </c>
      <c r="I631" s="583">
        <v>29</v>
      </c>
      <c r="J631" s="589"/>
      <c r="K631" s="589" t="s">
        <v>1071</v>
      </c>
      <c r="L631" s="806">
        <v>2</v>
      </c>
      <c r="M631" s="806">
        <v>8</v>
      </c>
      <c r="N631" s="807">
        <v>41478</v>
      </c>
    </row>
    <row r="632" spans="1:14">
      <c r="A632" s="688" t="s">
        <v>1583</v>
      </c>
      <c r="B632" s="583" t="s">
        <v>402</v>
      </c>
      <c r="C632" s="243">
        <v>41477</v>
      </c>
      <c r="D632" s="243">
        <v>41477</v>
      </c>
      <c r="E632" s="589" t="s">
        <v>245</v>
      </c>
      <c r="F632" s="589" t="s">
        <v>1392</v>
      </c>
      <c r="G632" s="589" t="s">
        <v>991</v>
      </c>
      <c r="H632" s="589">
        <v>64</v>
      </c>
      <c r="I632" s="808" t="s">
        <v>1584</v>
      </c>
      <c r="J632" s="589"/>
      <c r="K632" s="637" t="s">
        <v>1071</v>
      </c>
      <c r="L632" s="809">
        <v>5</v>
      </c>
      <c r="M632" s="809">
        <v>35</v>
      </c>
      <c r="N632" s="807">
        <v>41485</v>
      </c>
    </row>
    <row r="633" spans="1:14">
      <c r="A633" s="688" t="s">
        <v>1583</v>
      </c>
      <c r="B633" s="583" t="s">
        <v>402</v>
      </c>
      <c r="C633" s="243">
        <v>41477</v>
      </c>
      <c r="D633" s="243">
        <v>41477</v>
      </c>
      <c r="E633" s="589" t="s">
        <v>179</v>
      </c>
      <c r="F633" s="589" t="s">
        <v>1392</v>
      </c>
      <c r="G633" s="805" t="s">
        <v>1000</v>
      </c>
      <c r="H633" s="589">
        <v>3</v>
      </c>
      <c r="I633" s="583">
        <v>3</v>
      </c>
      <c r="J633" s="589" t="s">
        <v>1419</v>
      </c>
      <c r="K633" s="589" t="s">
        <v>1071</v>
      </c>
      <c r="L633" s="806">
        <v>2</v>
      </c>
      <c r="M633" s="806">
        <v>8</v>
      </c>
      <c r="N633" s="807">
        <v>41487</v>
      </c>
    </row>
    <row r="634" spans="1:14">
      <c r="A634" s="688" t="s">
        <v>1583</v>
      </c>
      <c r="B634" s="583" t="s">
        <v>402</v>
      </c>
      <c r="C634" s="243">
        <v>41477</v>
      </c>
      <c r="D634" s="243">
        <v>41477</v>
      </c>
      <c r="E634" s="590" t="s">
        <v>180</v>
      </c>
      <c r="F634" s="589" t="s">
        <v>1392</v>
      </c>
      <c r="G634" s="805" t="s">
        <v>1000</v>
      </c>
      <c r="H634" s="591"/>
      <c r="I634" s="590"/>
      <c r="J634" s="637" t="s">
        <v>1395</v>
      </c>
      <c r="K634" s="589" t="s">
        <v>1071</v>
      </c>
      <c r="L634" s="810">
        <v>2</v>
      </c>
      <c r="M634" s="810">
        <v>8</v>
      </c>
      <c r="N634" s="807">
        <v>41487</v>
      </c>
    </row>
    <row r="635" spans="1:14">
      <c r="A635" s="688" t="s">
        <v>1583</v>
      </c>
      <c r="B635" s="583" t="s">
        <v>402</v>
      </c>
      <c r="C635" s="243">
        <v>41477</v>
      </c>
      <c r="D635" s="243">
        <v>41477</v>
      </c>
      <c r="E635" s="589" t="s">
        <v>184</v>
      </c>
      <c r="F635" s="589" t="s">
        <v>1392</v>
      </c>
      <c r="G635" s="589" t="s">
        <v>1471</v>
      </c>
      <c r="H635" s="592">
        <v>8</v>
      </c>
      <c r="I635" s="811">
        <v>8</v>
      </c>
      <c r="J635" s="589"/>
      <c r="K635" s="589" t="s">
        <v>1096</v>
      </c>
      <c r="L635" s="806">
        <v>4</v>
      </c>
      <c r="M635" s="806"/>
      <c r="N635" s="807">
        <v>41492</v>
      </c>
    </row>
    <row r="637" spans="1:14">
      <c r="A637" s="804" t="s">
        <v>1585</v>
      </c>
      <c r="B637" s="583">
        <v>64</v>
      </c>
      <c r="C637" s="243">
        <v>41478</v>
      </c>
      <c r="D637" s="243">
        <v>41478</v>
      </c>
      <c r="E637" s="584" t="s">
        <v>206</v>
      </c>
      <c r="F637" s="589" t="s">
        <v>1392</v>
      </c>
      <c r="G637" s="805" t="s">
        <v>996</v>
      </c>
      <c r="H637" s="589">
        <v>774</v>
      </c>
      <c r="I637" s="583">
        <v>774</v>
      </c>
      <c r="J637" s="589"/>
      <c r="K637" s="637" t="s">
        <v>1071</v>
      </c>
      <c r="L637" s="806">
        <v>6</v>
      </c>
      <c r="M637" s="806">
        <v>42</v>
      </c>
      <c r="N637" s="807">
        <v>41491</v>
      </c>
    </row>
    <row r="638" spans="1:14">
      <c r="A638" s="804" t="s">
        <v>1585</v>
      </c>
      <c r="B638" s="583">
        <v>64</v>
      </c>
      <c r="C638" s="243">
        <v>41478</v>
      </c>
      <c r="D638" s="243">
        <v>41478</v>
      </c>
      <c r="E638" s="589" t="s">
        <v>185</v>
      </c>
      <c r="F638" s="589" t="s">
        <v>1392</v>
      </c>
      <c r="G638" s="589" t="s">
        <v>1483</v>
      </c>
      <c r="H638" s="589">
        <v>349</v>
      </c>
      <c r="I638" s="583">
        <v>349</v>
      </c>
      <c r="J638" s="589"/>
      <c r="K638" s="589" t="s">
        <v>1071</v>
      </c>
      <c r="L638" s="806">
        <v>2</v>
      </c>
      <c r="M638" s="806">
        <v>8</v>
      </c>
      <c r="N638" s="807">
        <v>41480</v>
      </c>
    </row>
    <row r="639" spans="1:14">
      <c r="A639" s="804" t="s">
        <v>1585</v>
      </c>
      <c r="B639" s="583">
        <v>64</v>
      </c>
      <c r="C639" s="243">
        <v>41478</v>
      </c>
      <c r="D639" s="243">
        <v>41478</v>
      </c>
      <c r="E639" s="589" t="s">
        <v>245</v>
      </c>
      <c r="F639" s="589" t="s">
        <v>1392</v>
      </c>
      <c r="G639" s="589" t="s">
        <v>991</v>
      </c>
      <c r="H639" s="589">
        <v>17</v>
      </c>
      <c r="I639" s="583">
        <v>17</v>
      </c>
      <c r="J639" s="589" t="s">
        <v>1419</v>
      </c>
      <c r="K639" s="637" t="s">
        <v>1071</v>
      </c>
      <c r="L639" s="809">
        <v>5</v>
      </c>
      <c r="M639" s="809">
        <v>35</v>
      </c>
      <c r="N639" s="807">
        <v>41485</v>
      </c>
    </row>
    <row r="640" spans="1:14">
      <c r="A640" s="804" t="s">
        <v>1585</v>
      </c>
      <c r="B640" s="583">
        <v>64</v>
      </c>
      <c r="C640" s="243">
        <v>41478</v>
      </c>
      <c r="D640" s="243">
        <v>41478</v>
      </c>
      <c r="E640" s="589" t="s">
        <v>179</v>
      </c>
      <c r="F640" s="589" t="s">
        <v>1392</v>
      </c>
      <c r="G640" s="805" t="s">
        <v>1000</v>
      </c>
      <c r="H640" s="589">
        <v>102</v>
      </c>
      <c r="I640" s="583">
        <v>102</v>
      </c>
      <c r="J640" s="589"/>
      <c r="K640" s="589" t="s">
        <v>1071</v>
      </c>
      <c r="L640" s="806">
        <v>2</v>
      </c>
      <c r="M640" s="806">
        <v>8</v>
      </c>
      <c r="N640" s="807">
        <v>41491</v>
      </c>
    </row>
    <row r="641" spans="1:14">
      <c r="A641" s="804" t="s">
        <v>1586</v>
      </c>
      <c r="B641" s="583">
        <v>32</v>
      </c>
      <c r="C641" s="243">
        <v>41478</v>
      </c>
      <c r="D641" s="243">
        <v>41478</v>
      </c>
      <c r="E641" s="584" t="s">
        <v>206</v>
      </c>
      <c r="F641" s="589" t="s">
        <v>1392</v>
      </c>
      <c r="G641" s="805" t="s">
        <v>996</v>
      </c>
      <c r="H641" s="589">
        <v>807</v>
      </c>
      <c r="I641" s="583">
        <v>807</v>
      </c>
      <c r="J641" s="589"/>
      <c r="K641" s="637" t="s">
        <v>1071</v>
      </c>
      <c r="L641" s="806">
        <v>6</v>
      </c>
      <c r="M641" s="806">
        <v>42</v>
      </c>
      <c r="N641" s="807">
        <v>41491</v>
      </c>
    </row>
    <row r="642" spans="1:14">
      <c r="A642" s="804" t="s">
        <v>1586</v>
      </c>
      <c r="B642" s="583">
        <v>32</v>
      </c>
      <c r="C642" s="243">
        <v>41478</v>
      </c>
      <c r="D642" s="243">
        <v>41478</v>
      </c>
      <c r="E642" s="589" t="s">
        <v>185</v>
      </c>
      <c r="F642" s="589" t="s">
        <v>1392</v>
      </c>
      <c r="G642" s="589" t="s">
        <v>1483</v>
      </c>
      <c r="H642" s="589">
        <v>267</v>
      </c>
      <c r="I642" s="583">
        <v>267</v>
      </c>
      <c r="J642" s="589"/>
      <c r="K642" s="589" t="s">
        <v>1071</v>
      </c>
      <c r="L642" s="806">
        <v>2</v>
      </c>
      <c r="M642" s="806">
        <v>8</v>
      </c>
      <c r="N642" s="807">
        <v>41480</v>
      </c>
    </row>
    <row r="643" spans="1:14">
      <c r="A643" s="804" t="s">
        <v>1586</v>
      </c>
      <c r="B643" s="583">
        <v>32</v>
      </c>
      <c r="C643" s="243">
        <v>41478</v>
      </c>
      <c r="D643" s="243">
        <v>41478</v>
      </c>
      <c r="E643" s="589" t="s">
        <v>245</v>
      </c>
      <c r="F643" s="589" t="s">
        <v>1392</v>
      </c>
      <c r="G643" s="589" t="s">
        <v>991</v>
      </c>
      <c r="H643" s="589">
        <v>37</v>
      </c>
      <c r="I643" s="583">
        <v>37</v>
      </c>
      <c r="J643" s="589"/>
      <c r="K643" s="637" t="s">
        <v>1071</v>
      </c>
      <c r="L643" s="809">
        <v>5</v>
      </c>
      <c r="M643" s="809">
        <v>35</v>
      </c>
      <c r="N643" s="807">
        <v>41485</v>
      </c>
    </row>
    <row r="644" spans="1:14">
      <c r="A644" s="804" t="s">
        <v>1586</v>
      </c>
      <c r="B644" s="583">
        <v>32</v>
      </c>
      <c r="C644" s="243">
        <v>41478</v>
      </c>
      <c r="D644" s="243">
        <v>41478</v>
      </c>
      <c r="E644" s="589" t="s">
        <v>179</v>
      </c>
      <c r="F644" s="589" t="s">
        <v>1392</v>
      </c>
      <c r="G644" s="805" t="s">
        <v>1000</v>
      </c>
      <c r="H644" s="589">
        <v>238</v>
      </c>
      <c r="I644" s="583">
        <v>238</v>
      </c>
      <c r="J644" s="589"/>
      <c r="K644" s="589" t="s">
        <v>1071</v>
      </c>
      <c r="L644" s="806">
        <v>2</v>
      </c>
      <c r="M644" s="806">
        <v>8</v>
      </c>
      <c r="N644" s="807">
        <v>41491</v>
      </c>
    </row>
    <row r="645" spans="1:14">
      <c r="A645" s="804" t="s">
        <v>1587</v>
      </c>
      <c r="B645" s="583">
        <v>5</v>
      </c>
      <c r="C645" s="243">
        <v>41478</v>
      </c>
      <c r="D645" s="243">
        <v>41478</v>
      </c>
      <c r="E645" s="584" t="s">
        <v>206</v>
      </c>
      <c r="F645" s="589" t="s">
        <v>1392</v>
      </c>
      <c r="G645" s="805" t="s">
        <v>996</v>
      </c>
      <c r="H645" s="589">
        <v>322</v>
      </c>
      <c r="I645" s="583">
        <v>322</v>
      </c>
      <c r="J645" s="589"/>
      <c r="K645" s="637" t="s">
        <v>1071</v>
      </c>
      <c r="L645" s="806">
        <v>6</v>
      </c>
      <c r="M645" s="806">
        <v>42</v>
      </c>
      <c r="N645" s="807">
        <v>41491</v>
      </c>
    </row>
    <row r="646" spans="1:14">
      <c r="A646" s="804" t="s">
        <v>1587</v>
      </c>
      <c r="B646" s="583">
        <v>5</v>
      </c>
      <c r="C646" s="243">
        <v>41478</v>
      </c>
      <c r="D646" s="243">
        <v>41478</v>
      </c>
      <c r="E646" s="589" t="s">
        <v>185</v>
      </c>
      <c r="F646" s="589" t="s">
        <v>1392</v>
      </c>
      <c r="G646" s="589" t="s">
        <v>1483</v>
      </c>
      <c r="H646" s="589">
        <v>43</v>
      </c>
      <c r="I646" s="583">
        <v>43</v>
      </c>
      <c r="J646" s="589"/>
      <c r="K646" s="589" t="s">
        <v>1071</v>
      </c>
      <c r="L646" s="806">
        <v>2</v>
      </c>
      <c r="M646" s="806">
        <v>8</v>
      </c>
      <c r="N646" s="807">
        <v>41480</v>
      </c>
    </row>
    <row r="647" spans="1:14">
      <c r="A647" s="804" t="s">
        <v>1587</v>
      </c>
      <c r="B647" s="583">
        <v>5</v>
      </c>
      <c r="C647" s="243">
        <v>41478</v>
      </c>
      <c r="D647" s="243">
        <v>41478</v>
      </c>
      <c r="E647" s="589" t="s">
        <v>245</v>
      </c>
      <c r="F647" s="589" t="s">
        <v>1392</v>
      </c>
      <c r="G647" s="589" t="s">
        <v>991</v>
      </c>
      <c r="H647" s="589">
        <v>55</v>
      </c>
      <c r="I647" s="583">
        <v>55</v>
      </c>
      <c r="J647" s="589"/>
      <c r="K647" s="637" t="s">
        <v>1071</v>
      </c>
      <c r="L647" s="809">
        <v>5</v>
      </c>
      <c r="M647" s="809">
        <v>35</v>
      </c>
      <c r="N647" s="807">
        <v>41485</v>
      </c>
    </row>
    <row r="648" spans="1:14">
      <c r="A648" s="804" t="s">
        <v>1587</v>
      </c>
      <c r="B648" s="583">
        <v>5</v>
      </c>
      <c r="C648" s="243">
        <v>41478</v>
      </c>
      <c r="D648" s="243">
        <v>41478</v>
      </c>
      <c r="E648" s="589" t="s">
        <v>179</v>
      </c>
      <c r="F648" s="589" t="s">
        <v>1392</v>
      </c>
      <c r="G648" s="805" t="s">
        <v>1000</v>
      </c>
      <c r="H648" s="589">
        <v>37</v>
      </c>
      <c r="I648" s="583">
        <v>37</v>
      </c>
      <c r="J648" s="589"/>
      <c r="K648" s="589" t="s">
        <v>1071</v>
      </c>
      <c r="L648" s="806">
        <v>2</v>
      </c>
      <c r="M648" s="806">
        <v>8</v>
      </c>
      <c r="N648" s="807">
        <v>41491</v>
      </c>
    </row>
    <row r="649" spans="1:14">
      <c r="A649" s="804" t="s">
        <v>1588</v>
      </c>
      <c r="B649" s="583" t="s">
        <v>439</v>
      </c>
      <c r="C649" s="243">
        <v>41478</v>
      </c>
      <c r="D649" s="243">
        <v>41478</v>
      </c>
      <c r="E649" s="584" t="s">
        <v>206</v>
      </c>
      <c r="F649" s="589" t="s">
        <v>1392</v>
      </c>
      <c r="G649" s="805" t="s">
        <v>996</v>
      </c>
      <c r="H649" s="589">
        <v>476</v>
      </c>
      <c r="I649" s="583">
        <v>476</v>
      </c>
      <c r="J649" s="589"/>
      <c r="K649" s="637" t="s">
        <v>1071</v>
      </c>
      <c r="L649" s="806">
        <v>6</v>
      </c>
      <c r="M649" s="806">
        <v>42</v>
      </c>
      <c r="N649" s="807">
        <v>41491</v>
      </c>
    </row>
    <row r="650" spans="1:14">
      <c r="A650" s="804" t="s">
        <v>1588</v>
      </c>
      <c r="B650" s="583" t="s">
        <v>439</v>
      </c>
      <c r="C650" s="243">
        <v>41478</v>
      </c>
      <c r="D650" s="243">
        <v>41478</v>
      </c>
      <c r="E650" s="589" t="s">
        <v>185</v>
      </c>
      <c r="F650" s="589" t="s">
        <v>1392</v>
      </c>
      <c r="G650" s="589" t="s">
        <v>1483</v>
      </c>
      <c r="H650" s="589">
        <v>231</v>
      </c>
      <c r="I650" s="583">
        <v>231</v>
      </c>
      <c r="J650" s="589"/>
      <c r="K650" s="589" t="s">
        <v>1071</v>
      </c>
      <c r="L650" s="806">
        <v>2</v>
      </c>
      <c r="M650" s="806">
        <v>8</v>
      </c>
      <c r="N650" s="807">
        <v>41480</v>
      </c>
    </row>
    <row r="651" spans="1:14">
      <c r="A651" s="804" t="s">
        <v>1588</v>
      </c>
      <c r="B651" s="583" t="s">
        <v>439</v>
      </c>
      <c r="C651" s="243">
        <v>41478</v>
      </c>
      <c r="D651" s="243">
        <v>41478</v>
      </c>
      <c r="E651" s="589" t="s">
        <v>245</v>
      </c>
      <c r="F651" s="589" t="s">
        <v>1392</v>
      </c>
      <c r="G651" s="589" t="s">
        <v>991</v>
      </c>
      <c r="H651" s="589">
        <v>45</v>
      </c>
      <c r="I651" s="583">
        <v>45</v>
      </c>
      <c r="J651" s="589"/>
      <c r="K651" s="637" t="s">
        <v>1071</v>
      </c>
      <c r="L651" s="809">
        <v>5</v>
      </c>
      <c r="M651" s="809">
        <v>35</v>
      </c>
      <c r="N651" s="807">
        <v>41485</v>
      </c>
    </row>
    <row r="652" spans="1:14">
      <c r="A652" s="804" t="s">
        <v>1588</v>
      </c>
      <c r="B652" s="583" t="s">
        <v>439</v>
      </c>
      <c r="C652" s="243">
        <v>41478</v>
      </c>
      <c r="D652" s="243">
        <v>41478</v>
      </c>
      <c r="E652" s="589" t="s">
        <v>179</v>
      </c>
      <c r="F652" s="589" t="s">
        <v>1392</v>
      </c>
      <c r="G652" s="805" t="s">
        <v>1000</v>
      </c>
      <c r="H652" s="589">
        <v>31</v>
      </c>
      <c r="I652" s="583">
        <v>31</v>
      </c>
      <c r="J652" s="589"/>
      <c r="K652" s="589" t="s">
        <v>1071</v>
      </c>
      <c r="L652" s="806">
        <v>2</v>
      </c>
      <c r="M652" s="806">
        <v>8</v>
      </c>
      <c r="N652" s="807">
        <v>41491</v>
      </c>
    </row>
    <row r="653" spans="1:14">
      <c r="A653" s="589" t="s">
        <v>1589</v>
      </c>
      <c r="B653" s="583">
        <v>9</v>
      </c>
      <c r="C653" s="243">
        <v>41478</v>
      </c>
      <c r="D653" s="243">
        <v>41478</v>
      </c>
      <c r="E653" s="584" t="s">
        <v>206</v>
      </c>
      <c r="F653" s="589" t="s">
        <v>1392</v>
      </c>
      <c r="G653" s="805" t="s">
        <v>996</v>
      </c>
      <c r="H653" s="589">
        <v>540</v>
      </c>
      <c r="I653" s="583">
        <v>540</v>
      </c>
      <c r="J653" s="589"/>
      <c r="K653" s="637" t="s">
        <v>1071</v>
      </c>
      <c r="L653" s="806">
        <v>6</v>
      </c>
      <c r="M653" s="806">
        <v>42</v>
      </c>
      <c r="N653" s="807">
        <v>41491</v>
      </c>
    </row>
    <row r="654" spans="1:14">
      <c r="A654" s="589" t="s">
        <v>1589</v>
      </c>
      <c r="B654" s="583">
        <v>9</v>
      </c>
      <c r="C654" s="243">
        <v>41478</v>
      </c>
      <c r="D654" s="243">
        <v>41478</v>
      </c>
      <c r="E654" s="589" t="s">
        <v>185</v>
      </c>
      <c r="F654" s="589" t="s">
        <v>1392</v>
      </c>
      <c r="G654" s="589" t="s">
        <v>1483</v>
      </c>
      <c r="H654" s="589">
        <v>185</v>
      </c>
      <c r="I654" s="583">
        <v>185</v>
      </c>
      <c r="J654" s="589"/>
      <c r="K654" s="589" t="s">
        <v>1071</v>
      </c>
      <c r="L654" s="806">
        <v>2</v>
      </c>
      <c r="M654" s="806">
        <v>8</v>
      </c>
      <c r="N654" s="807">
        <v>41480</v>
      </c>
    </row>
    <row r="655" spans="1:14">
      <c r="A655" s="589" t="s">
        <v>1589</v>
      </c>
      <c r="B655" s="583">
        <v>9</v>
      </c>
      <c r="C655" s="243">
        <v>41478</v>
      </c>
      <c r="D655" s="243">
        <v>41478</v>
      </c>
      <c r="E655" s="589" t="s">
        <v>245</v>
      </c>
      <c r="F655" s="589" t="s">
        <v>1392</v>
      </c>
      <c r="G655" s="589" t="s">
        <v>991</v>
      </c>
      <c r="H655" s="589">
        <v>48</v>
      </c>
      <c r="I655" s="583">
        <v>48</v>
      </c>
      <c r="J655" s="688"/>
      <c r="K655" s="637" t="s">
        <v>1071</v>
      </c>
      <c r="L655" s="809">
        <v>5</v>
      </c>
      <c r="M655" s="809">
        <v>35</v>
      </c>
      <c r="N655" s="807">
        <v>41485</v>
      </c>
    </row>
    <row r="656" spans="1:14">
      <c r="A656" s="589" t="s">
        <v>1589</v>
      </c>
      <c r="B656" s="583">
        <v>9</v>
      </c>
      <c r="C656" s="243">
        <v>41478</v>
      </c>
      <c r="D656" s="243">
        <v>41478</v>
      </c>
      <c r="E656" s="589" t="s">
        <v>179</v>
      </c>
      <c r="F656" s="589" t="s">
        <v>1392</v>
      </c>
      <c r="G656" s="805" t="s">
        <v>1000</v>
      </c>
      <c r="H656" s="589">
        <v>40</v>
      </c>
      <c r="I656" s="583">
        <v>40</v>
      </c>
      <c r="J656" s="589"/>
      <c r="K656" s="589" t="s">
        <v>1071</v>
      </c>
      <c r="L656" s="806">
        <v>2</v>
      </c>
      <c r="M656" s="806">
        <v>8</v>
      </c>
      <c r="N656" s="807">
        <v>41491</v>
      </c>
    </row>
    <row r="657" spans="1:14">
      <c r="A657" s="804" t="s">
        <v>1590</v>
      </c>
      <c r="B657" s="583">
        <v>12</v>
      </c>
      <c r="C657" s="243">
        <v>41478</v>
      </c>
      <c r="D657" s="243">
        <v>41478</v>
      </c>
      <c r="E657" s="584" t="s">
        <v>206</v>
      </c>
      <c r="F657" s="589" t="s">
        <v>1392</v>
      </c>
      <c r="G657" s="805" t="s">
        <v>996</v>
      </c>
      <c r="H657" s="589">
        <v>780</v>
      </c>
      <c r="I657" s="583">
        <v>780</v>
      </c>
      <c r="J657" s="589"/>
      <c r="K657" s="637" t="s">
        <v>1071</v>
      </c>
      <c r="L657" s="806">
        <v>6</v>
      </c>
      <c r="M657" s="806">
        <v>42</v>
      </c>
      <c r="N657" s="807">
        <v>41491</v>
      </c>
    </row>
    <row r="658" spans="1:14">
      <c r="A658" s="804" t="s">
        <v>1590</v>
      </c>
      <c r="B658" s="583">
        <v>12</v>
      </c>
      <c r="C658" s="243">
        <v>41478</v>
      </c>
      <c r="D658" s="243">
        <v>41478</v>
      </c>
      <c r="E658" s="589" t="s">
        <v>185</v>
      </c>
      <c r="F658" s="589" t="s">
        <v>1392</v>
      </c>
      <c r="G658" s="589" t="s">
        <v>1483</v>
      </c>
      <c r="H658" s="589">
        <v>384</v>
      </c>
      <c r="I658" s="583">
        <v>384</v>
      </c>
      <c r="J658" s="589"/>
      <c r="K658" s="589" t="s">
        <v>1071</v>
      </c>
      <c r="L658" s="806">
        <v>2</v>
      </c>
      <c r="M658" s="806">
        <v>8</v>
      </c>
      <c r="N658" s="807">
        <v>41480</v>
      </c>
    </row>
    <row r="659" spans="1:14">
      <c r="A659" s="804" t="s">
        <v>1590</v>
      </c>
      <c r="B659" s="583">
        <v>12</v>
      </c>
      <c r="C659" s="243">
        <v>41478</v>
      </c>
      <c r="D659" s="243">
        <v>41478</v>
      </c>
      <c r="E659" s="589" t="s">
        <v>245</v>
      </c>
      <c r="F659" s="589" t="s">
        <v>1392</v>
      </c>
      <c r="G659" s="589" t="s">
        <v>991</v>
      </c>
      <c r="H659" s="589">
        <v>28</v>
      </c>
      <c r="I659" s="583">
        <v>28</v>
      </c>
      <c r="J659" s="589" t="s">
        <v>1419</v>
      </c>
      <c r="K659" s="637" t="s">
        <v>1071</v>
      </c>
      <c r="L659" s="809">
        <v>5</v>
      </c>
      <c r="M659" s="809">
        <v>35</v>
      </c>
      <c r="N659" s="807">
        <v>41485</v>
      </c>
    </row>
    <row r="660" spans="1:14">
      <c r="A660" s="804" t="s">
        <v>1590</v>
      </c>
      <c r="B660" s="583">
        <v>12</v>
      </c>
      <c r="C660" s="243">
        <v>41478</v>
      </c>
      <c r="D660" s="243">
        <v>41478</v>
      </c>
      <c r="E660" s="589" t="s">
        <v>179</v>
      </c>
      <c r="F660" s="589" t="s">
        <v>1392</v>
      </c>
      <c r="G660" s="805" t="s">
        <v>1000</v>
      </c>
      <c r="H660" s="589">
        <v>45</v>
      </c>
      <c r="I660" s="583">
        <v>45</v>
      </c>
      <c r="J660" s="589"/>
      <c r="K660" s="589" t="s">
        <v>1071</v>
      </c>
      <c r="L660" s="806">
        <v>2</v>
      </c>
      <c r="M660" s="806">
        <v>8</v>
      </c>
      <c r="N660" s="807">
        <v>41491</v>
      </c>
    </row>
    <row r="661" spans="1:14">
      <c r="A661" s="804" t="s">
        <v>1591</v>
      </c>
      <c r="B661" s="583" t="s">
        <v>440</v>
      </c>
      <c r="C661" s="243">
        <v>41478</v>
      </c>
      <c r="D661" s="243">
        <v>41478</v>
      </c>
      <c r="E661" s="584" t="s">
        <v>206</v>
      </c>
      <c r="F661" s="589" t="s">
        <v>1392</v>
      </c>
      <c r="G661" s="805" t="s">
        <v>996</v>
      </c>
      <c r="H661" s="589">
        <v>814</v>
      </c>
      <c r="I661" s="583">
        <v>814</v>
      </c>
      <c r="J661" s="589"/>
      <c r="K661" s="637" t="s">
        <v>1071</v>
      </c>
      <c r="L661" s="806">
        <v>6</v>
      </c>
      <c r="M661" s="806">
        <v>42</v>
      </c>
      <c r="N661" s="807">
        <v>41491</v>
      </c>
    </row>
    <row r="662" spans="1:14">
      <c r="A662" s="804" t="s">
        <v>1591</v>
      </c>
      <c r="B662" s="585" t="s">
        <v>440</v>
      </c>
      <c r="C662" s="243">
        <v>41478</v>
      </c>
      <c r="D662" s="243">
        <v>41478</v>
      </c>
      <c r="E662" s="589" t="s">
        <v>185</v>
      </c>
      <c r="F662" s="589" t="s">
        <v>1392</v>
      </c>
      <c r="G662" s="589" t="s">
        <v>1483</v>
      </c>
      <c r="H662" s="589">
        <v>381</v>
      </c>
      <c r="I662" s="583">
        <v>381</v>
      </c>
      <c r="J662" s="589"/>
      <c r="K662" s="637" t="s">
        <v>1071</v>
      </c>
      <c r="L662" s="806">
        <v>2</v>
      </c>
      <c r="M662" s="806">
        <v>8</v>
      </c>
      <c r="N662" s="807">
        <v>41480</v>
      </c>
    </row>
    <row r="663" spans="1:14">
      <c r="A663" s="804" t="s">
        <v>1591</v>
      </c>
      <c r="B663" s="585" t="s">
        <v>440</v>
      </c>
      <c r="C663" s="243">
        <v>41478</v>
      </c>
      <c r="D663" s="243">
        <v>41478</v>
      </c>
      <c r="E663" s="589" t="s">
        <v>245</v>
      </c>
      <c r="F663" s="589" t="s">
        <v>1392</v>
      </c>
      <c r="G663" s="589" t="s">
        <v>991</v>
      </c>
      <c r="H663" s="589">
        <v>26</v>
      </c>
      <c r="I663" s="583">
        <v>26</v>
      </c>
      <c r="J663" s="589" t="s">
        <v>1419</v>
      </c>
      <c r="K663" s="589" t="s">
        <v>1071</v>
      </c>
      <c r="L663" s="809">
        <v>5</v>
      </c>
      <c r="M663" s="809">
        <v>35</v>
      </c>
      <c r="N663" s="807">
        <v>41485</v>
      </c>
    </row>
    <row r="664" spans="1:14">
      <c r="A664" s="804" t="s">
        <v>1591</v>
      </c>
      <c r="B664" s="585" t="s">
        <v>440</v>
      </c>
      <c r="C664" s="243">
        <v>41478</v>
      </c>
      <c r="D664" s="243">
        <v>41478</v>
      </c>
      <c r="E664" s="589" t="s">
        <v>179</v>
      </c>
      <c r="F664" s="589" t="s">
        <v>1392</v>
      </c>
      <c r="G664" s="805" t="s">
        <v>1000</v>
      </c>
      <c r="H664" s="589">
        <v>47</v>
      </c>
      <c r="I664" s="583">
        <v>47</v>
      </c>
      <c r="J664" s="589"/>
      <c r="K664" s="589" t="s">
        <v>1071</v>
      </c>
      <c r="L664" s="806">
        <v>2</v>
      </c>
      <c r="M664" s="806">
        <v>8</v>
      </c>
      <c r="N664" s="807">
        <v>41491</v>
      </c>
    </row>
    <row r="665" spans="1:14">
      <c r="A665" s="804" t="s">
        <v>1592</v>
      </c>
      <c r="B665" s="583" t="s">
        <v>1137</v>
      </c>
      <c r="C665" s="243">
        <v>41478</v>
      </c>
      <c r="D665" s="243">
        <v>41478</v>
      </c>
      <c r="E665" s="584" t="s">
        <v>206</v>
      </c>
      <c r="F665" s="589" t="s">
        <v>1392</v>
      </c>
      <c r="G665" s="805" t="s">
        <v>996</v>
      </c>
      <c r="H665" s="589">
        <v>579</v>
      </c>
      <c r="I665" s="583">
        <v>579</v>
      </c>
      <c r="J665" s="589"/>
      <c r="K665" s="637" t="s">
        <v>1071</v>
      </c>
      <c r="L665" s="806">
        <v>6</v>
      </c>
      <c r="M665" s="806">
        <v>42</v>
      </c>
      <c r="N665" s="807">
        <v>41491</v>
      </c>
    </row>
    <row r="666" spans="1:14">
      <c r="A666" s="804" t="s">
        <v>1592</v>
      </c>
      <c r="B666" s="583" t="s">
        <v>1137</v>
      </c>
      <c r="C666" s="243">
        <v>41478</v>
      </c>
      <c r="D666" s="243">
        <v>41478</v>
      </c>
      <c r="E666" s="589" t="s">
        <v>185</v>
      </c>
      <c r="F666" s="589" t="s">
        <v>1392</v>
      </c>
      <c r="G666" s="589" t="s">
        <v>1483</v>
      </c>
      <c r="H666" s="589">
        <v>234</v>
      </c>
      <c r="I666" s="583">
        <v>234</v>
      </c>
      <c r="J666" s="589"/>
      <c r="K666" s="589" t="s">
        <v>1071</v>
      </c>
      <c r="L666" s="806">
        <v>2</v>
      </c>
      <c r="M666" s="806">
        <v>8</v>
      </c>
      <c r="N666" s="807">
        <v>41480</v>
      </c>
    </row>
    <row r="667" spans="1:14">
      <c r="A667" s="804" t="s">
        <v>1592</v>
      </c>
      <c r="B667" s="583" t="s">
        <v>1137</v>
      </c>
      <c r="C667" s="243">
        <v>41478</v>
      </c>
      <c r="D667" s="243">
        <v>41478</v>
      </c>
      <c r="E667" s="589" t="s">
        <v>245</v>
      </c>
      <c r="F667" s="589" t="s">
        <v>1392</v>
      </c>
      <c r="G667" s="589" t="s">
        <v>991</v>
      </c>
      <c r="H667" s="589">
        <v>21</v>
      </c>
      <c r="I667" s="583">
        <v>21</v>
      </c>
      <c r="J667" s="589" t="s">
        <v>1419</v>
      </c>
      <c r="K667" s="589" t="s">
        <v>1071</v>
      </c>
      <c r="L667" s="809">
        <v>5</v>
      </c>
      <c r="M667" s="809">
        <v>35</v>
      </c>
      <c r="N667" s="807">
        <v>41485</v>
      </c>
    </row>
    <row r="668" spans="1:14">
      <c r="A668" s="804" t="s">
        <v>1592</v>
      </c>
      <c r="B668" s="583" t="s">
        <v>1137</v>
      </c>
      <c r="C668" s="243">
        <v>41478</v>
      </c>
      <c r="D668" s="243">
        <v>41478</v>
      </c>
      <c r="E668" s="589" t="s">
        <v>179</v>
      </c>
      <c r="F668" s="589" t="s">
        <v>1392</v>
      </c>
      <c r="G668" s="805" t="s">
        <v>1000</v>
      </c>
      <c r="H668" s="589">
        <v>45</v>
      </c>
      <c r="I668" s="583">
        <v>45</v>
      </c>
      <c r="J668" s="589"/>
      <c r="K668" s="589" t="s">
        <v>1071</v>
      </c>
      <c r="L668" s="806">
        <v>2</v>
      </c>
      <c r="M668" s="806">
        <v>8</v>
      </c>
      <c r="N668" s="807">
        <v>41491</v>
      </c>
    </row>
    <row r="669" spans="1:14">
      <c r="A669" s="804" t="s">
        <v>1593</v>
      </c>
      <c r="B669" s="583">
        <v>34</v>
      </c>
      <c r="C669" s="243">
        <v>41478</v>
      </c>
      <c r="D669" s="243">
        <v>41478</v>
      </c>
      <c r="E669" s="584" t="s">
        <v>206</v>
      </c>
      <c r="F669" s="589" t="s">
        <v>1392</v>
      </c>
      <c r="G669" s="805" t="s">
        <v>996</v>
      </c>
      <c r="H669" s="589">
        <v>820</v>
      </c>
      <c r="I669" s="583">
        <v>820</v>
      </c>
      <c r="J669" s="589"/>
      <c r="K669" s="637" t="s">
        <v>1071</v>
      </c>
      <c r="L669" s="806">
        <v>6</v>
      </c>
      <c r="M669" s="806">
        <v>42</v>
      </c>
      <c r="N669" s="807">
        <v>41491</v>
      </c>
    </row>
    <row r="670" spans="1:14">
      <c r="A670" s="804" t="s">
        <v>1593</v>
      </c>
      <c r="B670" s="583">
        <v>34</v>
      </c>
      <c r="C670" s="243">
        <v>41478</v>
      </c>
      <c r="D670" s="243">
        <v>41478</v>
      </c>
      <c r="E670" s="589" t="s">
        <v>185</v>
      </c>
      <c r="F670" s="589" t="s">
        <v>1392</v>
      </c>
      <c r="G670" s="589" t="s">
        <v>1483</v>
      </c>
      <c r="H670" s="589">
        <v>399</v>
      </c>
      <c r="I670" s="583">
        <v>399</v>
      </c>
      <c r="J670" s="589"/>
      <c r="K670" s="589" t="s">
        <v>1071</v>
      </c>
      <c r="L670" s="806">
        <v>2</v>
      </c>
      <c r="M670" s="806">
        <v>8</v>
      </c>
      <c r="N670" s="807">
        <v>41480</v>
      </c>
    </row>
    <row r="671" spans="1:14">
      <c r="A671" s="804" t="s">
        <v>1593</v>
      </c>
      <c r="B671" s="583">
        <v>34</v>
      </c>
      <c r="C671" s="243">
        <v>41478</v>
      </c>
      <c r="D671" s="243">
        <v>41478</v>
      </c>
      <c r="E671" s="589" t="s">
        <v>245</v>
      </c>
      <c r="F671" s="589" t="s">
        <v>1392</v>
      </c>
      <c r="G671" s="589" t="s">
        <v>991</v>
      </c>
      <c r="H671" s="589">
        <v>31</v>
      </c>
      <c r="I671" s="583">
        <v>31</v>
      </c>
      <c r="J671" s="589" t="s">
        <v>1419</v>
      </c>
      <c r="K671" s="637" t="s">
        <v>1071</v>
      </c>
      <c r="L671" s="809">
        <v>5</v>
      </c>
      <c r="M671" s="809">
        <v>35</v>
      </c>
      <c r="N671" s="807">
        <v>41485</v>
      </c>
    </row>
    <row r="672" spans="1:14">
      <c r="A672" s="804" t="s">
        <v>1593</v>
      </c>
      <c r="B672" s="583">
        <v>34</v>
      </c>
      <c r="C672" s="243">
        <v>41478</v>
      </c>
      <c r="D672" s="243">
        <v>41478</v>
      </c>
      <c r="E672" s="589" t="s">
        <v>179</v>
      </c>
      <c r="F672" s="589" t="s">
        <v>1392</v>
      </c>
      <c r="G672" s="805" t="s">
        <v>1000</v>
      </c>
      <c r="H672" s="589">
        <v>38</v>
      </c>
      <c r="I672" s="583">
        <v>38</v>
      </c>
      <c r="J672" s="589"/>
      <c r="K672" s="589" t="s">
        <v>1071</v>
      </c>
      <c r="L672" s="806">
        <v>2</v>
      </c>
      <c r="M672" s="806">
        <v>8</v>
      </c>
      <c r="N672" s="807">
        <v>41491</v>
      </c>
    </row>
    <row r="673" spans="1:14">
      <c r="A673" s="804" t="s">
        <v>1594</v>
      </c>
      <c r="B673" s="583">
        <v>18</v>
      </c>
      <c r="C673" s="243">
        <v>41478</v>
      </c>
      <c r="D673" s="243">
        <v>41478</v>
      </c>
      <c r="E673" s="584" t="s">
        <v>206</v>
      </c>
      <c r="F673" s="589" t="s">
        <v>1392</v>
      </c>
      <c r="G673" s="805" t="s">
        <v>996</v>
      </c>
      <c r="H673" s="589">
        <v>873</v>
      </c>
      <c r="I673" s="583">
        <v>873</v>
      </c>
      <c r="J673" s="589"/>
      <c r="K673" s="637" t="s">
        <v>1071</v>
      </c>
      <c r="L673" s="806">
        <v>6</v>
      </c>
      <c r="M673" s="806">
        <v>42</v>
      </c>
      <c r="N673" s="807">
        <v>41491</v>
      </c>
    </row>
    <row r="674" spans="1:14">
      <c r="A674" s="804" t="s">
        <v>1594</v>
      </c>
      <c r="B674" s="583">
        <v>18</v>
      </c>
      <c r="C674" s="243">
        <v>41478</v>
      </c>
      <c r="D674" s="243">
        <v>41478</v>
      </c>
      <c r="E674" s="589" t="s">
        <v>185</v>
      </c>
      <c r="F674" s="589" t="s">
        <v>1392</v>
      </c>
      <c r="G674" s="589" t="s">
        <v>1483</v>
      </c>
      <c r="H674" s="589">
        <v>5</v>
      </c>
      <c r="I674" s="583">
        <v>5</v>
      </c>
      <c r="J674" s="589" t="s">
        <v>1419</v>
      </c>
      <c r="K674" s="589" t="s">
        <v>1071</v>
      </c>
      <c r="L674" s="806">
        <v>2</v>
      </c>
      <c r="M674" s="806">
        <v>8</v>
      </c>
      <c r="N674" s="807">
        <v>41480</v>
      </c>
    </row>
    <row r="675" spans="1:14">
      <c r="A675" s="804" t="s">
        <v>1594</v>
      </c>
      <c r="B675" s="583">
        <v>18</v>
      </c>
      <c r="C675" s="243">
        <v>41478</v>
      </c>
      <c r="D675" s="243">
        <v>41478</v>
      </c>
      <c r="E675" s="589" t="s">
        <v>245</v>
      </c>
      <c r="F675" s="589" t="s">
        <v>1392</v>
      </c>
      <c r="G675" s="589" t="s">
        <v>991</v>
      </c>
      <c r="H675" s="589">
        <v>27</v>
      </c>
      <c r="I675" s="583">
        <v>27</v>
      </c>
      <c r="J675" s="589" t="s">
        <v>1419</v>
      </c>
      <c r="K675" s="637" t="s">
        <v>1071</v>
      </c>
      <c r="L675" s="809">
        <v>5</v>
      </c>
      <c r="M675" s="809">
        <v>35</v>
      </c>
      <c r="N675" s="807">
        <v>41485</v>
      </c>
    </row>
    <row r="676" spans="1:14">
      <c r="A676" s="804" t="s">
        <v>1594</v>
      </c>
      <c r="B676" s="583">
        <v>18</v>
      </c>
      <c r="C676" s="243">
        <v>41478</v>
      </c>
      <c r="D676" s="243">
        <v>41478</v>
      </c>
      <c r="E676" s="589" t="s">
        <v>179</v>
      </c>
      <c r="F676" s="589" t="s">
        <v>1392</v>
      </c>
      <c r="G676" s="805" t="s">
        <v>1000</v>
      </c>
      <c r="H676" s="589">
        <v>24</v>
      </c>
      <c r="I676" s="583">
        <v>24</v>
      </c>
      <c r="J676" s="589"/>
      <c r="K676" s="589" t="s">
        <v>1071</v>
      </c>
      <c r="L676" s="806">
        <v>2</v>
      </c>
      <c r="M676" s="806">
        <v>8</v>
      </c>
      <c r="N676" s="807">
        <v>41491</v>
      </c>
    </row>
    <row r="677" spans="1:14">
      <c r="A677" s="804" t="s">
        <v>1595</v>
      </c>
      <c r="B677" s="583">
        <v>19</v>
      </c>
      <c r="C677" s="243">
        <v>41478</v>
      </c>
      <c r="D677" s="243">
        <v>41478</v>
      </c>
      <c r="E677" s="584" t="s">
        <v>206</v>
      </c>
      <c r="F677" s="589" t="s">
        <v>1392</v>
      </c>
      <c r="G677" s="805" t="s">
        <v>996</v>
      </c>
      <c r="H677" s="589">
        <v>302</v>
      </c>
      <c r="I677" s="583">
        <v>302</v>
      </c>
      <c r="J677" s="589"/>
      <c r="K677" s="637" t="s">
        <v>1071</v>
      </c>
      <c r="L677" s="806">
        <v>6</v>
      </c>
      <c r="M677" s="806">
        <v>42</v>
      </c>
      <c r="N677" s="807">
        <v>41491</v>
      </c>
    </row>
    <row r="678" spans="1:14">
      <c r="A678" s="804" t="s">
        <v>1595</v>
      </c>
      <c r="B678" s="583">
        <v>19</v>
      </c>
      <c r="C678" s="243">
        <v>41478</v>
      </c>
      <c r="D678" s="243">
        <v>41478</v>
      </c>
      <c r="E678" s="589" t="s">
        <v>185</v>
      </c>
      <c r="F678" s="589" t="s">
        <v>1392</v>
      </c>
      <c r="G678" s="589" t="s">
        <v>1483</v>
      </c>
      <c r="H678" s="589">
        <v>25</v>
      </c>
      <c r="I678" s="583">
        <v>25</v>
      </c>
      <c r="J678" s="589"/>
      <c r="K678" s="589" t="s">
        <v>1071</v>
      </c>
      <c r="L678" s="806">
        <v>2</v>
      </c>
      <c r="M678" s="806">
        <v>8</v>
      </c>
      <c r="N678" s="807">
        <v>41480</v>
      </c>
    </row>
    <row r="679" spans="1:14">
      <c r="A679" s="804" t="s">
        <v>1595</v>
      </c>
      <c r="B679" s="583">
        <v>19</v>
      </c>
      <c r="C679" s="243">
        <v>41478</v>
      </c>
      <c r="D679" s="243">
        <v>41478</v>
      </c>
      <c r="E679" s="589" t="s">
        <v>245</v>
      </c>
      <c r="F679" s="589" t="s">
        <v>1392</v>
      </c>
      <c r="G679" s="589" t="s">
        <v>991</v>
      </c>
      <c r="H679" s="589">
        <v>25</v>
      </c>
      <c r="I679" s="583">
        <v>25</v>
      </c>
      <c r="J679" s="589" t="s">
        <v>1419</v>
      </c>
      <c r="K679" s="637" t="s">
        <v>1071</v>
      </c>
      <c r="L679" s="809">
        <v>5</v>
      </c>
      <c r="M679" s="809">
        <v>35</v>
      </c>
      <c r="N679" s="807">
        <v>41485</v>
      </c>
    </row>
    <row r="680" spans="1:14">
      <c r="A680" s="804" t="s">
        <v>1595</v>
      </c>
      <c r="B680" s="583">
        <v>19</v>
      </c>
      <c r="C680" s="243">
        <v>41478</v>
      </c>
      <c r="D680" s="243">
        <v>41478</v>
      </c>
      <c r="E680" s="589" t="s">
        <v>179</v>
      </c>
      <c r="F680" s="589" t="s">
        <v>1392</v>
      </c>
      <c r="G680" s="805" t="s">
        <v>1000</v>
      </c>
      <c r="H680" s="589">
        <v>52</v>
      </c>
      <c r="I680" s="583">
        <v>52</v>
      </c>
      <c r="J680" s="589"/>
      <c r="K680" s="589" t="s">
        <v>1071</v>
      </c>
      <c r="L680" s="806">
        <v>2</v>
      </c>
      <c r="M680" s="806">
        <v>8</v>
      </c>
      <c r="N680" s="807">
        <v>41491</v>
      </c>
    </row>
    <row r="681" spans="1:14">
      <c r="A681" s="804" t="s">
        <v>1596</v>
      </c>
      <c r="B681" s="583">
        <v>58</v>
      </c>
      <c r="C681" s="243">
        <v>41478</v>
      </c>
      <c r="D681" s="243">
        <v>41478</v>
      </c>
      <c r="E681" s="584" t="s">
        <v>206</v>
      </c>
      <c r="F681" s="589" t="s">
        <v>1392</v>
      </c>
      <c r="G681" s="805" t="s">
        <v>996</v>
      </c>
      <c r="H681" s="589">
        <v>233</v>
      </c>
      <c r="I681" s="583">
        <v>233</v>
      </c>
      <c r="J681" s="589"/>
      <c r="K681" s="637" t="s">
        <v>1071</v>
      </c>
      <c r="L681" s="806">
        <v>6</v>
      </c>
      <c r="M681" s="806">
        <v>42</v>
      </c>
      <c r="N681" s="807">
        <v>41491</v>
      </c>
    </row>
    <row r="682" spans="1:14">
      <c r="A682" s="804" t="s">
        <v>1596</v>
      </c>
      <c r="B682" s="583">
        <v>58</v>
      </c>
      <c r="C682" s="243">
        <v>41478</v>
      </c>
      <c r="D682" s="243">
        <v>41478</v>
      </c>
      <c r="E682" s="589" t="s">
        <v>185</v>
      </c>
      <c r="F682" s="589" t="s">
        <v>1392</v>
      </c>
      <c r="G682" s="589" t="s">
        <v>1483</v>
      </c>
      <c r="H682" s="589">
        <v>61</v>
      </c>
      <c r="I682" s="583">
        <v>61</v>
      </c>
      <c r="J682" s="589"/>
      <c r="K682" s="589" t="s">
        <v>1071</v>
      </c>
      <c r="L682" s="806">
        <v>2</v>
      </c>
      <c r="M682" s="806">
        <v>8</v>
      </c>
      <c r="N682" s="807">
        <v>41480</v>
      </c>
    </row>
    <row r="683" spans="1:14">
      <c r="A683" s="804" t="s">
        <v>1596</v>
      </c>
      <c r="B683" s="583">
        <v>58</v>
      </c>
      <c r="C683" s="243">
        <v>41478</v>
      </c>
      <c r="D683" s="243">
        <v>41478</v>
      </c>
      <c r="E683" s="589" t="s">
        <v>245</v>
      </c>
      <c r="F683" s="589" t="s">
        <v>1392</v>
      </c>
      <c r="G683" s="589" t="s">
        <v>991</v>
      </c>
      <c r="H683" s="589">
        <v>24</v>
      </c>
      <c r="I683" s="583">
        <v>24</v>
      </c>
      <c r="J683" s="589" t="s">
        <v>1419</v>
      </c>
      <c r="K683" s="637" t="s">
        <v>1071</v>
      </c>
      <c r="L683" s="809">
        <v>5</v>
      </c>
      <c r="M683" s="809">
        <v>35</v>
      </c>
      <c r="N683" s="807">
        <v>41485</v>
      </c>
    </row>
    <row r="684" spans="1:14">
      <c r="A684" s="804" t="s">
        <v>1596</v>
      </c>
      <c r="B684" s="583">
        <v>58</v>
      </c>
      <c r="C684" s="243">
        <v>41478</v>
      </c>
      <c r="D684" s="243">
        <v>41478</v>
      </c>
      <c r="E684" s="589" t="s">
        <v>179</v>
      </c>
      <c r="F684" s="589" t="s">
        <v>1392</v>
      </c>
      <c r="G684" s="805" t="s">
        <v>1000</v>
      </c>
      <c r="H684" s="589"/>
      <c r="I684" s="583"/>
      <c r="J684" s="589" t="s">
        <v>1395</v>
      </c>
      <c r="K684" s="589" t="s">
        <v>1071</v>
      </c>
      <c r="L684" s="806">
        <v>2</v>
      </c>
      <c r="M684" s="806">
        <v>8</v>
      </c>
      <c r="N684" s="807">
        <v>41491</v>
      </c>
    </row>
    <row r="685" spans="1:14">
      <c r="A685" s="804" t="s">
        <v>1597</v>
      </c>
      <c r="B685" s="583" t="s">
        <v>1136</v>
      </c>
      <c r="C685" s="243">
        <v>41478</v>
      </c>
      <c r="D685" s="243">
        <v>41478</v>
      </c>
      <c r="E685" s="584" t="s">
        <v>206</v>
      </c>
      <c r="F685" s="589" t="s">
        <v>1392</v>
      </c>
      <c r="G685" s="805" t="s">
        <v>996</v>
      </c>
      <c r="H685" s="589">
        <v>175</v>
      </c>
      <c r="I685" s="583">
        <v>175</v>
      </c>
      <c r="J685" s="589"/>
      <c r="K685" s="637" t="s">
        <v>1071</v>
      </c>
      <c r="L685" s="806">
        <v>6</v>
      </c>
      <c r="M685" s="806">
        <v>42</v>
      </c>
      <c r="N685" s="807">
        <v>41491</v>
      </c>
    </row>
    <row r="686" spans="1:14">
      <c r="A686" s="804" t="s">
        <v>1597</v>
      </c>
      <c r="B686" s="583" t="s">
        <v>1136</v>
      </c>
      <c r="C686" s="243">
        <v>41478</v>
      </c>
      <c r="D686" s="243">
        <v>41478</v>
      </c>
      <c r="E686" s="589" t="s">
        <v>185</v>
      </c>
      <c r="F686" s="589" t="s">
        <v>1392</v>
      </c>
      <c r="G686" s="589" t="s">
        <v>1483</v>
      </c>
      <c r="H686" s="589">
        <v>34</v>
      </c>
      <c r="I686" s="583">
        <v>34</v>
      </c>
      <c r="J686" s="589"/>
      <c r="K686" s="589" t="s">
        <v>1071</v>
      </c>
      <c r="L686" s="806">
        <v>2</v>
      </c>
      <c r="M686" s="806">
        <v>8</v>
      </c>
      <c r="N686" s="807">
        <v>41480</v>
      </c>
    </row>
    <row r="687" spans="1:14">
      <c r="A687" s="804" t="s">
        <v>1597</v>
      </c>
      <c r="B687" s="583" t="s">
        <v>1136</v>
      </c>
      <c r="C687" s="243">
        <v>41478</v>
      </c>
      <c r="D687" s="243">
        <v>41478</v>
      </c>
      <c r="E687" s="589" t="s">
        <v>245</v>
      </c>
      <c r="F687" s="589" t="s">
        <v>1392</v>
      </c>
      <c r="G687" s="589" t="s">
        <v>991</v>
      </c>
      <c r="H687" s="589">
        <v>30</v>
      </c>
      <c r="I687" s="583">
        <v>30</v>
      </c>
      <c r="J687" s="589" t="s">
        <v>1419</v>
      </c>
      <c r="K687" s="637" t="s">
        <v>1071</v>
      </c>
      <c r="L687" s="809">
        <v>5</v>
      </c>
      <c r="M687" s="809">
        <v>35</v>
      </c>
      <c r="N687" s="807">
        <v>41485</v>
      </c>
    </row>
    <row r="688" spans="1:14">
      <c r="A688" s="804" t="s">
        <v>1597</v>
      </c>
      <c r="B688" s="583" t="s">
        <v>1136</v>
      </c>
      <c r="C688" s="243">
        <v>41478</v>
      </c>
      <c r="D688" s="243">
        <v>41478</v>
      </c>
      <c r="E688" s="589" t="s">
        <v>179</v>
      </c>
      <c r="F688" s="589" t="s">
        <v>1392</v>
      </c>
      <c r="G688" s="805" t="s">
        <v>1000</v>
      </c>
      <c r="H688" s="589">
        <v>19</v>
      </c>
      <c r="I688" s="583">
        <v>19</v>
      </c>
      <c r="J688" s="589"/>
      <c r="K688" s="589" t="s">
        <v>1071</v>
      </c>
      <c r="L688" s="806">
        <v>2</v>
      </c>
      <c r="M688" s="806">
        <v>8</v>
      </c>
      <c r="N688" s="807">
        <v>41491</v>
      </c>
    </row>
    <row r="689" spans="1:14">
      <c r="A689" s="804" t="s">
        <v>1598</v>
      </c>
      <c r="B689" s="583" t="s">
        <v>1135</v>
      </c>
      <c r="C689" s="243">
        <v>41478</v>
      </c>
      <c r="D689" s="243">
        <v>41478</v>
      </c>
      <c r="E689" s="584" t="s">
        <v>206</v>
      </c>
      <c r="F689" s="589" t="s">
        <v>1392</v>
      </c>
      <c r="G689" s="805" t="s">
        <v>996</v>
      </c>
      <c r="H689" s="589">
        <v>205</v>
      </c>
      <c r="I689" s="583">
        <v>205</v>
      </c>
      <c r="J689" s="589"/>
      <c r="K689" s="637" t="s">
        <v>1071</v>
      </c>
      <c r="L689" s="806">
        <v>6</v>
      </c>
      <c r="M689" s="806">
        <v>42</v>
      </c>
      <c r="N689" s="807">
        <v>41491</v>
      </c>
    </row>
    <row r="690" spans="1:14">
      <c r="A690" s="804" t="s">
        <v>1598</v>
      </c>
      <c r="B690" s="583" t="s">
        <v>1135</v>
      </c>
      <c r="C690" s="243">
        <v>41478</v>
      </c>
      <c r="D690" s="243">
        <v>41478</v>
      </c>
      <c r="E690" s="589" t="s">
        <v>185</v>
      </c>
      <c r="F690" s="589" t="s">
        <v>1392</v>
      </c>
      <c r="G690" s="589" t="s">
        <v>1483</v>
      </c>
      <c r="H690" s="589">
        <v>41</v>
      </c>
      <c r="I690" s="583">
        <v>41</v>
      </c>
      <c r="J690" s="589"/>
      <c r="K690" s="589" t="s">
        <v>1071</v>
      </c>
      <c r="L690" s="806">
        <v>2</v>
      </c>
      <c r="M690" s="806">
        <v>8</v>
      </c>
      <c r="N690" s="807">
        <v>41480</v>
      </c>
    </row>
    <row r="691" spans="1:14">
      <c r="A691" s="804" t="s">
        <v>1598</v>
      </c>
      <c r="B691" s="583" t="s">
        <v>1135</v>
      </c>
      <c r="C691" s="243">
        <v>41478</v>
      </c>
      <c r="D691" s="243">
        <v>41478</v>
      </c>
      <c r="E691" s="589" t="s">
        <v>245</v>
      </c>
      <c r="F691" s="589" t="s">
        <v>1392</v>
      </c>
      <c r="G691" s="589" t="s">
        <v>991</v>
      </c>
      <c r="H691" s="589">
        <v>21</v>
      </c>
      <c r="I691" s="583">
        <v>21</v>
      </c>
      <c r="J691" s="589" t="s">
        <v>1419</v>
      </c>
      <c r="K691" s="637" t="s">
        <v>1071</v>
      </c>
      <c r="L691" s="809">
        <v>5</v>
      </c>
      <c r="M691" s="809">
        <v>35</v>
      </c>
      <c r="N691" s="807">
        <v>41485</v>
      </c>
    </row>
    <row r="692" spans="1:14">
      <c r="A692" s="804" t="s">
        <v>1598</v>
      </c>
      <c r="B692" s="583" t="s">
        <v>1135</v>
      </c>
      <c r="C692" s="243">
        <v>41478</v>
      </c>
      <c r="D692" s="243">
        <v>41478</v>
      </c>
      <c r="E692" s="589" t="s">
        <v>179</v>
      </c>
      <c r="F692" s="589" t="s">
        <v>1392</v>
      </c>
      <c r="G692" s="805" t="s">
        <v>1000</v>
      </c>
      <c r="H692" s="589">
        <v>13</v>
      </c>
      <c r="I692" s="583">
        <v>13</v>
      </c>
      <c r="J692" s="589"/>
      <c r="K692" s="589" t="s">
        <v>1071</v>
      </c>
      <c r="L692" s="806">
        <v>2</v>
      </c>
      <c r="M692" s="806">
        <v>8</v>
      </c>
      <c r="N692" s="807">
        <v>41491</v>
      </c>
    </row>
    <row r="693" spans="1:14">
      <c r="A693" s="804" t="s">
        <v>1599</v>
      </c>
      <c r="B693" s="583">
        <v>25</v>
      </c>
      <c r="C693" s="243">
        <v>41478</v>
      </c>
      <c r="D693" s="243">
        <v>41478</v>
      </c>
      <c r="E693" s="584" t="s">
        <v>206</v>
      </c>
      <c r="F693" s="589" t="s">
        <v>1392</v>
      </c>
      <c r="G693" s="805" t="s">
        <v>996</v>
      </c>
      <c r="H693" s="589">
        <v>154</v>
      </c>
      <c r="I693" s="583">
        <v>154</v>
      </c>
      <c r="J693" s="589"/>
      <c r="K693" s="637" t="s">
        <v>1071</v>
      </c>
      <c r="L693" s="806">
        <v>6</v>
      </c>
      <c r="M693" s="806">
        <v>42</v>
      </c>
      <c r="N693" s="807">
        <v>41491</v>
      </c>
    </row>
    <row r="694" spans="1:14">
      <c r="A694" s="804" t="s">
        <v>1599</v>
      </c>
      <c r="B694" s="583">
        <v>25</v>
      </c>
      <c r="C694" s="243">
        <v>41478</v>
      </c>
      <c r="D694" s="243">
        <v>41478</v>
      </c>
      <c r="E694" s="589" t="s">
        <v>185</v>
      </c>
      <c r="F694" s="589" t="s">
        <v>1392</v>
      </c>
      <c r="G694" s="589" t="s">
        <v>1483</v>
      </c>
      <c r="H694" s="589">
        <v>6</v>
      </c>
      <c r="I694" s="583">
        <v>6</v>
      </c>
      <c r="J694" s="589" t="s">
        <v>1419</v>
      </c>
      <c r="K694" s="589" t="s">
        <v>1071</v>
      </c>
      <c r="L694" s="806">
        <v>2</v>
      </c>
      <c r="M694" s="806">
        <v>8</v>
      </c>
      <c r="N694" s="807">
        <v>41480</v>
      </c>
    </row>
    <row r="695" spans="1:14">
      <c r="A695" s="804" t="s">
        <v>1599</v>
      </c>
      <c r="B695" s="583">
        <v>25</v>
      </c>
      <c r="C695" s="243">
        <v>41478</v>
      </c>
      <c r="D695" s="243">
        <v>41478</v>
      </c>
      <c r="E695" s="589" t="s">
        <v>245</v>
      </c>
      <c r="F695" s="589" t="s">
        <v>1392</v>
      </c>
      <c r="G695" s="589" t="s">
        <v>991</v>
      </c>
      <c r="H695" s="589">
        <v>22</v>
      </c>
      <c r="I695" s="583">
        <v>22</v>
      </c>
      <c r="J695" s="589" t="s">
        <v>1419</v>
      </c>
      <c r="K695" s="637" t="s">
        <v>1071</v>
      </c>
      <c r="L695" s="809">
        <v>5</v>
      </c>
      <c r="M695" s="809">
        <v>35</v>
      </c>
      <c r="N695" s="807">
        <v>41485</v>
      </c>
    </row>
    <row r="696" spans="1:14">
      <c r="A696" s="804" t="s">
        <v>1599</v>
      </c>
      <c r="B696" s="583">
        <v>25</v>
      </c>
      <c r="C696" s="243">
        <v>41478</v>
      </c>
      <c r="D696" s="243">
        <v>41478</v>
      </c>
      <c r="E696" s="589" t="s">
        <v>179</v>
      </c>
      <c r="F696" s="589" t="s">
        <v>1392</v>
      </c>
      <c r="G696" s="805" t="s">
        <v>1000</v>
      </c>
      <c r="H696" s="589">
        <v>12</v>
      </c>
      <c r="I696" s="583">
        <v>12</v>
      </c>
      <c r="J696" s="589"/>
      <c r="K696" s="589" t="s">
        <v>1071</v>
      </c>
      <c r="L696" s="806">
        <v>2</v>
      </c>
      <c r="M696" s="806">
        <v>8</v>
      </c>
      <c r="N696" s="807">
        <v>41491</v>
      </c>
    </row>
    <row r="697" spans="1:14">
      <c r="A697" s="804" t="s">
        <v>1600</v>
      </c>
      <c r="B697" s="583">
        <v>35</v>
      </c>
      <c r="C697" s="243">
        <v>41478</v>
      </c>
      <c r="D697" s="243">
        <v>41478</v>
      </c>
      <c r="E697" s="584" t="s">
        <v>206</v>
      </c>
      <c r="F697" s="589" t="s">
        <v>1392</v>
      </c>
      <c r="G697" s="805" t="s">
        <v>996</v>
      </c>
      <c r="H697" s="589">
        <v>414</v>
      </c>
      <c r="I697" s="583">
        <v>414</v>
      </c>
      <c r="J697" s="589"/>
      <c r="K697" s="637" t="s">
        <v>1071</v>
      </c>
      <c r="L697" s="806">
        <v>6</v>
      </c>
      <c r="M697" s="806">
        <v>42</v>
      </c>
      <c r="N697" s="807">
        <v>41491</v>
      </c>
    </row>
    <row r="698" spans="1:14">
      <c r="A698" s="804" t="s">
        <v>1600</v>
      </c>
      <c r="B698" s="583">
        <v>35</v>
      </c>
      <c r="C698" s="243">
        <v>41478</v>
      </c>
      <c r="D698" s="243">
        <v>41478</v>
      </c>
      <c r="E698" s="589" t="s">
        <v>185</v>
      </c>
      <c r="F698" s="589" t="s">
        <v>1392</v>
      </c>
      <c r="G698" s="589" t="s">
        <v>1483</v>
      </c>
      <c r="H698" s="589">
        <v>236</v>
      </c>
      <c r="I698" s="583">
        <v>236</v>
      </c>
      <c r="J698" s="589"/>
      <c r="K698" s="589" t="s">
        <v>1071</v>
      </c>
      <c r="L698" s="806">
        <v>2</v>
      </c>
      <c r="M698" s="806">
        <v>8</v>
      </c>
      <c r="N698" s="807">
        <v>41480</v>
      </c>
    </row>
    <row r="699" spans="1:14">
      <c r="A699" s="804" t="s">
        <v>1600</v>
      </c>
      <c r="B699" s="583">
        <v>35</v>
      </c>
      <c r="C699" s="243">
        <v>41478</v>
      </c>
      <c r="D699" s="243">
        <v>41478</v>
      </c>
      <c r="E699" s="589" t="s">
        <v>245</v>
      </c>
      <c r="F699" s="589" t="s">
        <v>1392</v>
      </c>
      <c r="G699" s="589" t="s">
        <v>991</v>
      </c>
      <c r="H699" s="589">
        <v>15</v>
      </c>
      <c r="I699" s="583">
        <v>15</v>
      </c>
      <c r="J699" s="589" t="s">
        <v>1419</v>
      </c>
      <c r="K699" s="637" t="s">
        <v>1071</v>
      </c>
      <c r="L699" s="809">
        <v>5</v>
      </c>
      <c r="M699" s="809">
        <v>35</v>
      </c>
      <c r="N699" s="807">
        <v>41485</v>
      </c>
    </row>
    <row r="700" spans="1:14">
      <c r="A700" s="804" t="s">
        <v>1600</v>
      </c>
      <c r="B700" s="583">
        <v>35</v>
      </c>
      <c r="C700" s="243">
        <v>41478</v>
      </c>
      <c r="D700" s="243">
        <v>41478</v>
      </c>
      <c r="E700" s="589" t="s">
        <v>179</v>
      </c>
      <c r="F700" s="589" t="s">
        <v>1392</v>
      </c>
      <c r="G700" s="805" t="s">
        <v>1000</v>
      </c>
      <c r="H700" s="589">
        <v>15</v>
      </c>
      <c r="I700" s="583">
        <v>15</v>
      </c>
      <c r="J700" s="589"/>
      <c r="K700" s="589" t="s">
        <v>1071</v>
      </c>
      <c r="L700" s="806">
        <v>2</v>
      </c>
      <c r="M700" s="806">
        <v>8</v>
      </c>
      <c r="N700" s="807">
        <v>41491</v>
      </c>
    </row>
    <row r="701" spans="1:14">
      <c r="A701" s="804" t="s">
        <v>1601</v>
      </c>
      <c r="B701" s="583">
        <v>50</v>
      </c>
      <c r="C701" s="243">
        <v>41478</v>
      </c>
      <c r="D701" s="243">
        <v>41478</v>
      </c>
      <c r="E701" s="584" t="s">
        <v>206</v>
      </c>
      <c r="F701" s="589" t="s">
        <v>1392</v>
      </c>
      <c r="G701" s="805" t="s">
        <v>996</v>
      </c>
      <c r="H701" s="589">
        <v>758</v>
      </c>
      <c r="I701" s="583">
        <v>758</v>
      </c>
      <c r="J701" s="589"/>
      <c r="K701" s="637" t="s">
        <v>1071</v>
      </c>
      <c r="L701" s="806">
        <v>6</v>
      </c>
      <c r="M701" s="806">
        <v>42</v>
      </c>
      <c r="N701" s="807">
        <v>41491</v>
      </c>
    </row>
    <row r="702" spans="1:14">
      <c r="A702" s="804" t="s">
        <v>1601</v>
      </c>
      <c r="B702" s="583">
        <v>50</v>
      </c>
      <c r="C702" s="243">
        <v>41478</v>
      </c>
      <c r="D702" s="243">
        <v>41478</v>
      </c>
      <c r="E702" s="589" t="s">
        <v>185</v>
      </c>
      <c r="F702" s="589" t="s">
        <v>1392</v>
      </c>
      <c r="G702" s="589" t="s">
        <v>1483</v>
      </c>
      <c r="H702" s="589">
        <v>309</v>
      </c>
      <c r="I702" s="583">
        <v>309</v>
      </c>
      <c r="J702" s="589"/>
      <c r="K702" s="589" t="s">
        <v>1071</v>
      </c>
      <c r="L702" s="806">
        <v>2</v>
      </c>
      <c r="M702" s="806">
        <v>8</v>
      </c>
      <c r="N702" s="807">
        <v>41480</v>
      </c>
    </row>
    <row r="703" spans="1:14">
      <c r="A703" s="804" t="s">
        <v>1601</v>
      </c>
      <c r="B703" s="583">
        <v>50</v>
      </c>
      <c r="C703" s="243">
        <v>41478</v>
      </c>
      <c r="D703" s="243">
        <v>41478</v>
      </c>
      <c r="E703" s="589" t="s">
        <v>245</v>
      </c>
      <c r="F703" s="589" t="s">
        <v>1392</v>
      </c>
      <c r="G703" s="589" t="s">
        <v>991</v>
      </c>
      <c r="H703" s="589">
        <v>21</v>
      </c>
      <c r="I703" s="583">
        <v>21</v>
      </c>
      <c r="J703" s="589" t="s">
        <v>1419</v>
      </c>
      <c r="K703" s="637" t="s">
        <v>1071</v>
      </c>
      <c r="L703" s="809">
        <v>5</v>
      </c>
      <c r="M703" s="809">
        <v>35</v>
      </c>
      <c r="N703" s="807">
        <v>41485</v>
      </c>
    </row>
    <row r="704" spans="1:14">
      <c r="A704" s="804" t="s">
        <v>1601</v>
      </c>
      <c r="B704" s="583">
        <v>50</v>
      </c>
      <c r="C704" s="243">
        <v>41478</v>
      </c>
      <c r="D704" s="243">
        <v>41478</v>
      </c>
      <c r="E704" s="589" t="s">
        <v>179</v>
      </c>
      <c r="F704" s="589" t="s">
        <v>1392</v>
      </c>
      <c r="G704" s="805" t="s">
        <v>1000</v>
      </c>
      <c r="H704" s="589">
        <v>36</v>
      </c>
      <c r="I704" s="583">
        <v>36</v>
      </c>
      <c r="J704" s="589"/>
      <c r="K704" s="589" t="s">
        <v>1071</v>
      </c>
      <c r="L704" s="806">
        <v>2</v>
      </c>
      <c r="M704" s="806">
        <v>8</v>
      </c>
      <c r="N704" s="807">
        <v>41491</v>
      </c>
    </row>
    <row r="706" spans="1:14">
      <c r="A706" s="804" t="s">
        <v>1602</v>
      </c>
      <c r="B706" s="583">
        <v>36</v>
      </c>
      <c r="C706" s="243">
        <v>41479</v>
      </c>
      <c r="D706" s="243">
        <v>41479</v>
      </c>
      <c r="E706" s="584" t="s">
        <v>206</v>
      </c>
      <c r="F706" s="589" t="s">
        <v>1392</v>
      </c>
      <c r="G706" s="805" t="s">
        <v>996</v>
      </c>
      <c r="H706" s="589">
        <v>260</v>
      </c>
      <c r="I706" s="583">
        <v>260</v>
      </c>
      <c r="J706" s="589"/>
      <c r="K706" s="637" t="s">
        <v>1071</v>
      </c>
      <c r="L706" s="806">
        <v>6</v>
      </c>
      <c r="M706" s="806">
        <v>42</v>
      </c>
      <c r="N706" s="807">
        <v>41487</v>
      </c>
    </row>
    <row r="707" spans="1:14">
      <c r="A707" s="688" t="s">
        <v>1602</v>
      </c>
      <c r="B707" s="583">
        <v>36</v>
      </c>
      <c r="C707" s="243">
        <v>41479</v>
      </c>
      <c r="D707" s="243">
        <v>41479</v>
      </c>
      <c r="E707" s="589" t="s">
        <v>185</v>
      </c>
      <c r="F707" s="589" t="s">
        <v>1392</v>
      </c>
      <c r="G707" s="589" t="s">
        <v>1483</v>
      </c>
      <c r="H707" s="589">
        <v>75</v>
      </c>
      <c r="I707" s="583">
        <v>75</v>
      </c>
      <c r="J707" s="589"/>
      <c r="K707" s="589" t="s">
        <v>1071</v>
      </c>
      <c r="L707" s="806">
        <v>2</v>
      </c>
      <c r="M707" s="806">
        <v>8</v>
      </c>
      <c r="N707" s="807">
        <v>41480</v>
      </c>
    </row>
    <row r="708" spans="1:14">
      <c r="A708" s="688" t="s">
        <v>1602</v>
      </c>
      <c r="B708" s="583">
        <v>36</v>
      </c>
      <c r="C708" s="243">
        <v>41479</v>
      </c>
      <c r="D708" s="243">
        <v>41479</v>
      </c>
      <c r="E708" s="589" t="s">
        <v>245</v>
      </c>
      <c r="F708" s="589" t="s">
        <v>1392</v>
      </c>
      <c r="G708" s="589" t="s">
        <v>991</v>
      </c>
      <c r="H708" s="589">
        <v>9</v>
      </c>
      <c r="I708" s="808" t="s">
        <v>1603</v>
      </c>
      <c r="J708" s="589" t="s">
        <v>1419</v>
      </c>
      <c r="K708" s="637" t="s">
        <v>1071</v>
      </c>
      <c r="L708" s="809">
        <v>5</v>
      </c>
      <c r="M708" s="809">
        <v>35</v>
      </c>
      <c r="N708" s="807">
        <v>41485</v>
      </c>
    </row>
    <row r="709" spans="1:14">
      <c r="A709" s="688" t="s">
        <v>1602</v>
      </c>
      <c r="B709" s="583">
        <v>36</v>
      </c>
      <c r="C709" s="243">
        <v>41479</v>
      </c>
      <c r="D709" s="243">
        <v>41479</v>
      </c>
      <c r="E709" s="589" t="s">
        <v>179</v>
      </c>
      <c r="F709" s="589" t="s">
        <v>1392</v>
      </c>
      <c r="G709" s="805" t="s">
        <v>1000</v>
      </c>
      <c r="H709" s="589"/>
      <c r="I709" s="583"/>
      <c r="J709" s="589" t="s">
        <v>1395</v>
      </c>
      <c r="K709" s="589" t="s">
        <v>1071</v>
      </c>
      <c r="L709" s="806">
        <v>2</v>
      </c>
      <c r="M709" s="806">
        <v>8</v>
      </c>
      <c r="N709" s="807">
        <v>41487</v>
      </c>
    </row>
    <row r="710" spans="1:14">
      <c r="A710" s="804" t="s">
        <v>1604</v>
      </c>
      <c r="B710" s="583">
        <v>37</v>
      </c>
      <c r="C710" s="243">
        <v>41479</v>
      </c>
      <c r="D710" s="243">
        <v>41479</v>
      </c>
      <c r="E710" s="584" t="s">
        <v>206</v>
      </c>
      <c r="F710" s="589" t="s">
        <v>1392</v>
      </c>
      <c r="G710" s="805" t="s">
        <v>996</v>
      </c>
      <c r="H710" s="589">
        <v>327</v>
      </c>
      <c r="I710" s="583">
        <v>327</v>
      </c>
      <c r="J710" s="589"/>
      <c r="K710" s="637" t="s">
        <v>1071</v>
      </c>
      <c r="L710" s="806">
        <v>6</v>
      </c>
      <c r="M710" s="806">
        <v>42</v>
      </c>
      <c r="N710" s="807">
        <v>41487</v>
      </c>
    </row>
    <row r="711" spans="1:14">
      <c r="A711" s="688" t="s">
        <v>1604</v>
      </c>
      <c r="B711" s="583">
        <v>37</v>
      </c>
      <c r="C711" s="243">
        <v>41479</v>
      </c>
      <c r="D711" s="243">
        <v>41479</v>
      </c>
      <c r="E711" s="589" t="s">
        <v>185</v>
      </c>
      <c r="F711" s="589" t="s">
        <v>1392</v>
      </c>
      <c r="G711" s="589" t="s">
        <v>1483</v>
      </c>
      <c r="H711" s="589">
        <v>101</v>
      </c>
      <c r="I711" s="583">
        <v>101</v>
      </c>
      <c r="J711" s="589"/>
      <c r="K711" s="589" t="s">
        <v>1071</v>
      </c>
      <c r="L711" s="806">
        <v>2</v>
      </c>
      <c r="M711" s="806">
        <v>8</v>
      </c>
      <c r="N711" s="807">
        <v>41480</v>
      </c>
    </row>
    <row r="712" spans="1:14">
      <c r="A712" s="688" t="s">
        <v>1604</v>
      </c>
      <c r="B712" s="583">
        <v>37</v>
      </c>
      <c r="C712" s="243">
        <v>41479</v>
      </c>
      <c r="D712" s="243">
        <v>41479</v>
      </c>
      <c r="E712" s="589" t="s">
        <v>245</v>
      </c>
      <c r="F712" s="589" t="s">
        <v>1392</v>
      </c>
      <c r="G712" s="589" t="s">
        <v>991</v>
      </c>
      <c r="H712" s="589">
        <v>32</v>
      </c>
      <c r="I712" s="808" t="s">
        <v>1546</v>
      </c>
      <c r="J712" s="589" t="s">
        <v>1419</v>
      </c>
      <c r="K712" s="637" t="s">
        <v>1071</v>
      </c>
      <c r="L712" s="809">
        <v>5</v>
      </c>
      <c r="M712" s="809">
        <v>35</v>
      </c>
      <c r="N712" s="807">
        <v>41485</v>
      </c>
    </row>
    <row r="713" spans="1:14">
      <c r="A713" s="688" t="s">
        <v>1604</v>
      </c>
      <c r="B713" s="583">
        <v>37</v>
      </c>
      <c r="C713" s="243">
        <v>41479</v>
      </c>
      <c r="D713" s="243">
        <v>41479</v>
      </c>
      <c r="E713" s="589" t="s">
        <v>179</v>
      </c>
      <c r="F713" s="589" t="s">
        <v>1392</v>
      </c>
      <c r="G713" s="805" t="s">
        <v>1000</v>
      </c>
      <c r="H713" s="589"/>
      <c r="I713" s="583"/>
      <c r="J713" s="589" t="s">
        <v>1395</v>
      </c>
      <c r="K713" s="589" t="s">
        <v>1071</v>
      </c>
      <c r="L713" s="806">
        <v>2</v>
      </c>
      <c r="M713" s="806">
        <v>8</v>
      </c>
      <c r="N713" s="807">
        <v>41487</v>
      </c>
    </row>
    <row r="714" spans="1:14">
      <c r="A714" s="589" t="s">
        <v>1605</v>
      </c>
      <c r="B714" s="583">
        <v>63</v>
      </c>
      <c r="C714" s="243">
        <v>41479</v>
      </c>
      <c r="D714" s="243">
        <v>41479</v>
      </c>
      <c r="E714" s="584" t="s">
        <v>206</v>
      </c>
      <c r="F714" s="589" t="s">
        <v>1392</v>
      </c>
      <c r="G714" s="805" t="s">
        <v>996</v>
      </c>
      <c r="H714" s="589">
        <v>3108</v>
      </c>
      <c r="I714" s="583">
        <v>3108</v>
      </c>
      <c r="J714" s="589"/>
      <c r="K714" s="637" t="s">
        <v>1071</v>
      </c>
      <c r="L714" s="806">
        <v>6</v>
      </c>
      <c r="M714" s="806">
        <v>42</v>
      </c>
      <c r="N714" s="807">
        <v>41487</v>
      </c>
    </row>
    <row r="715" spans="1:14">
      <c r="A715" s="804" t="s">
        <v>1605</v>
      </c>
      <c r="B715" s="583">
        <v>63</v>
      </c>
      <c r="C715" s="243">
        <v>41479</v>
      </c>
      <c r="D715" s="243">
        <v>41479</v>
      </c>
      <c r="E715" s="589" t="s">
        <v>185</v>
      </c>
      <c r="F715" s="589" t="s">
        <v>1392</v>
      </c>
      <c r="G715" s="589" t="s">
        <v>1483</v>
      </c>
      <c r="H715" s="589">
        <v>3</v>
      </c>
      <c r="I715" s="583">
        <v>3</v>
      </c>
      <c r="J715" s="589" t="s">
        <v>1419</v>
      </c>
      <c r="K715" s="589" t="s">
        <v>1071</v>
      </c>
      <c r="L715" s="806">
        <v>2</v>
      </c>
      <c r="M715" s="806">
        <v>8</v>
      </c>
      <c r="N715" s="807">
        <v>41480</v>
      </c>
    </row>
    <row r="716" spans="1:14">
      <c r="A716" s="804" t="s">
        <v>1605</v>
      </c>
      <c r="B716" s="583">
        <v>63</v>
      </c>
      <c r="C716" s="243">
        <v>41479</v>
      </c>
      <c r="D716" s="243">
        <v>41479</v>
      </c>
      <c r="E716" s="589" t="s">
        <v>245</v>
      </c>
      <c r="F716" s="589" t="s">
        <v>1392</v>
      </c>
      <c r="G716" s="589" t="s">
        <v>991</v>
      </c>
      <c r="H716" s="589">
        <v>42</v>
      </c>
      <c r="I716" s="808" t="s">
        <v>1606</v>
      </c>
      <c r="J716" s="589"/>
      <c r="K716" s="637" t="s">
        <v>1071</v>
      </c>
      <c r="L716" s="809">
        <v>5</v>
      </c>
      <c r="M716" s="809">
        <v>35</v>
      </c>
      <c r="N716" s="807">
        <v>41485</v>
      </c>
    </row>
    <row r="717" spans="1:14">
      <c r="A717" s="804" t="s">
        <v>1605</v>
      </c>
      <c r="B717" s="583">
        <v>63</v>
      </c>
      <c r="C717" s="243">
        <v>41479</v>
      </c>
      <c r="D717" s="243">
        <v>41479</v>
      </c>
      <c r="E717" s="589" t="s">
        <v>179</v>
      </c>
      <c r="F717" s="589" t="s">
        <v>1392</v>
      </c>
      <c r="G717" s="805" t="s">
        <v>1000</v>
      </c>
      <c r="H717" s="589">
        <v>1798</v>
      </c>
      <c r="I717" s="583">
        <v>1798</v>
      </c>
      <c r="J717" s="589"/>
      <c r="K717" s="589" t="s">
        <v>1071</v>
      </c>
      <c r="L717" s="806">
        <v>2</v>
      </c>
      <c r="M717" s="806">
        <v>8</v>
      </c>
      <c r="N717" s="807">
        <v>41487</v>
      </c>
    </row>
    <row r="718" spans="1:14">
      <c r="A718" s="804" t="s">
        <v>1607</v>
      </c>
      <c r="B718" s="585">
        <v>65</v>
      </c>
      <c r="C718" s="243">
        <v>41479</v>
      </c>
      <c r="D718" s="243">
        <v>41479</v>
      </c>
      <c r="E718" s="584" t="s">
        <v>206</v>
      </c>
      <c r="F718" s="589" t="s">
        <v>1392</v>
      </c>
      <c r="G718" s="805" t="s">
        <v>996</v>
      </c>
      <c r="H718" s="589">
        <v>517</v>
      </c>
      <c r="I718" s="583">
        <v>517</v>
      </c>
      <c r="J718" s="589"/>
      <c r="K718" s="637" t="s">
        <v>1071</v>
      </c>
      <c r="L718" s="806">
        <v>6</v>
      </c>
      <c r="M718" s="806">
        <v>42</v>
      </c>
      <c r="N718" s="807">
        <v>41487</v>
      </c>
    </row>
    <row r="719" spans="1:14">
      <c r="A719" s="589" t="s">
        <v>1607</v>
      </c>
      <c r="B719" s="585">
        <v>65</v>
      </c>
      <c r="C719" s="243">
        <v>41479</v>
      </c>
      <c r="D719" s="243">
        <v>41479</v>
      </c>
      <c r="E719" s="589" t="s">
        <v>185</v>
      </c>
      <c r="F719" s="589" t="s">
        <v>1392</v>
      </c>
      <c r="G719" s="589" t="s">
        <v>1483</v>
      </c>
      <c r="H719" s="589">
        <v>76</v>
      </c>
      <c r="I719" s="583">
        <v>76</v>
      </c>
      <c r="J719" s="589"/>
      <c r="K719" s="589" t="s">
        <v>1071</v>
      </c>
      <c r="L719" s="806">
        <v>2</v>
      </c>
      <c r="M719" s="806">
        <v>8</v>
      </c>
      <c r="N719" s="807">
        <v>41480</v>
      </c>
    </row>
    <row r="720" spans="1:14">
      <c r="A720" s="589" t="s">
        <v>1607</v>
      </c>
      <c r="B720" s="585">
        <v>65</v>
      </c>
      <c r="C720" s="243">
        <v>41479</v>
      </c>
      <c r="D720" s="243">
        <v>41479</v>
      </c>
      <c r="E720" s="589" t="s">
        <v>245</v>
      </c>
      <c r="F720" s="589" t="s">
        <v>1392</v>
      </c>
      <c r="G720" s="589" t="s">
        <v>991</v>
      </c>
      <c r="H720" s="589">
        <v>25</v>
      </c>
      <c r="I720" s="808" t="s">
        <v>1460</v>
      </c>
      <c r="J720" s="589" t="s">
        <v>1419</v>
      </c>
      <c r="K720" s="637" t="s">
        <v>1071</v>
      </c>
      <c r="L720" s="809">
        <v>5</v>
      </c>
      <c r="M720" s="809">
        <v>35</v>
      </c>
      <c r="N720" s="807">
        <v>41485</v>
      </c>
    </row>
    <row r="721" spans="1:14">
      <c r="A721" s="589" t="s">
        <v>1607</v>
      </c>
      <c r="B721" s="585">
        <v>65</v>
      </c>
      <c r="C721" s="243">
        <v>41479</v>
      </c>
      <c r="D721" s="243">
        <v>41479</v>
      </c>
      <c r="E721" s="589" t="s">
        <v>179</v>
      </c>
      <c r="F721" s="589" t="s">
        <v>1392</v>
      </c>
      <c r="G721" s="805" t="s">
        <v>1000</v>
      </c>
      <c r="H721" s="589"/>
      <c r="I721" s="583"/>
      <c r="J721" s="589" t="s">
        <v>1395</v>
      </c>
      <c r="K721" s="589" t="s">
        <v>1071</v>
      </c>
      <c r="L721" s="806">
        <v>2</v>
      </c>
      <c r="M721" s="806">
        <v>8</v>
      </c>
      <c r="N721" s="807">
        <v>41487</v>
      </c>
    </row>
    <row r="723" spans="1:14">
      <c r="A723" s="804" t="s">
        <v>1608</v>
      </c>
      <c r="B723" s="583" t="s">
        <v>1095</v>
      </c>
      <c r="C723" s="243">
        <v>41463</v>
      </c>
      <c r="D723" s="243">
        <v>41463</v>
      </c>
      <c r="E723" s="584" t="s">
        <v>206</v>
      </c>
      <c r="F723" s="589" t="s">
        <v>1392</v>
      </c>
      <c r="G723" s="805" t="s">
        <v>996</v>
      </c>
      <c r="H723" s="589">
        <v>896</v>
      </c>
      <c r="I723" s="583">
        <v>896</v>
      </c>
      <c r="J723" s="589"/>
      <c r="K723" s="637" t="s">
        <v>1071</v>
      </c>
      <c r="L723" s="806">
        <v>6</v>
      </c>
      <c r="M723" s="806">
        <v>42</v>
      </c>
      <c r="N723" s="807">
        <v>41484</v>
      </c>
    </row>
    <row r="724" spans="1:14">
      <c r="A724" s="688" t="s">
        <v>1608</v>
      </c>
      <c r="B724" s="583" t="s">
        <v>1095</v>
      </c>
      <c r="C724" s="243">
        <v>41463</v>
      </c>
      <c r="D724" s="243">
        <v>41463</v>
      </c>
      <c r="E724" s="589" t="s">
        <v>185</v>
      </c>
      <c r="F724" s="589" t="s">
        <v>1392</v>
      </c>
      <c r="G724" s="589" t="s">
        <v>1483</v>
      </c>
      <c r="H724" s="589">
        <v>673</v>
      </c>
      <c r="I724" s="583">
        <v>673</v>
      </c>
      <c r="J724" s="589"/>
      <c r="K724" s="589" t="s">
        <v>1071</v>
      </c>
      <c r="L724" s="806">
        <v>2</v>
      </c>
      <c r="M724" s="806">
        <v>8</v>
      </c>
      <c r="N724" s="807">
        <v>41466</v>
      </c>
    </row>
    <row r="725" spans="1:14">
      <c r="A725" s="688" t="s">
        <v>1608</v>
      </c>
      <c r="B725" s="583" t="s">
        <v>1095</v>
      </c>
      <c r="C725" s="243">
        <v>41463</v>
      </c>
      <c r="D725" s="243">
        <v>41463</v>
      </c>
      <c r="E725" s="589" t="s">
        <v>245</v>
      </c>
      <c r="F725" s="589" t="s">
        <v>1392</v>
      </c>
      <c r="G725" s="589" t="s">
        <v>991</v>
      </c>
      <c r="H725" s="589">
        <v>36</v>
      </c>
      <c r="I725" s="808" t="s">
        <v>1406</v>
      </c>
      <c r="J725" s="589"/>
      <c r="K725" s="637" t="s">
        <v>1071</v>
      </c>
      <c r="L725" s="809">
        <v>5</v>
      </c>
      <c r="M725" s="809">
        <v>35</v>
      </c>
      <c r="N725" s="807">
        <v>41473</v>
      </c>
    </row>
    <row r="726" spans="1:14">
      <c r="A726" s="688" t="s">
        <v>1608</v>
      </c>
      <c r="B726" s="583" t="s">
        <v>1095</v>
      </c>
      <c r="C726" s="243">
        <v>41463</v>
      </c>
      <c r="D726" s="243">
        <v>41463</v>
      </c>
      <c r="E726" s="589" t="s">
        <v>179</v>
      </c>
      <c r="F726" s="589" t="s">
        <v>1392</v>
      </c>
      <c r="G726" s="805" t="s">
        <v>1000</v>
      </c>
      <c r="H726" s="589">
        <v>10</v>
      </c>
      <c r="I726" s="583">
        <v>10</v>
      </c>
      <c r="J726" s="589"/>
      <c r="K726" s="589" t="s">
        <v>1071</v>
      </c>
      <c r="L726" s="806">
        <v>2</v>
      </c>
      <c r="M726" s="806">
        <v>8</v>
      </c>
      <c r="N726" s="807">
        <v>41471</v>
      </c>
    </row>
    <row r="727" spans="1:14">
      <c r="A727" s="589" t="s">
        <v>1608</v>
      </c>
      <c r="B727" s="583" t="s">
        <v>1095</v>
      </c>
      <c r="C727" s="243">
        <v>41463</v>
      </c>
      <c r="D727" s="243">
        <v>41463</v>
      </c>
      <c r="E727" s="590" t="s">
        <v>180</v>
      </c>
      <c r="F727" s="589" t="s">
        <v>1392</v>
      </c>
      <c r="G727" s="805" t="s">
        <v>1000</v>
      </c>
      <c r="H727" s="591">
        <v>11</v>
      </c>
      <c r="I727" s="590">
        <v>11</v>
      </c>
      <c r="J727" s="637"/>
      <c r="K727" s="589" t="s">
        <v>1071</v>
      </c>
      <c r="L727" s="810">
        <v>2</v>
      </c>
      <c r="M727" s="810">
        <v>8</v>
      </c>
      <c r="N727" s="807">
        <v>41471</v>
      </c>
    </row>
    <row r="728" spans="1:14">
      <c r="A728" s="688" t="s">
        <v>1608</v>
      </c>
      <c r="B728" s="583" t="s">
        <v>1095</v>
      </c>
      <c r="C728" s="243">
        <v>41463</v>
      </c>
      <c r="D728" s="243">
        <v>41463</v>
      </c>
      <c r="E728" s="589" t="s">
        <v>184</v>
      </c>
      <c r="F728" s="589" t="s">
        <v>1392</v>
      </c>
      <c r="G728" s="589" t="s">
        <v>1471</v>
      </c>
      <c r="H728" s="592">
        <v>7.4</v>
      </c>
      <c r="I728" s="811">
        <v>7.4</v>
      </c>
      <c r="J728" s="589"/>
      <c r="K728" s="589" t="s">
        <v>1096</v>
      </c>
      <c r="L728" s="806">
        <v>4</v>
      </c>
      <c r="M728" s="806"/>
      <c r="N728" s="807">
        <v>41465</v>
      </c>
    </row>
    <row r="729" spans="1:14">
      <c r="A729" s="804" t="s">
        <v>1609</v>
      </c>
      <c r="B729" s="583" t="s">
        <v>1097</v>
      </c>
      <c r="C729" s="243">
        <v>41463</v>
      </c>
      <c r="D729" s="243">
        <v>41463</v>
      </c>
      <c r="E729" s="584" t="s">
        <v>206</v>
      </c>
      <c r="F729" s="589" t="s">
        <v>1392</v>
      </c>
      <c r="G729" s="805" t="s">
        <v>996</v>
      </c>
      <c r="H729" s="589">
        <v>1118</v>
      </c>
      <c r="I729" s="583">
        <v>1118</v>
      </c>
      <c r="J729" s="589"/>
      <c r="K729" s="637" t="s">
        <v>1071</v>
      </c>
      <c r="L729" s="806">
        <v>6</v>
      </c>
      <c r="M729" s="806">
        <v>42</v>
      </c>
      <c r="N729" s="807">
        <v>41484</v>
      </c>
    </row>
    <row r="730" spans="1:14">
      <c r="A730" s="688" t="s">
        <v>1609</v>
      </c>
      <c r="B730" s="583" t="s">
        <v>1097</v>
      </c>
      <c r="C730" s="243">
        <v>41463</v>
      </c>
      <c r="D730" s="243">
        <v>41463</v>
      </c>
      <c r="E730" s="589" t="s">
        <v>185</v>
      </c>
      <c r="F730" s="589" t="s">
        <v>1392</v>
      </c>
      <c r="G730" s="589" t="s">
        <v>1483</v>
      </c>
      <c r="H730" s="589">
        <v>342</v>
      </c>
      <c r="I730" s="583">
        <v>342</v>
      </c>
      <c r="J730" s="589"/>
      <c r="K730" s="589" t="s">
        <v>1071</v>
      </c>
      <c r="L730" s="806">
        <v>2</v>
      </c>
      <c r="M730" s="806">
        <v>8</v>
      </c>
      <c r="N730" s="807">
        <v>41466</v>
      </c>
    </row>
    <row r="731" spans="1:14">
      <c r="A731" s="688" t="s">
        <v>1609</v>
      </c>
      <c r="B731" s="583" t="s">
        <v>1097</v>
      </c>
      <c r="C731" s="243">
        <v>41463</v>
      </c>
      <c r="D731" s="243">
        <v>41463</v>
      </c>
      <c r="E731" s="589" t="s">
        <v>245</v>
      </c>
      <c r="F731" s="589" t="s">
        <v>1392</v>
      </c>
      <c r="G731" s="589" t="s">
        <v>991</v>
      </c>
      <c r="H731" s="589">
        <v>602</v>
      </c>
      <c r="I731" s="808" t="s">
        <v>1610</v>
      </c>
      <c r="J731" s="688"/>
      <c r="K731" s="637" t="s">
        <v>1071</v>
      </c>
      <c r="L731" s="809">
        <v>5</v>
      </c>
      <c r="M731" s="809">
        <v>35</v>
      </c>
      <c r="N731" s="807">
        <v>41473</v>
      </c>
    </row>
    <row r="732" spans="1:14">
      <c r="A732" s="688" t="s">
        <v>1609</v>
      </c>
      <c r="B732" s="583" t="s">
        <v>1097</v>
      </c>
      <c r="C732" s="243">
        <v>41463</v>
      </c>
      <c r="D732" s="243">
        <v>41463</v>
      </c>
      <c r="E732" s="589" t="s">
        <v>179</v>
      </c>
      <c r="F732" s="589" t="s">
        <v>1392</v>
      </c>
      <c r="G732" s="805" t="s">
        <v>1000</v>
      </c>
      <c r="H732" s="589">
        <v>68</v>
      </c>
      <c r="I732" s="583">
        <v>68</v>
      </c>
      <c r="J732" s="589"/>
      <c r="K732" s="589" t="s">
        <v>1071</v>
      </c>
      <c r="L732" s="806">
        <v>2</v>
      </c>
      <c r="M732" s="806">
        <v>8</v>
      </c>
      <c r="N732" s="807">
        <v>41471</v>
      </c>
    </row>
    <row r="733" spans="1:14">
      <c r="A733" s="589" t="s">
        <v>1609</v>
      </c>
      <c r="B733" s="583" t="s">
        <v>1097</v>
      </c>
      <c r="C733" s="243">
        <v>41463</v>
      </c>
      <c r="D733" s="243">
        <v>41463</v>
      </c>
      <c r="E733" s="590" t="s">
        <v>180</v>
      </c>
      <c r="F733" s="589" t="s">
        <v>1392</v>
      </c>
      <c r="G733" s="805" t="s">
        <v>1000</v>
      </c>
      <c r="H733" s="591">
        <v>6</v>
      </c>
      <c r="I733" s="590">
        <v>6</v>
      </c>
      <c r="J733" s="637" t="s">
        <v>1419</v>
      </c>
      <c r="K733" s="589" t="s">
        <v>1071</v>
      </c>
      <c r="L733" s="810">
        <v>2</v>
      </c>
      <c r="M733" s="810">
        <v>8</v>
      </c>
      <c r="N733" s="807">
        <v>41471</v>
      </c>
    </row>
    <row r="734" spans="1:14">
      <c r="A734" s="688" t="s">
        <v>1609</v>
      </c>
      <c r="B734" s="583" t="s">
        <v>1097</v>
      </c>
      <c r="C734" s="243">
        <v>41463</v>
      </c>
      <c r="D734" s="243">
        <v>41463</v>
      </c>
      <c r="E734" s="589" t="s">
        <v>184</v>
      </c>
      <c r="F734" s="589" t="s">
        <v>1392</v>
      </c>
      <c r="G734" s="589" t="s">
        <v>1471</v>
      </c>
      <c r="H734" s="592">
        <v>17.2</v>
      </c>
      <c r="I734" s="811">
        <v>17.2</v>
      </c>
      <c r="J734" s="589"/>
      <c r="K734" s="589" t="s">
        <v>1096</v>
      </c>
      <c r="L734" s="806">
        <v>4</v>
      </c>
      <c r="M734" s="806"/>
      <c r="N734" s="807">
        <v>41465</v>
      </c>
    </row>
    <row r="735" spans="1:14">
      <c r="A735" s="589" t="s">
        <v>1611</v>
      </c>
      <c r="B735" s="583">
        <v>45</v>
      </c>
      <c r="C735" s="243">
        <v>41463</v>
      </c>
      <c r="D735" s="243">
        <v>41463</v>
      </c>
      <c r="E735" s="584" t="s">
        <v>206</v>
      </c>
      <c r="F735" s="589" t="s">
        <v>1392</v>
      </c>
      <c r="G735" s="805" t="s">
        <v>996</v>
      </c>
      <c r="H735" s="589">
        <v>1064</v>
      </c>
      <c r="I735" s="583">
        <v>1064</v>
      </c>
      <c r="J735" s="589"/>
      <c r="K735" s="637" t="s">
        <v>1071</v>
      </c>
      <c r="L735" s="806">
        <v>6</v>
      </c>
      <c r="M735" s="806">
        <v>42</v>
      </c>
      <c r="N735" s="807">
        <v>41484</v>
      </c>
    </row>
    <row r="736" spans="1:14">
      <c r="A736" s="804" t="s">
        <v>1611</v>
      </c>
      <c r="B736" s="583">
        <v>45</v>
      </c>
      <c r="C736" s="243">
        <v>41463</v>
      </c>
      <c r="D736" s="243">
        <v>41463</v>
      </c>
      <c r="E736" s="589" t="s">
        <v>185</v>
      </c>
      <c r="F736" s="589" t="s">
        <v>1392</v>
      </c>
      <c r="G736" s="589" t="s">
        <v>1483</v>
      </c>
      <c r="H736" s="589">
        <v>188</v>
      </c>
      <c r="I736" s="583">
        <v>188</v>
      </c>
      <c r="J736" s="589"/>
      <c r="K736" s="589" t="s">
        <v>1071</v>
      </c>
      <c r="L736" s="806">
        <v>2</v>
      </c>
      <c r="M736" s="806">
        <v>8</v>
      </c>
      <c r="N736" s="807">
        <v>41466</v>
      </c>
    </row>
    <row r="737" spans="1:14">
      <c r="A737" s="804" t="s">
        <v>1611</v>
      </c>
      <c r="B737" s="583">
        <v>45</v>
      </c>
      <c r="C737" s="243">
        <v>41463</v>
      </c>
      <c r="D737" s="243">
        <v>41463</v>
      </c>
      <c r="E737" s="589" t="s">
        <v>245</v>
      </c>
      <c r="F737" s="589" t="s">
        <v>1392</v>
      </c>
      <c r="G737" s="589" t="s">
        <v>991</v>
      </c>
      <c r="H737" s="589">
        <v>182</v>
      </c>
      <c r="I737" s="808" t="s">
        <v>1612</v>
      </c>
      <c r="J737" s="589"/>
      <c r="K737" s="637" t="s">
        <v>1071</v>
      </c>
      <c r="L737" s="809">
        <v>5</v>
      </c>
      <c r="M737" s="809">
        <v>35</v>
      </c>
      <c r="N737" s="807">
        <v>41473</v>
      </c>
    </row>
    <row r="738" spans="1:14">
      <c r="A738" s="804" t="s">
        <v>1611</v>
      </c>
      <c r="B738" s="583">
        <v>45</v>
      </c>
      <c r="C738" s="243">
        <v>41463</v>
      </c>
      <c r="D738" s="243">
        <v>41463</v>
      </c>
      <c r="E738" s="589" t="s">
        <v>179</v>
      </c>
      <c r="F738" s="589" t="s">
        <v>1392</v>
      </c>
      <c r="G738" s="805" t="s">
        <v>1000</v>
      </c>
      <c r="H738" s="589">
        <v>185</v>
      </c>
      <c r="I738" s="583">
        <v>185</v>
      </c>
      <c r="J738" s="589"/>
      <c r="K738" s="589" t="s">
        <v>1071</v>
      </c>
      <c r="L738" s="806">
        <v>2</v>
      </c>
      <c r="M738" s="806">
        <v>8</v>
      </c>
      <c r="N738" s="807">
        <v>41471</v>
      </c>
    </row>
    <row r="739" spans="1:14">
      <c r="A739" s="589" t="s">
        <v>1611</v>
      </c>
      <c r="B739" s="583">
        <v>45</v>
      </c>
      <c r="C739" s="243">
        <v>41463</v>
      </c>
      <c r="D739" s="243">
        <v>41463</v>
      </c>
      <c r="E739" s="590" t="s">
        <v>180</v>
      </c>
      <c r="F739" s="589" t="s">
        <v>1392</v>
      </c>
      <c r="G739" s="805" t="s">
        <v>1000</v>
      </c>
      <c r="H739" s="591">
        <v>27</v>
      </c>
      <c r="I739" s="590">
        <v>27</v>
      </c>
      <c r="J739" s="637"/>
      <c r="K739" s="589" t="s">
        <v>1071</v>
      </c>
      <c r="L739" s="810">
        <v>2</v>
      </c>
      <c r="M739" s="810">
        <v>8</v>
      </c>
      <c r="N739" s="807">
        <v>41471</v>
      </c>
    </row>
    <row r="740" spans="1:14">
      <c r="A740" s="804" t="s">
        <v>1611</v>
      </c>
      <c r="B740" s="583">
        <v>45</v>
      </c>
      <c r="C740" s="243">
        <v>41463</v>
      </c>
      <c r="D740" s="243">
        <v>41463</v>
      </c>
      <c r="E740" s="589" t="s">
        <v>184</v>
      </c>
      <c r="F740" s="589" t="s">
        <v>1392</v>
      </c>
      <c r="G740" s="589" t="s">
        <v>1471</v>
      </c>
      <c r="H740" s="592">
        <v>21.6</v>
      </c>
      <c r="I740" s="811">
        <v>21.6</v>
      </c>
      <c r="J740" s="589"/>
      <c r="K740" s="589" t="s">
        <v>1096</v>
      </c>
      <c r="L740" s="806">
        <v>4</v>
      </c>
      <c r="M740" s="806"/>
      <c r="N740" s="807">
        <v>41465</v>
      </c>
    </row>
    <row r="741" spans="1:14">
      <c r="A741" s="804" t="s">
        <v>1613</v>
      </c>
      <c r="B741" s="585" t="s">
        <v>1098</v>
      </c>
      <c r="C741" s="243">
        <v>41463</v>
      </c>
      <c r="D741" s="243">
        <v>41463</v>
      </c>
      <c r="E741" s="584" t="s">
        <v>206</v>
      </c>
      <c r="F741" s="589" t="s">
        <v>1392</v>
      </c>
      <c r="G741" s="805" t="s">
        <v>996</v>
      </c>
      <c r="H741" s="589">
        <v>902</v>
      </c>
      <c r="I741" s="583">
        <v>902</v>
      </c>
      <c r="J741" s="589"/>
      <c r="K741" s="637" t="s">
        <v>1071</v>
      </c>
      <c r="L741" s="806">
        <v>6</v>
      </c>
      <c r="M741" s="806">
        <v>42</v>
      </c>
      <c r="N741" s="807">
        <v>41484</v>
      </c>
    </row>
    <row r="742" spans="1:14">
      <c r="A742" s="589" t="s">
        <v>1613</v>
      </c>
      <c r="B742" s="585" t="s">
        <v>1098</v>
      </c>
      <c r="C742" s="243">
        <v>41463</v>
      </c>
      <c r="D742" s="243">
        <v>41463</v>
      </c>
      <c r="E742" s="589" t="s">
        <v>185</v>
      </c>
      <c r="F742" s="589" t="s">
        <v>1392</v>
      </c>
      <c r="G742" s="589" t="s">
        <v>1483</v>
      </c>
      <c r="H742" s="589">
        <v>159</v>
      </c>
      <c r="I742" s="583">
        <v>159</v>
      </c>
      <c r="J742" s="589"/>
      <c r="K742" s="589" t="s">
        <v>1071</v>
      </c>
      <c r="L742" s="806">
        <v>2</v>
      </c>
      <c r="M742" s="806">
        <v>8</v>
      </c>
      <c r="N742" s="807">
        <v>41466</v>
      </c>
    </row>
    <row r="743" spans="1:14">
      <c r="A743" s="688" t="s">
        <v>1613</v>
      </c>
      <c r="B743" s="585" t="s">
        <v>1098</v>
      </c>
      <c r="C743" s="243">
        <v>41463</v>
      </c>
      <c r="D743" s="243">
        <v>41463</v>
      </c>
      <c r="E743" s="589" t="s">
        <v>245</v>
      </c>
      <c r="F743" s="589" t="s">
        <v>1392</v>
      </c>
      <c r="G743" s="589" t="s">
        <v>991</v>
      </c>
      <c r="H743" s="589">
        <v>236</v>
      </c>
      <c r="I743" s="808" t="s">
        <v>1614</v>
      </c>
      <c r="J743" s="589"/>
      <c r="K743" s="637" t="s">
        <v>1071</v>
      </c>
      <c r="L743" s="809">
        <v>5</v>
      </c>
      <c r="M743" s="809">
        <v>35</v>
      </c>
      <c r="N743" s="807">
        <v>41473</v>
      </c>
    </row>
    <row r="744" spans="1:14">
      <c r="A744" s="589" t="s">
        <v>1613</v>
      </c>
      <c r="B744" s="585" t="s">
        <v>1098</v>
      </c>
      <c r="C744" s="243">
        <v>41463</v>
      </c>
      <c r="D744" s="243">
        <v>41463</v>
      </c>
      <c r="E744" s="589" t="s">
        <v>179</v>
      </c>
      <c r="F744" s="589" t="s">
        <v>1392</v>
      </c>
      <c r="G744" s="805" t="s">
        <v>1000</v>
      </c>
      <c r="H744" s="589">
        <v>132</v>
      </c>
      <c r="I744" s="583">
        <v>132</v>
      </c>
      <c r="J744" s="589"/>
      <c r="K744" s="589" t="s">
        <v>1071</v>
      </c>
      <c r="L744" s="806">
        <v>2</v>
      </c>
      <c r="M744" s="806">
        <v>8</v>
      </c>
      <c r="N744" s="807">
        <v>41471</v>
      </c>
    </row>
    <row r="745" spans="1:14">
      <c r="A745" s="589" t="s">
        <v>1613</v>
      </c>
      <c r="B745" s="585" t="s">
        <v>1098</v>
      </c>
      <c r="C745" s="243">
        <v>41463</v>
      </c>
      <c r="D745" s="243">
        <v>41463</v>
      </c>
      <c r="E745" s="590" t="s">
        <v>180</v>
      </c>
      <c r="F745" s="589" t="s">
        <v>1392</v>
      </c>
      <c r="G745" s="805" t="s">
        <v>1000</v>
      </c>
      <c r="H745" s="591">
        <v>61</v>
      </c>
      <c r="I745" s="590">
        <v>61</v>
      </c>
      <c r="J745" s="637"/>
      <c r="K745" s="589" t="s">
        <v>1071</v>
      </c>
      <c r="L745" s="810">
        <v>2</v>
      </c>
      <c r="M745" s="810">
        <v>8</v>
      </c>
      <c r="N745" s="807">
        <v>41471</v>
      </c>
    </row>
    <row r="746" spans="1:14">
      <c r="A746" s="589" t="s">
        <v>1613</v>
      </c>
      <c r="B746" s="585" t="s">
        <v>1098</v>
      </c>
      <c r="C746" s="243">
        <v>41463</v>
      </c>
      <c r="D746" s="243">
        <v>41463</v>
      </c>
      <c r="E746" s="589" t="s">
        <v>184</v>
      </c>
      <c r="F746" s="589" t="s">
        <v>1392</v>
      </c>
      <c r="G746" s="589" t="s">
        <v>1471</v>
      </c>
      <c r="H746" s="592">
        <v>8.1999999999999993</v>
      </c>
      <c r="I746" s="811">
        <v>8.1999999999999993</v>
      </c>
      <c r="J746" s="589"/>
      <c r="K746" s="589" t="s">
        <v>1096</v>
      </c>
      <c r="L746" s="806">
        <v>4</v>
      </c>
      <c r="M746" s="806"/>
      <c r="N746" s="807">
        <v>41465</v>
      </c>
    </row>
    <row r="747" spans="1:14">
      <c r="A747" s="804" t="s">
        <v>1613</v>
      </c>
      <c r="B747" s="583" t="s">
        <v>1098</v>
      </c>
      <c r="C747" s="243">
        <v>41463</v>
      </c>
      <c r="D747" s="243">
        <v>41463</v>
      </c>
      <c r="E747" s="584" t="s">
        <v>181</v>
      </c>
      <c r="F747" s="804" t="s">
        <v>1392</v>
      </c>
      <c r="G747" s="812" t="s">
        <v>1402</v>
      </c>
      <c r="H747" s="332">
        <v>30.1</v>
      </c>
      <c r="I747" s="813">
        <v>30.1</v>
      </c>
      <c r="J747" s="814"/>
      <c r="K747" s="589" t="s">
        <v>1071</v>
      </c>
      <c r="L747" s="810">
        <v>0.1</v>
      </c>
      <c r="M747" s="810"/>
      <c r="N747" s="807">
        <v>41470</v>
      </c>
    </row>
    <row r="748" spans="1:14">
      <c r="A748" s="804" t="s">
        <v>1613</v>
      </c>
      <c r="B748" s="583" t="s">
        <v>1098</v>
      </c>
      <c r="C748" s="243">
        <v>41463</v>
      </c>
      <c r="D748" s="243">
        <v>41463</v>
      </c>
      <c r="E748" s="584" t="s">
        <v>181</v>
      </c>
      <c r="F748" s="804" t="s">
        <v>1392</v>
      </c>
      <c r="G748" s="812" t="s">
        <v>1402</v>
      </c>
      <c r="H748" s="332">
        <v>32.700000000000003</v>
      </c>
      <c r="I748" s="813">
        <v>32.700000000000003</v>
      </c>
      <c r="J748" s="814"/>
      <c r="K748" s="589" t="s">
        <v>1071</v>
      </c>
      <c r="L748" s="810">
        <v>0.1</v>
      </c>
      <c r="M748" s="810"/>
      <c r="N748" s="807">
        <v>41470</v>
      </c>
    </row>
    <row r="749" spans="1:14">
      <c r="A749" s="589" t="s">
        <v>1615</v>
      </c>
      <c r="B749" s="583" t="s">
        <v>1099</v>
      </c>
      <c r="C749" s="243">
        <v>41463</v>
      </c>
      <c r="D749" s="243">
        <v>41463</v>
      </c>
      <c r="E749" s="584" t="s">
        <v>206</v>
      </c>
      <c r="F749" s="589" t="s">
        <v>1392</v>
      </c>
      <c r="G749" s="805" t="s">
        <v>996</v>
      </c>
      <c r="H749" s="589">
        <v>713</v>
      </c>
      <c r="I749" s="583">
        <v>713</v>
      </c>
      <c r="J749" s="589"/>
      <c r="K749" s="637" t="s">
        <v>1071</v>
      </c>
      <c r="L749" s="806">
        <v>6</v>
      </c>
      <c r="M749" s="806">
        <v>42</v>
      </c>
      <c r="N749" s="807">
        <v>41484</v>
      </c>
    </row>
    <row r="750" spans="1:14">
      <c r="A750" s="589" t="s">
        <v>1615</v>
      </c>
      <c r="B750" s="583" t="s">
        <v>1099</v>
      </c>
      <c r="C750" s="243">
        <v>41463</v>
      </c>
      <c r="D750" s="243">
        <v>41463</v>
      </c>
      <c r="E750" s="589" t="s">
        <v>185</v>
      </c>
      <c r="F750" s="589" t="s">
        <v>1392</v>
      </c>
      <c r="G750" s="589" t="s">
        <v>1483</v>
      </c>
      <c r="H750" s="589">
        <v>158</v>
      </c>
      <c r="I750" s="583">
        <v>158</v>
      </c>
      <c r="J750" s="589"/>
      <c r="K750" s="589" t="s">
        <v>1071</v>
      </c>
      <c r="L750" s="806">
        <v>2</v>
      </c>
      <c r="M750" s="806">
        <v>8</v>
      </c>
      <c r="N750" s="807">
        <v>41466</v>
      </c>
    </row>
    <row r="751" spans="1:14">
      <c r="A751" s="688" t="s">
        <v>1615</v>
      </c>
      <c r="B751" s="583" t="s">
        <v>1099</v>
      </c>
      <c r="C751" s="243">
        <v>41463</v>
      </c>
      <c r="D751" s="243">
        <v>41463</v>
      </c>
      <c r="E751" s="589" t="s">
        <v>245</v>
      </c>
      <c r="F751" s="589" t="s">
        <v>1392</v>
      </c>
      <c r="G751" s="589" t="s">
        <v>991</v>
      </c>
      <c r="H751" s="589">
        <v>259</v>
      </c>
      <c r="I751" s="808" t="s">
        <v>1616</v>
      </c>
      <c r="J751" s="589"/>
      <c r="K751" s="637" t="s">
        <v>1071</v>
      </c>
      <c r="L751" s="809">
        <v>5</v>
      </c>
      <c r="M751" s="809">
        <v>35</v>
      </c>
      <c r="N751" s="807">
        <v>41473</v>
      </c>
    </row>
    <row r="752" spans="1:14">
      <c r="A752" s="589" t="s">
        <v>1615</v>
      </c>
      <c r="B752" s="583" t="s">
        <v>1099</v>
      </c>
      <c r="C752" s="243">
        <v>41463</v>
      </c>
      <c r="D752" s="243">
        <v>41463</v>
      </c>
      <c r="E752" s="589" t="s">
        <v>179</v>
      </c>
      <c r="F752" s="589" t="s">
        <v>1392</v>
      </c>
      <c r="G752" s="805" t="s">
        <v>1000</v>
      </c>
      <c r="H752" s="589">
        <v>56</v>
      </c>
      <c r="I752" s="583">
        <v>56</v>
      </c>
      <c r="J752" s="589"/>
      <c r="K752" s="589" t="s">
        <v>1071</v>
      </c>
      <c r="L752" s="806">
        <v>2</v>
      </c>
      <c r="M752" s="806">
        <v>8</v>
      </c>
      <c r="N752" s="807">
        <v>41471</v>
      </c>
    </row>
    <row r="753" spans="1:14">
      <c r="A753" s="589" t="s">
        <v>1615</v>
      </c>
      <c r="B753" s="583" t="s">
        <v>1099</v>
      </c>
      <c r="C753" s="243">
        <v>41463</v>
      </c>
      <c r="D753" s="243">
        <v>41463</v>
      </c>
      <c r="E753" s="590" t="s">
        <v>180</v>
      </c>
      <c r="F753" s="589" t="s">
        <v>1392</v>
      </c>
      <c r="G753" s="805" t="s">
        <v>1000</v>
      </c>
      <c r="H753" s="591">
        <v>33</v>
      </c>
      <c r="I753" s="590">
        <v>33</v>
      </c>
      <c r="J753" s="637"/>
      <c r="K753" s="589" t="s">
        <v>1071</v>
      </c>
      <c r="L753" s="810">
        <v>2</v>
      </c>
      <c r="M753" s="810">
        <v>8</v>
      </c>
      <c r="N753" s="807">
        <v>41471</v>
      </c>
    </row>
    <row r="754" spans="1:14">
      <c r="A754" s="589" t="s">
        <v>1615</v>
      </c>
      <c r="B754" s="583" t="s">
        <v>1099</v>
      </c>
      <c r="C754" s="243">
        <v>41463</v>
      </c>
      <c r="D754" s="243">
        <v>41463</v>
      </c>
      <c r="E754" s="589" t="s">
        <v>184</v>
      </c>
      <c r="F754" s="589" t="s">
        <v>1392</v>
      </c>
      <c r="G754" s="589" t="s">
        <v>1471</v>
      </c>
      <c r="H754" s="592">
        <v>4.5999999999999996</v>
      </c>
      <c r="I754" s="811">
        <v>4.5999999999999996</v>
      </c>
      <c r="J754" s="589"/>
      <c r="K754" s="589" t="s">
        <v>1096</v>
      </c>
      <c r="L754" s="806">
        <v>4</v>
      </c>
      <c r="M754" s="806"/>
      <c r="N754" s="807">
        <v>41465</v>
      </c>
    </row>
    <row r="756" spans="1:14">
      <c r="A756" s="804" t="s">
        <v>1617</v>
      </c>
      <c r="B756" s="583" t="s">
        <v>1049</v>
      </c>
      <c r="C756" s="243">
        <v>41480</v>
      </c>
      <c r="D756" s="243">
        <v>41480</v>
      </c>
      <c r="E756" s="584" t="s">
        <v>206</v>
      </c>
      <c r="F756" s="589" t="s">
        <v>1392</v>
      </c>
      <c r="G756" s="805" t="s">
        <v>996</v>
      </c>
      <c r="H756" s="589">
        <v>5382</v>
      </c>
      <c r="I756" s="583">
        <v>5382</v>
      </c>
      <c r="J756" s="589"/>
      <c r="K756" s="637" t="s">
        <v>1071</v>
      </c>
      <c r="L756" s="806">
        <v>6</v>
      </c>
      <c r="M756" s="806">
        <v>42</v>
      </c>
      <c r="N756" s="807">
        <v>41491</v>
      </c>
    </row>
    <row r="757" spans="1:14">
      <c r="A757" s="688" t="s">
        <v>1617</v>
      </c>
      <c r="B757" s="583" t="s">
        <v>1049</v>
      </c>
      <c r="C757" s="243">
        <v>41480</v>
      </c>
      <c r="D757" s="243">
        <v>41480</v>
      </c>
      <c r="E757" s="589" t="s">
        <v>185</v>
      </c>
      <c r="F757" s="589" t="s">
        <v>1392</v>
      </c>
      <c r="G757" s="589" t="s">
        <v>1483</v>
      </c>
      <c r="H757" s="589">
        <v>4513</v>
      </c>
      <c r="I757" s="583">
        <v>4513</v>
      </c>
      <c r="J757" s="589"/>
      <c r="K757" s="589" t="s">
        <v>1071</v>
      </c>
      <c r="L757" s="806">
        <v>2</v>
      </c>
      <c r="M757" s="806">
        <v>8</v>
      </c>
      <c r="N757" s="807">
        <v>41481</v>
      </c>
    </row>
    <row r="758" spans="1:14">
      <c r="A758" s="688" t="s">
        <v>1617</v>
      </c>
      <c r="B758" s="583" t="s">
        <v>1049</v>
      </c>
      <c r="C758" s="243">
        <v>41480</v>
      </c>
      <c r="D758" s="243">
        <v>41480</v>
      </c>
      <c r="E758" s="589" t="s">
        <v>245</v>
      </c>
      <c r="F758" s="589" t="s">
        <v>1392</v>
      </c>
      <c r="G758" s="589" t="s">
        <v>991</v>
      </c>
      <c r="H758" s="589">
        <v>37</v>
      </c>
      <c r="I758" s="808" t="s">
        <v>1618</v>
      </c>
      <c r="J758" s="688"/>
      <c r="K758" s="637" t="s">
        <v>1071</v>
      </c>
      <c r="L758" s="809">
        <v>5</v>
      </c>
      <c r="M758" s="809">
        <v>35</v>
      </c>
      <c r="N758" s="807">
        <v>41485</v>
      </c>
    </row>
    <row r="759" spans="1:14">
      <c r="A759" s="688" t="s">
        <v>1617</v>
      </c>
      <c r="B759" s="583" t="s">
        <v>1049</v>
      </c>
      <c r="C759" s="243">
        <v>41480</v>
      </c>
      <c r="D759" s="243">
        <v>41480</v>
      </c>
      <c r="E759" s="589" t="s">
        <v>179</v>
      </c>
      <c r="F759" s="589" t="s">
        <v>1392</v>
      </c>
      <c r="G759" s="805" t="s">
        <v>1000</v>
      </c>
      <c r="H759" s="589">
        <v>479</v>
      </c>
      <c r="I759" s="583">
        <v>479</v>
      </c>
      <c r="J759" s="589"/>
      <c r="K759" s="589" t="s">
        <v>1071</v>
      </c>
      <c r="L759" s="806">
        <v>2</v>
      </c>
      <c r="M759" s="806">
        <v>8</v>
      </c>
      <c r="N759" s="807">
        <v>41491</v>
      </c>
    </row>
    <row r="760" spans="1:14">
      <c r="A760" s="804" t="s">
        <v>1619</v>
      </c>
      <c r="B760" s="583" t="s">
        <v>1074</v>
      </c>
      <c r="C760" s="243">
        <v>41480</v>
      </c>
      <c r="D760" s="243">
        <v>41480</v>
      </c>
      <c r="E760" s="584" t="s">
        <v>206</v>
      </c>
      <c r="F760" s="589" t="s">
        <v>1392</v>
      </c>
      <c r="G760" s="805" t="s">
        <v>996</v>
      </c>
      <c r="H760" s="589">
        <v>2532</v>
      </c>
      <c r="I760" s="583">
        <v>2532</v>
      </c>
      <c r="J760" s="589"/>
      <c r="K760" s="637" t="s">
        <v>1071</v>
      </c>
      <c r="L760" s="806">
        <v>6</v>
      </c>
      <c r="M760" s="806">
        <v>42</v>
      </c>
      <c r="N760" s="807">
        <v>41491</v>
      </c>
    </row>
    <row r="761" spans="1:14">
      <c r="A761" s="688" t="s">
        <v>1619</v>
      </c>
      <c r="B761" s="583" t="s">
        <v>1074</v>
      </c>
      <c r="C761" s="243">
        <v>41480</v>
      </c>
      <c r="D761" s="243">
        <v>41480</v>
      </c>
      <c r="E761" s="589" t="s">
        <v>185</v>
      </c>
      <c r="F761" s="589" t="s">
        <v>1392</v>
      </c>
      <c r="G761" s="589" t="s">
        <v>1483</v>
      </c>
      <c r="H761" s="589">
        <v>999</v>
      </c>
      <c r="I761" s="583">
        <v>999</v>
      </c>
      <c r="J761" s="589"/>
      <c r="K761" s="589" t="s">
        <v>1071</v>
      </c>
      <c r="L761" s="806">
        <v>2</v>
      </c>
      <c r="M761" s="806">
        <v>8</v>
      </c>
      <c r="N761" s="807">
        <v>41481</v>
      </c>
    </row>
    <row r="762" spans="1:14">
      <c r="A762" s="688" t="s">
        <v>1619</v>
      </c>
      <c r="B762" s="583" t="s">
        <v>1074</v>
      </c>
      <c r="C762" s="243">
        <v>41480</v>
      </c>
      <c r="D762" s="243">
        <v>41480</v>
      </c>
      <c r="E762" s="589" t="s">
        <v>245</v>
      </c>
      <c r="F762" s="589" t="s">
        <v>1392</v>
      </c>
      <c r="G762" s="589" t="s">
        <v>991</v>
      </c>
      <c r="H762" s="589">
        <v>173</v>
      </c>
      <c r="I762" s="808" t="s">
        <v>1620</v>
      </c>
      <c r="J762" s="589"/>
      <c r="K762" s="637" t="s">
        <v>1071</v>
      </c>
      <c r="L762" s="809">
        <v>5</v>
      </c>
      <c r="M762" s="809">
        <v>35</v>
      </c>
      <c r="N762" s="807">
        <v>41485</v>
      </c>
    </row>
    <row r="763" spans="1:14">
      <c r="A763" s="688" t="s">
        <v>1619</v>
      </c>
      <c r="B763" s="583" t="s">
        <v>1074</v>
      </c>
      <c r="C763" s="243">
        <v>41480</v>
      </c>
      <c r="D763" s="243">
        <v>41480</v>
      </c>
      <c r="E763" s="589" t="s">
        <v>179</v>
      </c>
      <c r="F763" s="589" t="s">
        <v>1392</v>
      </c>
      <c r="G763" s="805" t="s">
        <v>1000</v>
      </c>
      <c r="H763" s="589">
        <v>147</v>
      </c>
      <c r="I763" s="583">
        <v>147</v>
      </c>
      <c r="J763" s="589"/>
      <c r="K763" s="589" t="s">
        <v>1071</v>
      </c>
      <c r="L763" s="806">
        <v>2</v>
      </c>
      <c r="M763" s="806">
        <v>8</v>
      </c>
      <c r="N763" s="807">
        <v>41491</v>
      </c>
    </row>
    <row r="764" spans="1:14">
      <c r="A764" s="589" t="s">
        <v>1621</v>
      </c>
      <c r="B764" s="583" t="s">
        <v>1075</v>
      </c>
      <c r="C764" s="243">
        <v>41480</v>
      </c>
      <c r="D764" s="243">
        <v>41480</v>
      </c>
      <c r="E764" s="584" t="s">
        <v>206</v>
      </c>
      <c r="F764" s="589" t="s">
        <v>1392</v>
      </c>
      <c r="G764" s="805" t="s">
        <v>996</v>
      </c>
      <c r="H764" s="589">
        <v>22973</v>
      </c>
      <c r="I764" s="583">
        <v>22973</v>
      </c>
      <c r="J764" s="589"/>
      <c r="K764" s="637" t="s">
        <v>1071</v>
      </c>
      <c r="L764" s="806">
        <v>6</v>
      </c>
      <c r="M764" s="806">
        <v>42</v>
      </c>
      <c r="N764" s="807">
        <v>41491</v>
      </c>
    </row>
    <row r="765" spans="1:14">
      <c r="A765" s="804" t="s">
        <v>1621</v>
      </c>
      <c r="B765" s="583" t="s">
        <v>1075</v>
      </c>
      <c r="C765" s="243">
        <v>41480</v>
      </c>
      <c r="D765" s="243">
        <v>41480</v>
      </c>
      <c r="E765" s="589" t="s">
        <v>185</v>
      </c>
      <c r="F765" s="589" t="s">
        <v>1392</v>
      </c>
      <c r="G765" s="589" t="s">
        <v>1483</v>
      </c>
      <c r="H765" s="589">
        <v>19058</v>
      </c>
      <c r="I765" s="583">
        <v>19058</v>
      </c>
      <c r="J765" s="589"/>
      <c r="K765" s="589" t="s">
        <v>1071</v>
      </c>
      <c r="L765" s="806">
        <v>2</v>
      </c>
      <c r="M765" s="806">
        <v>8</v>
      </c>
      <c r="N765" s="807">
        <v>41481</v>
      </c>
    </row>
    <row r="766" spans="1:14">
      <c r="A766" s="804" t="s">
        <v>1621</v>
      </c>
      <c r="B766" s="583" t="s">
        <v>1075</v>
      </c>
      <c r="C766" s="243">
        <v>41480</v>
      </c>
      <c r="D766" s="243">
        <v>41480</v>
      </c>
      <c r="E766" s="589" t="s">
        <v>245</v>
      </c>
      <c r="F766" s="589" t="s">
        <v>1392</v>
      </c>
      <c r="G766" s="589" t="s">
        <v>991</v>
      </c>
      <c r="H766" s="589">
        <v>1887</v>
      </c>
      <c r="I766" s="808" t="s">
        <v>1622</v>
      </c>
      <c r="J766" s="589"/>
      <c r="K766" s="637" t="s">
        <v>1071</v>
      </c>
      <c r="L766" s="809">
        <v>5</v>
      </c>
      <c r="M766" s="809">
        <v>35</v>
      </c>
      <c r="N766" s="807">
        <v>41485</v>
      </c>
    </row>
    <row r="767" spans="1:14">
      <c r="A767" s="804" t="s">
        <v>1621</v>
      </c>
      <c r="B767" s="583" t="s">
        <v>1075</v>
      </c>
      <c r="C767" s="243">
        <v>41480</v>
      </c>
      <c r="D767" s="243">
        <v>41480</v>
      </c>
      <c r="E767" s="589" t="s">
        <v>179</v>
      </c>
      <c r="F767" s="589" t="s">
        <v>1392</v>
      </c>
      <c r="G767" s="805" t="s">
        <v>1000</v>
      </c>
      <c r="H767" s="589">
        <v>473</v>
      </c>
      <c r="I767" s="583">
        <v>473</v>
      </c>
      <c r="J767" s="589"/>
      <c r="K767" s="589" t="s">
        <v>1071</v>
      </c>
      <c r="L767" s="806">
        <v>2</v>
      </c>
      <c r="M767" s="806">
        <v>8</v>
      </c>
      <c r="N767" s="807">
        <v>41491</v>
      </c>
    </row>
    <row r="768" spans="1:14">
      <c r="A768" s="804" t="s">
        <v>1623</v>
      </c>
      <c r="B768" s="585" t="s">
        <v>404</v>
      </c>
      <c r="C768" s="243">
        <v>41480</v>
      </c>
      <c r="D768" s="243">
        <v>41480</v>
      </c>
      <c r="E768" s="584" t="s">
        <v>206</v>
      </c>
      <c r="F768" s="589" t="s">
        <v>1392</v>
      </c>
      <c r="G768" s="805" t="s">
        <v>996</v>
      </c>
      <c r="H768" s="589">
        <v>8491</v>
      </c>
      <c r="I768" s="583">
        <v>8491</v>
      </c>
      <c r="J768" s="589"/>
      <c r="K768" s="637" t="s">
        <v>1071</v>
      </c>
      <c r="L768" s="806">
        <v>6</v>
      </c>
      <c r="M768" s="806">
        <v>42</v>
      </c>
      <c r="N768" s="807">
        <v>41491</v>
      </c>
    </row>
    <row r="769" spans="1:14">
      <c r="A769" s="589" t="s">
        <v>1623</v>
      </c>
      <c r="B769" s="585" t="s">
        <v>404</v>
      </c>
      <c r="C769" s="243">
        <v>41480</v>
      </c>
      <c r="D769" s="243">
        <v>41480</v>
      </c>
      <c r="E769" s="589" t="s">
        <v>185</v>
      </c>
      <c r="F769" s="589" t="s">
        <v>1392</v>
      </c>
      <c r="G769" s="589" t="s">
        <v>1483</v>
      </c>
      <c r="H769" s="589">
        <v>4179</v>
      </c>
      <c r="I769" s="583">
        <v>4179</v>
      </c>
      <c r="J769" s="589"/>
      <c r="K769" s="589" t="s">
        <v>1071</v>
      </c>
      <c r="L769" s="806">
        <v>2</v>
      </c>
      <c r="M769" s="806">
        <v>8</v>
      </c>
      <c r="N769" s="807">
        <v>41481</v>
      </c>
    </row>
    <row r="770" spans="1:14">
      <c r="A770" s="589" t="s">
        <v>1623</v>
      </c>
      <c r="B770" s="585" t="s">
        <v>404</v>
      </c>
      <c r="C770" s="243">
        <v>41480</v>
      </c>
      <c r="D770" s="243">
        <v>41480</v>
      </c>
      <c r="E770" s="589" t="s">
        <v>245</v>
      </c>
      <c r="F770" s="589" t="s">
        <v>1392</v>
      </c>
      <c r="G770" s="589" t="s">
        <v>991</v>
      </c>
      <c r="H770" s="589">
        <v>219</v>
      </c>
      <c r="I770" s="808" t="s">
        <v>1624</v>
      </c>
      <c r="J770" s="589"/>
      <c r="K770" s="637" t="s">
        <v>1071</v>
      </c>
      <c r="L770" s="809">
        <v>5</v>
      </c>
      <c r="M770" s="809">
        <v>35</v>
      </c>
      <c r="N770" s="807">
        <v>41485</v>
      </c>
    </row>
    <row r="771" spans="1:14">
      <c r="A771" s="589" t="s">
        <v>1623</v>
      </c>
      <c r="B771" s="585" t="s">
        <v>404</v>
      </c>
      <c r="C771" s="243">
        <v>41480</v>
      </c>
      <c r="D771" s="243">
        <v>41480</v>
      </c>
      <c r="E771" s="589" t="s">
        <v>179</v>
      </c>
      <c r="F771" s="589" t="s">
        <v>1392</v>
      </c>
      <c r="G771" s="805" t="s">
        <v>1000</v>
      </c>
      <c r="H771" s="589">
        <v>272</v>
      </c>
      <c r="I771" s="583">
        <v>272</v>
      </c>
      <c r="J771" s="589"/>
      <c r="K771" s="589" t="s">
        <v>1071</v>
      </c>
      <c r="L771" s="806">
        <v>2</v>
      </c>
      <c r="M771" s="806">
        <v>8</v>
      </c>
      <c r="N771" s="807">
        <v>41491</v>
      </c>
    </row>
    <row r="773" spans="1:14">
      <c r="A773" s="804" t="s">
        <v>1625</v>
      </c>
      <c r="B773" s="583" t="s">
        <v>1508</v>
      </c>
      <c r="C773" s="243">
        <v>41481</v>
      </c>
      <c r="D773" s="243">
        <v>41481</v>
      </c>
      <c r="E773" s="584" t="s">
        <v>206</v>
      </c>
      <c r="F773" s="589" t="s">
        <v>1392</v>
      </c>
      <c r="G773" s="805" t="s">
        <v>996</v>
      </c>
      <c r="H773" s="589">
        <v>7605</v>
      </c>
      <c r="I773" s="583">
        <v>7605</v>
      </c>
      <c r="J773" s="589"/>
      <c r="K773" s="637" t="s">
        <v>1071</v>
      </c>
      <c r="L773" s="806">
        <v>6</v>
      </c>
      <c r="M773" s="806">
        <v>42</v>
      </c>
      <c r="N773" s="807">
        <v>41491</v>
      </c>
    </row>
    <row r="774" spans="1:14">
      <c r="A774" s="688" t="s">
        <v>1625</v>
      </c>
      <c r="B774" s="583" t="s">
        <v>1508</v>
      </c>
      <c r="C774" s="243">
        <v>41481</v>
      </c>
      <c r="D774" s="243">
        <v>41481</v>
      </c>
      <c r="E774" s="589" t="s">
        <v>185</v>
      </c>
      <c r="F774" s="589" t="s">
        <v>1392</v>
      </c>
      <c r="G774" s="589" t="s">
        <v>1483</v>
      </c>
      <c r="H774" s="589">
        <v>5959</v>
      </c>
      <c r="I774" s="583">
        <v>5959</v>
      </c>
      <c r="J774" s="589"/>
      <c r="K774" s="589" t="s">
        <v>1071</v>
      </c>
      <c r="L774" s="806">
        <v>2</v>
      </c>
      <c r="M774" s="806">
        <v>8</v>
      </c>
      <c r="N774" s="807">
        <v>41481</v>
      </c>
    </row>
    <row r="775" spans="1:14">
      <c r="A775" s="688" t="s">
        <v>1625</v>
      </c>
      <c r="B775" s="583" t="s">
        <v>1508</v>
      </c>
      <c r="C775" s="243">
        <v>41481</v>
      </c>
      <c r="D775" s="243">
        <v>41481</v>
      </c>
      <c r="E775" s="589" t="s">
        <v>245</v>
      </c>
      <c r="F775" s="589" t="s">
        <v>1392</v>
      </c>
      <c r="G775" s="589" t="s">
        <v>991</v>
      </c>
      <c r="H775" s="589">
        <v>63</v>
      </c>
      <c r="I775" s="808" t="s">
        <v>1551</v>
      </c>
      <c r="J775" s="589"/>
      <c r="K775" s="637" t="s">
        <v>1071</v>
      </c>
      <c r="L775" s="809">
        <v>5</v>
      </c>
      <c r="M775" s="809">
        <v>35</v>
      </c>
      <c r="N775" s="807">
        <v>41485</v>
      </c>
    </row>
    <row r="776" spans="1:14">
      <c r="A776" s="688" t="s">
        <v>1625</v>
      </c>
      <c r="B776" s="583" t="s">
        <v>1508</v>
      </c>
      <c r="C776" s="243">
        <v>41481</v>
      </c>
      <c r="D776" s="243">
        <v>41481</v>
      </c>
      <c r="E776" s="589" t="s">
        <v>179</v>
      </c>
      <c r="F776" s="589" t="s">
        <v>1392</v>
      </c>
      <c r="G776" s="805" t="s">
        <v>1000</v>
      </c>
      <c r="H776" s="589">
        <v>120</v>
      </c>
      <c r="I776" s="583">
        <v>120</v>
      </c>
      <c r="J776" s="589"/>
      <c r="K776" s="589" t="s">
        <v>1071</v>
      </c>
      <c r="L776" s="806">
        <v>2</v>
      </c>
      <c r="M776" s="806">
        <v>8</v>
      </c>
      <c r="N776" s="807">
        <v>41491</v>
      </c>
    </row>
    <row r="777" spans="1:14">
      <c r="A777" s="589" t="s">
        <v>1626</v>
      </c>
      <c r="B777" s="583" t="s">
        <v>1076</v>
      </c>
      <c r="C777" s="243">
        <v>41481</v>
      </c>
      <c r="D777" s="243">
        <v>41481</v>
      </c>
      <c r="E777" s="584" t="s">
        <v>206</v>
      </c>
      <c r="F777" s="589" t="s">
        <v>1392</v>
      </c>
      <c r="G777" s="805" t="s">
        <v>996</v>
      </c>
      <c r="H777" s="589">
        <v>5093</v>
      </c>
      <c r="I777" s="583">
        <v>5093</v>
      </c>
      <c r="J777" s="589"/>
      <c r="K777" s="637" t="s">
        <v>1071</v>
      </c>
      <c r="L777" s="806">
        <v>6</v>
      </c>
      <c r="M777" s="806">
        <v>42</v>
      </c>
      <c r="N777" s="807">
        <v>41491</v>
      </c>
    </row>
    <row r="778" spans="1:14">
      <c r="A778" s="589" t="s">
        <v>1626</v>
      </c>
      <c r="B778" s="583" t="s">
        <v>1076</v>
      </c>
      <c r="C778" s="243">
        <v>41481</v>
      </c>
      <c r="D778" s="243">
        <v>41481</v>
      </c>
      <c r="E778" s="589" t="s">
        <v>185</v>
      </c>
      <c r="F778" s="589" t="s">
        <v>1392</v>
      </c>
      <c r="G778" s="589" t="s">
        <v>1483</v>
      </c>
      <c r="H778" s="589">
        <v>1972</v>
      </c>
      <c r="I778" s="583">
        <v>1972</v>
      </c>
      <c r="J778" s="589"/>
      <c r="K778" s="589" t="s">
        <v>1071</v>
      </c>
      <c r="L778" s="806">
        <v>2</v>
      </c>
      <c r="M778" s="806">
        <v>8</v>
      </c>
      <c r="N778" s="807">
        <v>41481</v>
      </c>
    </row>
    <row r="779" spans="1:14">
      <c r="A779" s="589" t="s">
        <v>1626</v>
      </c>
      <c r="B779" s="583" t="s">
        <v>1076</v>
      </c>
      <c r="C779" s="243">
        <v>41481</v>
      </c>
      <c r="D779" s="243">
        <v>41481</v>
      </c>
      <c r="E779" s="589" t="s">
        <v>245</v>
      </c>
      <c r="F779" s="589" t="s">
        <v>1392</v>
      </c>
      <c r="G779" s="589" t="s">
        <v>991</v>
      </c>
      <c r="H779" s="589">
        <v>440</v>
      </c>
      <c r="I779" s="808" t="s">
        <v>1627</v>
      </c>
      <c r="J779" s="589"/>
      <c r="K779" s="637" t="s">
        <v>1071</v>
      </c>
      <c r="L779" s="809">
        <v>5</v>
      </c>
      <c r="M779" s="809">
        <v>35</v>
      </c>
      <c r="N779" s="807">
        <v>41485</v>
      </c>
    </row>
    <row r="780" spans="1:14">
      <c r="A780" s="589" t="s">
        <v>1626</v>
      </c>
      <c r="B780" s="583" t="s">
        <v>1076</v>
      </c>
      <c r="C780" s="243">
        <v>41481</v>
      </c>
      <c r="D780" s="243">
        <v>41481</v>
      </c>
      <c r="E780" s="589" t="s">
        <v>179</v>
      </c>
      <c r="F780" s="589" t="s">
        <v>1392</v>
      </c>
      <c r="G780" s="805" t="s">
        <v>1000</v>
      </c>
      <c r="H780" s="589">
        <v>687</v>
      </c>
      <c r="I780" s="583">
        <v>687</v>
      </c>
      <c r="J780" s="589"/>
      <c r="K780" s="589" t="s">
        <v>1071</v>
      </c>
      <c r="L780" s="806">
        <v>2</v>
      </c>
      <c r="M780" s="806">
        <v>8</v>
      </c>
      <c r="N780" s="807">
        <v>41491</v>
      </c>
    </row>
    <row r="782" spans="1:14">
      <c r="A782" s="804" t="s">
        <v>1628</v>
      </c>
      <c r="B782" s="583" t="s">
        <v>1095</v>
      </c>
      <c r="C782" s="243">
        <v>41512</v>
      </c>
      <c r="D782" s="243">
        <v>41512</v>
      </c>
      <c r="E782" s="584" t="s">
        <v>206</v>
      </c>
      <c r="F782" s="589" t="s">
        <v>1392</v>
      </c>
      <c r="G782" s="805" t="s">
        <v>996</v>
      </c>
      <c r="H782" s="589">
        <v>1250</v>
      </c>
      <c r="I782" s="583">
        <v>1250</v>
      </c>
      <c r="J782" s="589"/>
      <c r="K782" s="637" t="s">
        <v>1071</v>
      </c>
      <c r="L782" s="806">
        <v>6</v>
      </c>
      <c r="M782" s="806">
        <v>42</v>
      </c>
      <c r="N782" s="807">
        <v>41516</v>
      </c>
    </row>
    <row r="783" spans="1:14">
      <c r="A783" s="688" t="s">
        <v>1628</v>
      </c>
      <c r="B783" s="583" t="s">
        <v>1095</v>
      </c>
      <c r="C783" s="243">
        <v>41512</v>
      </c>
      <c r="D783" s="243">
        <v>41512</v>
      </c>
      <c r="E783" s="589" t="s">
        <v>185</v>
      </c>
      <c r="F783" s="589" t="s">
        <v>1392</v>
      </c>
      <c r="G783" s="589" t="s">
        <v>1483</v>
      </c>
      <c r="H783" s="589">
        <v>685</v>
      </c>
      <c r="I783" s="583">
        <v>685</v>
      </c>
      <c r="J783" s="589"/>
      <c r="K783" s="589" t="s">
        <v>1071</v>
      </c>
      <c r="L783" s="806">
        <v>2</v>
      </c>
      <c r="M783" s="806">
        <v>8</v>
      </c>
      <c r="N783" s="807">
        <v>41514</v>
      </c>
    </row>
    <row r="784" spans="1:14">
      <c r="A784" s="688" t="s">
        <v>1628</v>
      </c>
      <c r="B784" s="583" t="s">
        <v>1095</v>
      </c>
      <c r="C784" s="243">
        <v>41512</v>
      </c>
      <c r="D784" s="243">
        <v>41512</v>
      </c>
      <c r="E784" s="589" t="s">
        <v>245</v>
      </c>
      <c r="F784" s="589" t="s">
        <v>1392</v>
      </c>
      <c r="G784" s="589" t="s">
        <v>991</v>
      </c>
      <c r="H784" s="589">
        <v>55</v>
      </c>
      <c r="I784" s="808">
        <v>55</v>
      </c>
      <c r="J784" s="589"/>
      <c r="K784" s="637" t="s">
        <v>1071</v>
      </c>
      <c r="L784" s="809">
        <v>5</v>
      </c>
      <c r="M784" s="809">
        <v>35</v>
      </c>
      <c r="N784" s="807">
        <v>41527</v>
      </c>
    </row>
    <row r="785" spans="1:14">
      <c r="A785" s="688" t="s">
        <v>1628</v>
      </c>
      <c r="B785" s="583" t="s">
        <v>1095</v>
      </c>
      <c r="C785" s="243">
        <v>41512</v>
      </c>
      <c r="D785" s="243">
        <v>41512</v>
      </c>
      <c r="E785" s="589" t="s">
        <v>179</v>
      </c>
      <c r="F785" s="589" t="s">
        <v>1392</v>
      </c>
      <c r="G785" s="805" t="s">
        <v>1000</v>
      </c>
      <c r="H785" s="589">
        <v>16</v>
      </c>
      <c r="I785" s="583">
        <v>16</v>
      </c>
      <c r="J785" s="589"/>
      <c r="K785" s="589" t="s">
        <v>1071</v>
      </c>
      <c r="L785" s="806">
        <v>2</v>
      </c>
      <c r="M785" s="806">
        <v>8</v>
      </c>
      <c r="N785" s="807">
        <v>41516</v>
      </c>
    </row>
    <row r="786" spans="1:14">
      <c r="A786" s="589" t="s">
        <v>1628</v>
      </c>
      <c r="B786" s="583" t="s">
        <v>1095</v>
      </c>
      <c r="C786" s="243">
        <v>41512</v>
      </c>
      <c r="D786" s="243">
        <v>41512</v>
      </c>
      <c r="E786" s="590" t="s">
        <v>180</v>
      </c>
      <c r="F786" s="589" t="s">
        <v>1392</v>
      </c>
      <c r="G786" s="805" t="s">
        <v>1000</v>
      </c>
      <c r="H786" s="591"/>
      <c r="I786" s="590"/>
      <c r="J786" s="637" t="s">
        <v>1395</v>
      </c>
      <c r="K786" s="589" t="s">
        <v>1071</v>
      </c>
      <c r="L786" s="810">
        <v>2</v>
      </c>
      <c r="M786" s="810">
        <v>8</v>
      </c>
      <c r="N786" s="807">
        <v>41516</v>
      </c>
    </row>
    <row r="787" spans="1:14">
      <c r="A787" s="688" t="s">
        <v>1628</v>
      </c>
      <c r="B787" s="583" t="s">
        <v>1095</v>
      </c>
      <c r="C787" s="243">
        <v>41512</v>
      </c>
      <c r="D787" s="243">
        <v>41512</v>
      </c>
      <c r="E787" s="589" t="s">
        <v>184</v>
      </c>
      <c r="F787" s="589" t="s">
        <v>1392</v>
      </c>
      <c r="G787" s="589" t="s">
        <v>1471</v>
      </c>
      <c r="H787" s="592">
        <v>24.8</v>
      </c>
      <c r="I787" s="811">
        <v>24.8</v>
      </c>
      <c r="J787" s="589"/>
      <c r="K787" s="589" t="s">
        <v>1096</v>
      </c>
      <c r="L787" s="806">
        <v>4</v>
      </c>
      <c r="M787" s="806"/>
      <c r="N787" s="807">
        <v>41521</v>
      </c>
    </row>
    <row r="788" spans="1:14">
      <c r="A788" s="804" t="s">
        <v>1629</v>
      </c>
      <c r="B788" s="583" t="s">
        <v>1097</v>
      </c>
      <c r="C788" s="243">
        <v>41512</v>
      </c>
      <c r="D788" s="243">
        <v>41512</v>
      </c>
      <c r="E788" s="584" t="s">
        <v>206</v>
      </c>
      <c r="F788" s="589" t="s">
        <v>1392</v>
      </c>
      <c r="G788" s="805" t="s">
        <v>996</v>
      </c>
      <c r="H788" s="589">
        <v>769</v>
      </c>
      <c r="I788" s="583">
        <v>769</v>
      </c>
      <c r="J788" s="589"/>
      <c r="K788" s="637" t="s">
        <v>1071</v>
      </c>
      <c r="L788" s="806">
        <v>6</v>
      </c>
      <c r="M788" s="806">
        <v>42</v>
      </c>
      <c r="N788" s="807">
        <v>41516</v>
      </c>
    </row>
    <row r="789" spans="1:14">
      <c r="A789" s="688" t="s">
        <v>1629</v>
      </c>
      <c r="B789" s="583" t="s">
        <v>1097</v>
      </c>
      <c r="C789" s="243">
        <v>41512</v>
      </c>
      <c r="D789" s="243">
        <v>41512</v>
      </c>
      <c r="E789" s="589" t="s">
        <v>185</v>
      </c>
      <c r="F789" s="589" t="s">
        <v>1392</v>
      </c>
      <c r="G789" s="589" t="s">
        <v>1483</v>
      </c>
      <c r="H789" s="589">
        <v>254</v>
      </c>
      <c r="I789" s="583">
        <v>254</v>
      </c>
      <c r="J789" s="589"/>
      <c r="K789" s="589" t="s">
        <v>1071</v>
      </c>
      <c r="L789" s="806">
        <v>2</v>
      </c>
      <c r="M789" s="806">
        <v>8</v>
      </c>
      <c r="N789" s="807">
        <v>41514</v>
      </c>
    </row>
    <row r="790" spans="1:14">
      <c r="A790" s="688" t="s">
        <v>1629</v>
      </c>
      <c r="B790" s="583" t="s">
        <v>1097</v>
      </c>
      <c r="C790" s="243">
        <v>41512</v>
      </c>
      <c r="D790" s="243">
        <v>41512</v>
      </c>
      <c r="E790" s="589" t="s">
        <v>245</v>
      </c>
      <c r="F790" s="589" t="s">
        <v>1392</v>
      </c>
      <c r="G790" s="589" t="s">
        <v>991</v>
      </c>
      <c r="H790" s="589">
        <v>52</v>
      </c>
      <c r="I790" s="808">
        <v>52</v>
      </c>
      <c r="J790" s="688"/>
      <c r="K790" s="637" t="s">
        <v>1071</v>
      </c>
      <c r="L790" s="809">
        <v>5</v>
      </c>
      <c r="M790" s="809">
        <v>35</v>
      </c>
      <c r="N790" s="807">
        <v>41527</v>
      </c>
    </row>
    <row r="791" spans="1:14">
      <c r="A791" s="688" t="s">
        <v>1629</v>
      </c>
      <c r="B791" s="583" t="s">
        <v>1097</v>
      </c>
      <c r="C791" s="243">
        <v>41512</v>
      </c>
      <c r="D791" s="243">
        <v>41512</v>
      </c>
      <c r="E791" s="589" t="s">
        <v>179</v>
      </c>
      <c r="F791" s="589" t="s">
        <v>1392</v>
      </c>
      <c r="G791" s="805" t="s">
        <v>1000</v>
      </c>
      <c r="H791" s="589">
        <v>64</v>
      </c>
      <c r="I791" s="583">
        <v>64</v>
      </c>
      <c r="J791" s="589"/>
      <c r="K791" s="589" t="s">
        <v>1071</v>
      </c>
      <c r="L791" s="806">
        <v>2</v>
      </c>
      <c r="M791" s="806">
        <v>8</v>
      </c>
      <c r="N791" s="807">
        <v>41516</v>
      </c>
    </row>
    <row r="792" spans="1:14">
      <c r="A792" s="589" t="s">
        <v>1629</v>
      </c>
      <c r="B792" s="583" t="s">
        <v>1097</v>
      </c>
      <c r="C792" s="243">
        <v>41512</v>
      </c>
      <c r="D792" s="243">
        <v>41512</v>
      </c>
      <c r="E792" s="590" t="s">
        <v>180</v>
      </c>
      <c r="F792" s="589" t="s">
        <v>1392</v>
      </c>
      <c r="G792" s="805" t="s">
        <v>1000</v>
      </c>
      <c r="H792" s="591">
        <v>12</v>
      </c>
      <c r="I792" s="590">
        <v>12</v>
      </c>
      <c r="J792" s="637"/>
      <c r="K792" s="589" t="s">
        <v>1071</v>
      </c>
      <c r="L792" s="810">
        <v>2</v>
      </c>
      <c r="M792" s="810">
        <v>8</v>
      </c>
      <c r="N792" s="807">
        <v>41516</v>
      </c>
    </row>
    <row r="793" spans="1:14">
      <c r="A793" s="688" t="s">
        <v>1629</v>
      </c>
      <c r="B793" s="583" t="s">
        <v>1097</v>
      </c>
      <c r="C793" s="243">
        <v>41512</v>
      </c>
      <c r="D793" s="243">
        <v>41512</v>
      </c>
      <c r="E793" s="589" t="s">
        <v>184</v>
      </c>
      <c r="F793" s="589" t="s">
        <v>1392</v>
      </c>
      <c r="G793" s="589" t="s">
        <v>1471</v>
      </c>
      <c r="H793" s="592">
        <v>38.799999999999997</v>
      </c>
      <c r="I793" s="811">
        <v>48.5</v>
      </c>
      <c r="J793" s="589"/>
      <c r="K793" s="589" t="s">
        <v>1096</v>
      </c>
      <c r="L793" s="806">
        <v>4</v>
      </c>
      <c r="M793" s="806"/>
      <c r="N793" s="807">
        <v>41521</v>
      </c>
    </row>
    <row r="794" spans="1:14">
      <c r="A794" s="589" t="s">
        <v>1630</v>
      </c>
      <c r="B794" s="583">
        <v>45</v>
      </c>
      <c r="C794" s="243">
        <v>41512</v>
      </c>
      <c r="D794" s="243">
        <v>41512</v>
      </c>
      <c r="E794" s="584" t="s">
        <v>206</v>
      </c>
      <c r="F794" s="589" t="s">
        <v>1392</v>
      </c>
      <c r="G794" s="805" t="s">
        <v>996</v>
      </c>
      <c r="H794" s="589">
        <v>1141</v>
      </c>
      <c r="I794" s="583">
        <v>1141</v>
      </c>
      <c r="J794" s="589"/>
      <c r="K794" s="637" t="s">
        <v>1071</v>
      </c>
      <c r="L794" s="806">
        <v>6</v>
      </c>
      <c r="M794" s="806">
        <v>42</v>
      </c>
      <c r="N794" s="807">
        <v>41516</v>
      </c>
    </row>
    <row r="795" spans="1:14">
      <c r="A795" s="804" t="s">
        <v>1630</v>
      </c>
      <c r="B795" s="583">
        <v>45</v>
      </c>
      <c r="C795" s="243">
        <v>41512</v>
      </c>
      <c r="D795" s="243">
        <v>41512</v>
      </c>
      <c r="E795" s="589" t="s">
        <v>185</v>
      </c>
      <c r="F795" s="589" t="s">
        <v>1392</v>
      </c>
      <c r="G795" s="589" t="s">
        <v>1483</v>
      </c>
      <c r="H795" s="589">
        <v>80</v>
      </c>
      <c r="I795" s="583">
        <v>80</v>
      </c>
      <c r="J795" s="589"/>
      <c r="K795" s="589" t="s">
        <v>1071</v>
      </c>
      <c r="L795" s="806">
        <v>2</v>
      </c>
      <c r="M795" s="806">
        <v>8</v>
      </c>
      <c r="N795" s="807">
        <v>41514</v>
      </c>
    </row>
    <row r="796" spans="1:14">
      <c r="A796" s="804" t="s">
        <v>1630</v>
      </c>
      <c r="B796" s="583">
        <v>45</v>
      </c>
      <c r="C796" s="243">
        <v>41512</v>
      </c>
      <c r="D796" s="243">
        <v>41512</v>
      </c>
      <c r="E796" s="589" t="s">
        <v>245</v>
      </c>
      <c r="F796" s="589" t="s">
        <v>1392</v>
      </c>
      <c r="G796" s="589" t="s">
        <v>991</v>
      </c>
      <c r="H796" s="589">
        <v>225</v>
      </c>
      <c r="I796" s="808">
        <v>225</v>
      </c>
      <c r="J796" s="589"/>
      <c r="K796" s="637" t="s">
        <v>1071</v>
      </c>
      <c r="L796" s="809">
        <v>5</v>
      </c>
      <c r="M796" s="809">
        <v>35</v>
      </c>
      <c r="N796" s="807">
        <v>41527</v>
      </c>
    </row>
    <row r="797" spans="1:14">
      <c r="A797" s="804" t="s">
        <v>1630</v>
      </c>
      <c r="B797" s="583">
        <v>45</v>
      </c>
      <c r="C797" s="243">
        <v>41512</v>
      </c>
      <c r="D797" s="243">
        <v>41512</v>
      </c>
      <c r="E797" s="589" t="s">
        <v>179</v>
      </c>
      <c r="F797" s="589" t="s">
        <v>1392</v>
      </c>
      <c r="G797" s="805" t="s">
        <v>1000</v>
      </c>
      <c r="H797" s="589">
        <v>147</v>
      </c>
      <c r="I797" s="583">
        <v>147</v>
      </c>
      <c r="J797" s="589"/>
      <c r="K797" s="589" t="s">
        <v>1071</v>
      </c>
      <c r="L797" s="806">
        <v>2</v>
      </c>
      <c r="M797" s="806">
        <v>8</v>
      </c>
      <c r="N797" s="807">
        <v>41516</v>
      </c>
    </row>
    <row r="798" spans="1:14">
      <c r="A798" s="589" t="s">
        <v>1630</v>
      </c>
      <c r="B798" s="583">
        <v>45</v>
      </c>
      <c r="C798" s="243">
        <v>41512</v>
      </c>
      <c r="D798" s="243">
        <v>41512</v>
      </c>
      <c r="E798" s="590" t="s">
        <v>180</v>
      </c>
      <c r="F798" s="589" t="s">
        <v>1392</v>
      </c>
      <c r="G798" s="805" t="s">
        <v>1000</v>
      </c>
      <c r="H798" s="591">
        <v>96</v>
      </c>
      <c r="I798" s="590">
        <v>96</v>
      </c>
      <c r="J798" s="637"/>
      <c r="K798" s="589" t="s">
        <v>1071</v>
      </c>
      <c r="L798" s="810">
        <v>2</v>
      </c>
      <c r="M798" s="810">
        <v>8</v>
      </c>
      <c r="N798" s="807">
        <v>41516</v>
      </c>
    </row>
    <row r="799" spans="1:14">
      <c r="A799" s="804" t="s">
        <v>1630</v>
      </c>
      <c r="B799" s="583">
        <v>45</v>
      </c>
      <c r="C799" s="243">
        <v>41512</v>
      </c>
      <c r="D799" s="243">
        <v>41512</v>
      </c>
      <c r="E799" s="589" t="s">
        <v>184</v>
      </c>
      <c r="F799" s="589" t="s">
        <v>1392</v>
      </c>
      <c r="G799" s="589" t="s">
        <v>1471</v>
      </c>
      <c r="H799" s="592">
        <v>17.8</v>
      </c>
      <c r="I799" s="811">
        <v>17.8</v>
      </c>
      <c r="J799" s="589"/>
      <c r="K799" s="589" t="s">
        <v>1096</v>
      </c>
      <c r="L799" s="806">
        <v>4</v>
      </c>
      <c r="M799" s="806"/>
      <c r="N799" s="807">
        <v>41521</v>
      </c>
    </row>
    <row r="800" spans="1:14">
      <c r="A800" s="804" t="s">
        <v>1631</v>
      </c>
      <c r="B800" s="585" t="s">
        <v>1098</v>
      </c>
      <c r="C800" s="243">
        <v>41512</v>
      </c>
      <c r="D800" s="243">
        <v>41512</v>
      </c>
      <c r="E800" s="584" t="s">
        <v>206</v>
      </c>
      <c r="F800" s="589" t="s">
        <v>1392</v>
      </c>
      <c r="G800" s="805" t="s">
        <v>996</v>
      </c>
      <c r="H800" s="589">
        <v>883</v>
      </c>
      <c r="I800" s="583">
        <v>883</v>
      </c>
      <c r="J800" s="589"/>
      <c r="K800" s="637" t="s">
        <v>1071</v>
      </c>
      <c r="L800" s="806">
        <v>6</v>
      </c>
      <c r="M800" s="806">
        <v>42</v>
      </c>
      <c r="N800" s="807">
        <v>41516</v>
      </c>
    </row>
    <row r="801" spans="1:14">
      <c r="A801" s="589" t="s">
        <v>1631</v>
      </c>
      <c r="B801" s="585" t="s">
        <v>1098</v>
      </c>
      <c r="C801" s="243">
        <v>41512</v>
      </c>
      <c r="D801" s="243">
        <v>41512</v>
      </c>
      <c r="E801" s="589" t="s">
        <v>185</v>
      </c>
      <c r="F801" s="589" t="s">
        <v>1392</v>
      </c>
      <c r="G801" s="589" t="s">
        <v>1483</v>
      </c>
      <c r="H801" s="589">
        <v>57</v>
      </c>
      <c r="I801" s="583">
        <v>57</v>
      </c>
      <c r="J801" s="589"/>
      <c r="K801" s="589" t="s">
        <v>1071</v>
      </c>
      <c r="L801" s="806">
        <v>2</v>
      </c>
      <c r="M801" s="806">
        <v>8</v>
      </c>
      <c r="N801" s="807">
        <v>41514</v>
      </c>
    </row>
    <row r="802" spans="1:14">
      <c r="A802" s="589" t="s">
        <v>1631</v>
      </c>
      <c r="B802" s="585" t="s">
        <v>1098</v>
      </c>
      <c r="C802" s="243">
        <v>41512</v>
      </c>
      <c r="D802" s="243">
        <v>41512</v>
      </c>
      <c r="E802" s="589" t="s">
        <v>245</v>
      </c>
      <c r="F802" s="589" t="s">
        <v>1392</v>
      </c>
      <c r="G802" s="589" t="s">
        <v>991</v>
      </c>
      <c r="H802" s="589">
        <v>223</v>
      </c>
      <c r="I802" s="808">
        <v>223</v>
      </c>
      <c r="J802" s="688"/>
      <c r="K802" s="637" t="s">
        <v>1071</v>
      </c>
      <c r="L802" s="809">
        <v>5</v>
      </c>
      <c r="M802" s="809">
        <v>35</v>
      </c>
      <c r="N802" s="807">
        <v>41527</v>
      </c>
    </row>
    <row r="803" spans="1:14">
      <c r="A803" s="589" t="s">
        <v>1631</v>
      </c>
      <c r="B803" s="585" t="s">
        <v>1098</v>
      </c>
      <c r="C803" s="243">
        <v>41512</v>
      </c>
      <c r="D803" s="243">
        <v>41512</v>
      </c>
      <c r="E803" s="589" t="s">
        <v>179</v>
      </c>
      <c r="F803" s="589" t="s">
        <v>1392</v>
      </c>
      <c r="G803" s="805" t="s">
        <v>1000</v>
      </c>
      <c r="H803" s="589">
        <v>123</v>
      </c>
      <c r="I803" s="583">
        <v>123</v>
      </c>
      <c r="J803" s="589"/>
      <c r="K803" s="589" t="s">
        <v>1071</v>
      </c>
      <c r="L803" s="806">
        <v>2</v>
      </c>
      <c r="M803" s="806">
        <v>8</v>
      </c>
      <c r="N803" s="807">
        <v>41516</v>
      </c>
    </row>
    <row r="804" spans="1:14">
      <c r="A804" s="589" t="s">
        <v>1631</v>
      </c>
      <c r="B804" s="585" t="s">
        <v>1098</v>
      </c>
      <c r="C804" s="243">
        <v>41512</v>
      </c>
      <c r="D804" s="243">
        <v>41512</v>
      </c>
      <c r="E804" s="590" t="s">
        <v>180</v>
      </c>
      <c r="F804" s="589" t="s">
        <v>1392</v>
      </c>
      <c r="G804" s="805" t="s">
        <v>1000</v>
      </c>
      <c r="H804" s="591">
        <v>99</v>
      </c>
      <c r="I804" s="590">
        <v>99</v>
      </c>
      <c r="J804" s="637"/>
      <c r="K804" s="589" t="s">
        <v>1071</v>
      </c>
      <c r="L804" s="810">
        <v>2</v>
      </c>
      <c r="M804" s="810">
        <v>8</v>
      </c>
      <c r="N804" s="807">
        <v>41516</v>
      </c>
    </row>
    <row r="805" spans="1:14">
      <c r="A805" s="589" t="s">
        <v>1631</v>
      </c>
      <c r="B805" s="585" t="s">
        <v>1098</v>
      </c>
      <c r="C805" s="243">
        <v>41512</v>
      </c>
      <c r="D805" s="243">
        <v>41512</v>
      </c>
      <c r="E805" s="589" t="s">
        <v>184</v>
      </c>
      <c r="F805" s="589" t="s">
        <v>1392</v>
      </c>
      <c r="G805" s="589" t="s">
        <v>1471</v>
      </c>
      <c r="H805" s="592">
        <v>5.8</v>
      </c>
      <c r="I805" s="811">
        <v>5.8</v>
      </c>
      <c r="J805" s="589"/>
      <c r="K805" s="589" t="s">
        <v>1096</v>
      </c>
      <c r="L805" s="806">
        <v>4</v>
      </c>
      <c r="M805" s="806"/>
      <c r="N805" s="807">
        <v>41521</v>
      </c>
    </row>
    <row r="806" spans="1:14">
      <c r="A806" s="804" t="s">
        <v>1631</v>
      </c>
      <c r="B806" s="583" t="s">
        <v>1098</v>
      </c>
      <c r="C806" s="243">
        <v>41512</v>
      </c>
      <c r="D806" s="243">
        <v>41512</v>
      </c>
      <c r="E806" s="584" t="s">
        <v>181</v>
      </c>
      <c r="F806" s="804" t="s">
        <v>1392</v>
      </c>
      <c r="G806" s="812" t="s">
        <v>1402</v>
      </c>
      <c r="H806" s="332">
        <v>8</v>
      </c>
      <c r="I806" s="813">
        <v>23.6</v>
      </c>
      <c r="J806" s="814"/>
      <c r="K806" s="589" t="s">
        <v>1071</v>
      </c>
      <c r="L806" s="810">
        <v>0.1</v>
      </c>
      <c r="M806" s="810"/>
      <c r="N806" s="807">
        <v>41522</v>
      </c>
    </row>
    <row r="807" spans="1:14">
      <c r="A807" s="804" t="s">
        <v>1631</v>
      </c>
      <c r="B807" s="583" t="s">
        <v>1098</v>
      </c>
      <c r="C807" s="243">
        <v>41512</v>
      </c>
      <c r="D807" s="243">
        <v>41512</v>
      </c>
      <c r="E807" s="584" t="s">
        <v>181</v>
      </c>
      <c r="F807" s="804" t="s">
        <v>1392</v>
      </c>
      <c r="G807" s="812" t="s">
        <v>1402</v>
      </c>
      <c r="H807" s="332">
        <v>8.3000000000000007</v>
      </c>
      <c r="I807" s="813">
        <v>27.1</v>
      </c>
      <c r="J807" s="814"/>
      <c r="K807" s="589" t="s">
        <v>1071</v>
      </c>
      <c r="L807" s="810">
        <v>0.1</v>
      </c>
      <c r="M807" s="810"/>
      <c r="N807" s="807">
        <v>41522</v>
      </c>
    </row>
    <row r="808" spans="1:14">
      <c r="A808" s="589" t="s">
        <v>1632</v>
      </c>
      <c r="B808" s="583" t="s">
        <v>1099</v>
      </c>
      <c r="C808" s="243">
        <v>41512</v>
      </c>
      <c r="D808" s="243">
        <v>41512</v>
      </c>
      <c r="E808" s="584" t="s">
        <v>206</v>
      </c>
      <c r="F808" s="589" t="s">
        <v>1392</v>
      </c>
      <c r="G808" s="805" t="s">
        <v>996</v>
      </c>
      <c r="H808" s="589">
        <v>861</v>
      </c>
      <c r="I808" s="583">
        <v>861</v>
      </c>
      <c r="J808" s="589"/>
      <c r="K808" s="637" t="s">
        <v>1071</v>
      </c>
      <c r="L808" s="806">
        <v>6</v>
      </c>
      <c r="M808" s="806">
        <v>42</v>
      </c>
      <c r="N808" s="807">
        <v>41516</v>
      </c>
    </row>
    <row r="809" spans="1:14">
      <c r="A809" s="589" t="s">
        <v>1632</v>
      </c>
      <c r="B809" s="583" t="s">
        <v>1099</v>
      </c>
      <c r="C809" s="243">
        <v>41512</v>
      </c>
      <c r="D809" s="243">
        <v>41512</v>
      </c>
      <c r="E809" s="589" t="s">
        <v>185</v>
      </c>
      <c r="F809" s="589" t="s">
        <v>1392</v>
      </c>
      <c r="G809" s="589" t="s">
        <v>1483</v>
      </c>
      <c r="H809" s="589">
        <v>72</v>
      </c>
      <c r="I809" s="583">
        <v>72</v>
      </c>
      <c r="J809" s="589"/>
      <c r="K809" s="589" t="s">
        <v>1071</v>
      </c>
      <c r="L809" s="806">
        <v>2</v>
      </c>
      <c r="M809" s="806">
        <v>8</v>
      </c>
      <c r="N809" s="807">
        <v>41514</v>
      </c>
    </row>
    <row r="810" spans="1:14">
      <c r="A810" s="589" t="s">
        <v>1632</v>
      </c>
      <c r="B810" s="583" t="s">
        <v>1099</v>
      </c>
      <c r="C810" s="243">
        <v>41512</v>
      </c>
      <c r="D810" s="243">
        <v>41512</v>
      </c>
      <c r="E810" s="589" t="s">
        <v>245</v>
      </c>
      <c r="F810" s="589" t="s">
        <v>1392</v>
      </c>
      <c r="G810" s="589" t="s">
        <v>991</v>
      </c>
      <c r="H810" s="589">
        <v>291</v>
      </c>
      <c r="I810" s="808">
        <v>291</v>
      </c>
      <c r="J810" s="688"/>
      <c r="K810" s="637" t="s">
        <v>1071</v>
      </c>
      <c r="L810" s="809">
        <v>5</v>
      </c>
      <c r="M810" s="809">
        <v>35</v>
      </c>
      <c r="N810" s="807">
        <v>41527</v>
      </c>
    </row>
    <row r="811" spans="1:14">
      <c r="A811" s="589" t="s">
        <v>1632</v>
      </c>
      <c r="B811" s="583" t="s">
        <v>1099</v>
      </c>
      <c r="C811" s="243">
        <v>41512</v>
      </c>
      <c r="D811" s="243">
        <v>41512</v>
      </c>
      <c r="E811" s="589" t="s">
        <v>179</v>
      </c>
      <c r="F811" s="589" t="s">
        <v>1392</v>
      </c>
      <c r="G811" s="805" t="s">
        <v>1000</v>
      </c>
      <c r="H811" s="589">
        <v>151</v>
      </c>
      <c r="I811" s="583">
        <v>151</v>
      </c>
      <c r="J811" s="589"/>
      <c r="K811" s="589" t="s">
        <v>1071</v>
      </c>
      <c r="L811" s="806">
        <v>2</v>
      </c>
      <c r="M811" s="806">
        <v>8</v>
      </c>
      <c r="N811" s="807">
        <v>41516</v>
      </c>
    </row>
    <row r="812" spans="1:14">
      <c r="A812" s="589" t="s">
        <v>1632</v>
      </c>
      <c r="B812" s="583" t="s">
        <v>1099</v>
      </c>
      <c r="C812" s="243">
        <v>41512</v>
      </c>
      <c r="D812" s="243">
        <v>41512</v>
      </c>
      <c r="E812" s="590" t="s">
        <v>180</v>
      </c>
      <c r="F812" s="589" t="s">
        <v>1392</v>
      </c>
      <c r="G812" s="805" t="s">
        <v>1000</v>
      </c>
      <c r="H812" s="591">
        <v>108</v>
      </c>
      <c r="I812" s="590">
        <v>108</v>
      </c>
      <c r="J812" s="637"/>
      <c r="K812" s="589" t="s">
        <v>1071</v>
      </c>
      <c r="L812" s="810">
        <v>2</v>
      </c>
      <c r="M812" s="810">
        <v>8</v>
      </c>
      <c r="N812" s="807">
        <v>41516</v>
      </c>
    </row>
    <row r="813" spans="1:14">
      <c r="A813" s="589" t="s">
        <v>1632</v>
      </c>
      <c r="B813" s="583" t="s">
        <v>1099</v>
      </c>
      <c r="C813" s="243">
        <v>41512</v>
      </c>
      <c r="D813" s="243">
        <v>41512</v>
      </c>
      <c r="E813" s="589" t="s">
        <v>184</v>
      </c>
      <c r="F813" s="589" t="s">
        <v>1392</v>
      </c>
      <c r="G813" s="589" t="s">
        <v>1471</v>
      </c>
      <c r="H813" s="592">
        <v>10.6</v>
      </c>
      <c r="I813" s="811">
        <v>10.6</v>
      </c>
      <c r="J813" s="589"/>
      <c r="K813" s="589" t="s">
        <v>1096</v>
      </c>
      <c r="L813" s="806">
        <v>4</v>
      </c>
      <c r="M813" s="806"/>
      <c r="N813" s="807">
        <v>41521</v>
      </c>
    </row>
    <row r="814" spans="1:14">
      <c r="A814" s="804" t="s">
        <v>1633</v>
      </c>
      <c r="B814" s="583" t="s">
        <v>1405</v>
      </c>
      <c r="C814" s="243">
        <v>41512</v>
      </c>
      <c r="D814" s="243">
        <v>41512</v>
      </c>
      <c r="E814" s="584" t="s">
        <v>206</v>
      </c>
      <c r="F814" s="589" t="s">
        <v>1392</v>
      </c>
      <c r="G814" s="805" t="s">
        <v>996</v>
      </c>
      <c r="H814" s="589">
        <v>1199</v>
      </c>
      <c r="I814" s="583">
        <v>1199</v>
      </c>
      <c r="J814" s="589"/>
      <c r="K814" s="637" t="s">
        <v>1071</v>
      </c>
      <c r="L814" s="806">
        <v>6</v>
      </c>
      <c r="M814" s="806">
        <v>42</v>
      </c>
      <c r="N814" s="807">
        <v>41516</v>
      </c>
    </row>
    <row r="815" spans="1:14">
      <c r="A815" s="688" t="s">
        <v>1633</v>
      </c>
      <c r="B815" s="583" t="s">
        <v>1405</v>
      </c>
      <c r="C815" s="243">
        <v>41512</v>
      </c>
      <c r="D815" s="243">
        <v>41512</v>
      </c>
      <c r="E815" s="589" t="s">
        <v>185</v>
      </c>
      <c r="F815" s="589" t="s">
        <v>1392</v>
      </c>
      <c r="G815" s="589" t="s">
        <v>1483</v>
      </c>
      <c r="H815" s="589">
        <v>305</v>
      </c>
      <c r="I815" s="583">
        <v>305</v>
      </c>
      <c r="J815" s="589"/>
      <c r="K815" s="589" t="s">
        <v>1071</v>
      </c>
      <c r="L815" s="806">
        <v>2</v>
      </c>
      <c r="M815" s="806">
        <v>8</v>
      </c>
      <c r="N815" s="807">
        <v>41514</v>
      </c>
    </row>
    <row r="816" spans="1:14">
      <c r="A816" s="688" t="s">
        <v>1633</v>
      </c>
      <c r="B816" s="583" t="s">
        <v>1405</v>
      </c>
      <c r="C816" s="243">
        <v>41512</v>
      </c>
      <c r="D816" s="243">
        <v>41512</v>
      </c>
      <c r="E816" s="589" t="s">
        <v>245</v>
      </c>
      <c r="F816" s="589" t="s">
        <v>1392</v>
      </c>
      <c r="G816" s="589" t="s">
        <v>991</v>
      </c>
      <c r="H816" s="589">
        <v>45</v>
      </c>
      <c r="I816" s="808">
        <v>45</v>
      </c>
      <c r="J816" s="589"/>
      <c r="K816" s="637" t="s">
        <v>1071</v>
      </c>
      <c r="L816" s="809">
        <v>5</v>
      </c>
      <c r="M816" s="809">
        <v>35</v>
      </c>
      <c r="N816" s="807">
        <v>41527</v>
      </c>
    </row>
    <row r="817" spans="1:14">
      <c r="A817" s="688" t="s">
        <v>1633</v>
      </c>
      <c r="B817" s="583" t="s">
        <v>1405</v>
      </c>
      <c r="C817" s="243">
        <v>41512</v>
      </c>
      <c r="D817" s="243">
        <v>41512</v>
      </c>
      <c r="E817" s="589" t="s">
        <v>179</v>
      </c>
      <c r="F817" s="589" t="s">
        <v>1392</v>
      </c>
      <c r="G817" s="805" t="s">
        <v>1000</v>
      </c>
      <c r="H817" s="589">
        <v>103</v>
      </c>
      <c r="I817" s="583">
        <v>103</v>
      </c>
      <c r="J817" s="589"/>
      <c r="K817" s="589" t="s">
        <v>1071</v>
      </c>
      <c r="L817" s="806">
        <v>2</v>
      </c>
      <c r="M817" s="806">
        <v>8</v>
      </c>
      <c r="N817" s="807">
        <v>41516</v>
      </c>
    </row>
    <row r="818" spans="1:14">
      <c r="A818" s="804" t="s">
        <v>1634</v>
      </c>
      <c r="B818" s="583" t="s">
        <v>1408</v>
      </c>
      <c r="C818" s="243">
        <v>41512</v>
      </c>
      <c r="D818" s="243">
        <v>41512</v>
      </c>
      <c r="E818" s="584" t="s">
        <v>206</v>
      </c>
      <c r="F818" s="589" t="s">
        <v>1392</v>
      </c>
      <c r="G818" s="805" t="s">
        <v>996</v>
      </c>
      <c r="H818" s="589">
        <v>1023</v>
      </c>
      <c r="I818" s="583">
        <v>1023</v>
      </c>
      <c r="J818" s="589"/>
      <c r="K818" s="637" t="s">
        <v>1071</v>
      </c>
      <c r="L818" s="806">
        <v>6</v>
      </c>
      <c r="M818" s="806">
        <v>42</v>
      </c>
      <c r="N818" s="807">
        <v>41516</v>
      </c>
    </row>
    <row r="819" spans="1:14">
      <c r="A819" s="688" t="s">
        <v>1634</v>
      </c>
      <c r="B819" s="583" t="s">
        <v>1408</v>
      </c>
      <c r="C819" s="243">
        <v>41512</v>
      </c>
      <c r="D819" s="243">
        <v>41512</v>
      </c>
      <c r="E819" s="589" t="s">
        <v>185</v>
      </c>
      <c r="F819" s="589" t="s">
        <v>1392</v>
      </c>
      <c r="G819" s="589" t="s">
        <v>1483</v>
      </c>
      <c r="H819" s="589">
        <v>149</v>
      </c>
      <c r="I819" s="583">
        <v>149</v>
      </c>
      <c r="J819" s="589"/>
      <c r="K819" s="589" t="s">
        <v>1071</v>
      </c>
      <c r="L819" s="806">
        <v>2</v>
      </c>
      <c r="M819" s="806">
        <v>8</v>
      </c>
      <c r="N819" s="807">
        <v>41514</v>
      </c>
    </row>
    <row r="820" spans="1:14">
      <c r="A820" s="688" t="s">
        <v>1634</v>
      </c>
      <c r="B820" s="583" t="s">
        <v>1408</v>
      </c>
      <c r="C820" s="243">
        <v>41512</v>
      </c>
      <c r="D820" s="243">
        <v>41512</v>
      </c>
      <c r="E820" s="589" t="s">
        <v>245</v>
      </c>
      <c r="F820" s="589" t="s">
        <v>1392</v>
      </c>
      <c r="G820" s="589" t="s">
        <v>991</v>
      </c>
      <c r="H820" s="589">
        <v>64</v>
      </c>
      <c r="I820" s="808">
        <v>64</v>
      </c>
      <c r="J820" s="589"/>
      <c r="K820" s="637" t="s">
        <v>1071</v>
      </c>
      <c r="L820" s="809">
        <v>5</v>
      </c>
      <c r="M820" s="809">
        <v>35</v>
      </c>
      <c r="N820" s="807">
        <v>41527</v>
      </c>
    </row>
    <row r="821" spans="1:14">
      <c r="A821" s="688" t="s">
        <v>1634</v>
      </c>
      <c r="B821" s="583" t="s">
        <v>1408</v>
      </c>
      <c r="C821" s="243">
        <v>41512</v>
      </c>
      <c r="D821" s="243">
        <v>41512</v>
      </c>
      <c r="E821" s="589" t="s">
        <v>179</v>
      </c>
      <c r="F821" s="589" t="s">
        <v>1392</v>
      </c>
      <c r="G821" s="805" t="s">
        <v>1000</v>
      </c>
      <c r="H821" s="589">
        <v>89</v>
      </c>
      <c r="I821" s="583">
        <v>89</v>
      </c>
      <c r="J821" s="589"/>
      <c r="K821" s="589" t="s">
        <v>1071</v>
      </c>
      <c r="L821" s="806">
        <v>2</v>
      </c>
      <c r="M821" s="806">
        <v>8</v>
      </c>
      <c r="N821" s="807">
        <v>41516</v>
      </c>
    </row>
    <row r="822" spans="1:14">
      <c r="A822" s="804" t="s">
        <v>1635</v>
      </c>
      <c r="B822" s="583">
        <v>52</v>
      </c>
      <c r="C822" s="243">
        <v>41512</v>
      </c>
      <c r="D822" s="243">
        <v>41512</v>
      </c>
      <c r="E822" s="584" t="s">
        <v>206</v>
      </c>
      <c r="F822" s="589" t="s">
        <v>1392</v>
      </c>
      <c r="G822" s="805" t="s">
        <v>996</v>
      </c>
      <c r="H822" s="589">
        <v>841</v>
      </c>
      <c r="I822" s="583">
        <v>841</v>
      </c>
      <c r="J822" s="589"/>
      <c r="K822" s="637" t="s">
        <v>1071</v>
      </c>
      <c r="L822" s="806">
        <v>6</v>
      </c>
      <c r="M822" s="806">
        <v>42</v>
      </c>
      <c r="N822" s="807">
        <v>41516</v>
      </c>
    </row>
    <row r="823" spans="1:14">
      <c r="A823" s="804" t="s">
        <v>1635</v>
      </c>
      <c r="B823" s="583">
        <v>52</v>
      </c>
      <c r="C823" s="243">
        <v>41512</v>
      </c>
      <c r="D823" s="243">
        <v>41512</v>
      </c>
      <c r="E823" s="589" t="s">
        <v>185</v>
      </c>
      <c r="F823" s="589" t="s">
        <v>1392</v>
      </c>
      <c r="G823" s="589" t="s">
        <v>1483</v>
      </c>
      <c r="H823" s="589">
        <v>250</v>
      </c>
      <c r="I823" s="583">
        <v>250</v>
      </c>
      <c r="J823" s="589"/>
      <c r="K823" s="589" t="s">
        <v>1071</v>
      </c>
      <c r="L823" s="806">
        <v>2</v>
      </c>
      <c r="M823" s="806">
        <v>8</v>
      </c>
      <c r="N823" s="807">
        <v>41514</v>
      </c>
    </row>
    <row r="824" spans="1:14">
      <c r="A824" s="804" t="s">
        <v>1635</v>
      </c>
      <c r="B824" s="583">
        <v>52</v>
      </c>
      <c r="C824" s="243">
        <v>41512</v>
      </c>
      <c r="D824" s="243">
        <v>41512</v>
      </c>
      <c r="E824" s="589" t="s">
        <v>245</v>
      </c>
      <c r="F824" s="589" t="s">
        <v>1392</v>
      </c>
      <c r="G824" s="589" t="s">
        <v>991</v>
      </c>
      <c r="H824" s="589">
        <v>42</v>
      </c>
      <c r="I824" s="808">
        <v>42</v>
      </c>
      <c r="J824" s="589"/>
      <c r="K824" s="637" t="s">
        <v>1071</v>
      </c>
      <c r="L824" s="809">
        <v>5</v>
      </c>
      <c r="M824" s="809">
        <v>35</v>
      </c>
      <c r="N824" s="807">
        <v>41527</v>
      </c>
    </row>
    <row r="825" spans="1:14">
      <c r="A825" s="804" t="s">
        <v>1635</v>
      </c>
      <c r="B825" s="583">
        <v>52</v>
      </c>
      <c r="C825" s="243">
        <v>41512</v>
      </c>
      <c r="D825" s="243">
        <v>41512</v>
      </c>
      <c r="E825" s="589" t="s">
        <v>179</v>
      </c>
      <c r="F825" s="589" t="s">
        <v>1392</v>
      </c>
      <c r="G825" s="805" t="s">
        <v>1000</v>
      </c>
      <c r="H825" s="589">
        <v>28</v>
      </c>
      <c r="I825" s="583">
        <v>28</v>
      </c>
      <c r="J825" s="589"/>
      <c r="K825" s="589" t="s">
        <v>1071</v>
      </c>
      <c r="L825" s="806">
        <v>2</v>
      </c>
      <c r="M825" s="806">
        <v>8</v>
      </c>
      <c r="N825" s="807">
        <v>41516</v>
      </c>
    </row>
    <row r="826" spans="1:14">
      <c r="A826" s="804" t="s">
        <v>1635</v>
      </c>
      <c r="B826" s="583">
        <v>53</v>
      </c>
      <c r="C826" s="243">
        <v>41512</v>
      </c>
      <c r="D826" s="243">
        <v>41512</v>
      </c>
      <c r="E826" s="584" t="s">
        <v>206</v>
      </c>
      <c r="F826" s="589" t="s">
        <v>1392</v>
      </c>
      <c r="G826" s="805" t="s">
        <v>996</v>
      </c>
      <c r="H826" s="589">
        <v>612</v>
      </c>
      <c r="I826" s="583">
        <v>612</v>
      </c>
      <c r="J826" s="589"/>
      <c r="K826" s="637" t="s">
        <v>1071</v>
      </c>
      <c r="L826" s="806">
        <v>6</v>
      </c>
      <c r="M826" s="806">
        <v>42</v>
      </c>
      <c r="N826" s="807">
        <v>41516</v>
      </c>
    </row>
    <row r="827" spans="1:14">
      <c r="A827" s="804" t="s">
        <v>1635</v>
      </c>
      <c r="B827" s="583">
        <v>53</v>
      </c>
      <c r="C827" s="243">
        <v>41512</v>
      </c>
      <c r="D827" s="243">
        <v>41512</v>
      </c>
      <c r="E827" s="589" t="s">
        <v>185</v>
      </c>
      <c r="F827" s="589" t="s">
        <v>1392</v>
      </c>
      <c r="G827" s="589" t="s">
        <v>1483</v>
      </c>
      <c r="H827" s="589">
        <v>41</v>
      </c>
      <c r="I827" s="583">
        <v>41</v>
      </c>
      <c r="J827" s="589"/>
      <c r="K827" s="589" t="s">
        <v>1071</v>
      </c>
      <c r="L827" s="806">
        <v>2</v>
      </c>
      <c r="M827" s="806">
        <v>8</v>
      </c>
      <c r="N827" s="807">
        <v>41514</v>
      </c>
    </row>
    <row r="828" spans="1:14">
      <c r="A828" s="804" t="s">
        <v>1635</v>
      </c>
      <c r="B828" s="583">
        <v>53</v>
      </c>
      <c r="C828" s="243">
        <v>41512</v>
      </c>
      <c r="D828" s="243">
        <v>41512</v>
      </c>
      <c r="E828" s="589" t="s">
        <v>245</v>
      </c>
      <c r="F828" s="589" t="s">
        <v>1392</v>
      </c>
      <c r="G828" s="589" t="s">
        <v>991</v>
      </c>
      <c r="H828" s="589">
        <v>37</v>
      </c>
      <c r="I828" s="808">
        <v>37</v>
      </c>
      <c r="J828" s="589"/>
      <c r="K828" s="637" t="s">
        <v>1071</v>
      </c>
      <c r="L828" s="809">
        <v>5</v>
      </c>
      <c r="M828" s="809">
        <v>35</v>
      </c>
      <c r="N828" s="807">
        <v>41527</v>
      </c>
    </row>
    <row r="829" spans="1:14">
      <c r="A829" s="804" t="s">
        <v>1635</v>
      </c>
      <c r="B829" s="583">
        <v>53</v>
      </c>
      <c r="C829" s="243">
        <v>41512</v>
      </c>
      <c r="D829" s="243">
        <v>41512</v>
      </c>
      <c r="E829" s="589" t="s">
        <v>179</v>
      </c>
      <c r="F829" s="589" t="s">
        <v>1392</v>
      </c>
      <c r="G829" s="805" t="s">
        <v>1000</v>
      </c>
      <c r="H829" s="589">
        <v>19</v>
      </c>
      <c r="I829" s="583">
        <v>19</v>
      </c>
      <c r="J829" s="589"/>
      <c r="K829" s="589" t="s">
        <v>1071</v>
      </c>
      <c r="L829" s="806">
        <v>2</v>
      </c>
      <c r="M829" s="806">
        <v>8</v>
      </c>
      <c r="N829" s="807">
        <v>41516</v>
      </c>
    </row>
    <row r="830" spans="1:14">
      <c r="A830" s="804" t="s">
        <v>1636</v>
      </c>
      <c r="B830" s="583">
        <v>54</v>
      </c>
      <c r="C830" s="243">
        <v>41512</v>
      </c>
      <c r="D830" s="243">
        <v>41512</v>
      </c>
      <c r="E830" s="584" t="s">
        <v>206</v>
      </c>
      <c r="F830" s="589" t="s">
        <v>1392</v>
      </c>
      <c r="G830" s="805" t="s">
        <v>996</v>
      </c>
      <c r="H830" s="589">
        <v>540</v>
      </c>
      <c r="I830" s="583">
        <v>540</v>
      </c>
      <c r="J830" s="589"/>
      <c r="K830" s="637" t="s">
        <v>1071</v>
      </c>
      <c r="L830" s="806">
        <v>6</v>
      </c>
      <c r="M830" s="806">
        <v>42</v>
      </c>
      <c r="N830" s="807">
        <v>41516</v>
      </c>
    </row>
    <row r="831" spans="1:14">
      <c r="A831" s="804" t="s">
        <v>1636</v>
      </c>
      <c r="B831" s="583">
        <v>54</v>
      </c>
      <c r="C831" s="243">
        <v>41512</v>
      </c>
      <c r="D831" s="243">
        <v>41512</v>
      </c>
      <c r="E831" s="589" t="s">
        <v>185</v>
      </c>
      <c r="F831" s="589" t="s">
        <v>1392</v>
      </c>
      <c r="G831" s="589" t="s">
        <v>1483</v>
      </c>
      <c r="H831" s="589">
        <v>9</v>
      </c>
      <c r="I831" s="583">
        <v>9</v>
      </c>
      <c r="J831" s="589"/>
      <c r="K831" s="589" t="s">
        <v>1071</v>
      </c>
      <c r="L831" s="806">
        <v>2</v>
      </c>
      <c r="M831" s="806">
        <v>8</v>
      </c>
      <c r="N831" s="807">
        <v>41514</v>
      </c>
    </row>
    <row r="832" spans="1:14">
      <c r="A832" s="804" t="s">
        <v>1636</v>
      </c>
      <c r="B832" s="583">
        <v>54</v>
      </c>
      <c r="C832" s="243">
        <v>41512</v>
      </c>
      <c r="D832" s="243">
        <v>41512</v>
      </c>
      <c r="E832" s="589" t="s">
        <v>245</v>
      </c>
      <c r="F832" s="589" t="s">
        <v>1392</v>
      </c>
      <c r="G832" s="589" t="s">
        <v>991</v>
      </c>
      <c r="H832" s="589">
        <v>45</v>
      </c>
      <c r="I832" s="808">
        <v>45</v>
      </c>
      <c r="J832" s="589"/>
      <c r="K832" s="637" t="s">
        <v>1071</v>
      </c>
      <c r="L832" s="809">
        <v>5</v>
      </c>
      <c r="M832" s="809">
        <v>35</v>
      </c>
      <c r="N832" s="807">
        <v>41527</v>
      </c>
    </row>
    <row r="833" spans="1:14">
      <c r="A833" s="804" t="s">
        <v>1636</v>
      </c>
      <c r="B833" s="583">
        <v>54</v>
      </c>
      <c r="C833" s="243">
        <v>41512</v>
      </c>
      <c r="D833" s="243">
        <v>41512</v>
      </c>
      <c r="E833" s="589" t="s">
        <v>179</v>
      </c>
      <c r="F833" s="589" t="s">
        <v>1392</v>
      </c>
      <c r="G833" s="805" t="s">
        <v>1000</v>
      </c>
      <c r="H833" s="589">
        <v>36</v>
      </c>
      <c r="I833" s="583">
        <v>36</v>
      </c>
      <c r="J833" s="589"/>
      <c r="K833" s="589" t="s">
        <v>1071</v>
      </c>
      <c r="L833" s="806">
        <v>2</v>
      </c>
      <c r="M833" s="806">
        <v>8</v>
      </c>
      <c r="N833" s="807">
        <v>41516</v>
      </c>
    </row>
    <row r="834" spans="1:14">
      <c r="A834" s="804" t="s">
        <v>1637</v>
      </c>
      <c r="B834" s="583">
        <v>55</v>
      </c>
      <c r="C834" s="243">
        <v>41512</v>
      </c>
      <c r="D834" s="243">
        <v>41512</v>
      </c>
      <c r="E834" s="584" t="s">
        <v>206</v>
      </c>
      <c r="F834" s="589" t="s">
        <v>1392</v>
      </c>
      <c r="G834" s="805" t="s">
        <v>996</v>
      </c>
      <c r="H834" s="589">
        <v>615</v>
      </c>
      <c r="I834" s="583">
        <v>615</v>
      </c>
      <c r="J834" s="589"/>
      <c r="K834" s="637" t="s">
        <v>1071</v>
      </c>
      <c r="L834" s="806">
        <v>6</v>
      </c>
      <c r="M834" s="806">
        <v>42</v>
      </c>
      <c r="N834" s="807">
        <v>41516</v>
      </c>
    </row>
    <row r="835" spans="1:14">
      <c r="A835" s="804" t="s">
        <v>1637</v>
      </c>
      <c r="B835" s="583">
        <v>55</v>
      </c>
      <c r="C835" s="243">
        <v>41512</v>
      </c>
      <c r="D835" s="243">
        <v>41512</v>
      </c>
      <c r="E835" s="589" t="s">
        <v>185</v>
      </c>
      <c r="F835" s="589" t="s">
        <v>1392</v>
      </c>
      <c r="G835" s="589" t="s">
        <v>1483</v>
      </c>
      <c r="H835" s="589"/>
      <c r="I835" s="583"/>
      <c r="J835" s="589" t="s">
        <v>1395</v>
      </c>
      <c r="K835" s="589" t="s">
        <v>1071</v>
      </c>
      <c r="L835" s="806">
        <v>2</v>
      </c>
      <c r="M835" s="806">
        <v>8</v>
      </c>
      <c r="N835" s="807">
        <v>41514</v>
      </c>
    </row>
    <row r="836" spans="1:14">
      <c r="A836" s="804" t="s">
        <v>1637</v>
      </c>
      <c r="B836" s="583">
        <v>55</v>
      </c>
      <c r="C836" s="243">
        <v>41512</v>
      </c>
      <c r="D836" s="243">
        <v>41512</v>
      </c>
      <c r="E836" s="589" t="s">
        <v>245</v>
      </c>
      <c r="F836" s="589" t="s">
        <v>1392</v>
      </c>
      <c r="G836" s="589" t="s">
        <v>991</v>
      </c>
      <c r="H836" s="589">
        <v>44</v>
      </c>
      <c r="I836" s="808">
        <v>44</v>
      </c>
      <c r="J836" s="589"/>
      <c r="K836" s="637" t="s">
        <v>1071</v>
      </c>
      <c r="L836" s="809">
        <v>5</v>
      </c>
      <c r="M836" s="809">
        <v>35</v>
      </c>
      <c r="N836" s="807">
        <v>41527</v>
      </c>
    </row>
    <row r="837" spans="1:14">
      <c r="A837" s="804" t="s">
        <v>1637</v>
      </c>
      <c r="B837" s="583">
        <v>55</v>
      </c>
      <c r="C837" s="243">
        <v>41512</v>
      </c>
      <c r="D837" s="243">
        <v>41512</v>
      </c>
      <c r="E837" s="589" t="s">
        <v>179</v>
      </c>
      <c r="F837" s="589" t="s">
        <v>1392</v>
      </c>
      <c r="G837" s="805" t="s">
        <v>1000</v>
      </c>
      <c r="H837" s="589">
        <v>18</v>
      </c>
      <c r="I837" s="583">
        <v>18</v>
      </c>
      <c r="J837" s="589"/>
      <c r="K837" s="589" t="s">
        <v>1071</v>
      </c>
      <c r="L837" s="806">
        <v>2</v>
      </c>
      <c r="M837" s="806">
        <v>8</v>
      </c>
      <c r="N837" s="807">
        <v>41516</v>
      </c>
    </row>
    <row r="838" spans="1:14">
      <c r="A838" s="804" t="s">
        <v>1638</v>
      </c>
      <c r="B838" s="583" t="s">
        <v>297</v>
      </c>
      <c r="C838" s="243">
        <v>41512</v>
      </c>
      <c r="D838" s="243">
        <v>41512</v>
      </c>
      <c r="E838" s="584" t="s">
        <v>206</v>
      </c>
      <c r="F838" s="589" t="s">
        <v>1392</v>
      </c>
      <c r="G838" s="805" t="s">
        <v>996</v>
      </c>
      <c r="H838" s="589">
        <v>451</v>
      </c>
      <c r="I838" s="583">
        <v>451</v>
      </c>
      <c r="J838" s="589"/>
      <c r="K838" s="637" t="s">
        <v>1071</v>
      </c>
      <c r="L838" s="806">
        <v>6</v>
      </c>
      <c r="M838" s="806">
        <v>42</v>
      </c>
      <c r="N838" s="807">
        <v>41516</v>
      </c>
    </row>
    <row r="839" spans="1:14">
      <c r="A839" s="804" t="s">
        <v>1638</v>
      </c>
      <c r="B839" s="583" t="s">
        <v>297</v>
      </c>
      <c r="C839" s="243">
        <v>41512</v>
      </c>
      <c r="D839" s="243">
        <v>41512</v>
      </c>
      <c r="E839" s="589" t="s">
        <v>185</v>
      </c>
      <c r="F839" s="589" t="s">
        <v>1392</v>
      </c>
      <c r="G839" s="589" t="s">
        <v>1483</v>
      </c>
      <c r="H839" s="589">
        <v>3</v>
      </c>
      <c r="I839" s="583">
        <v>3</v>
      </c>
      <c r="J839" s="589" t="s">
        <v>1419</v>
      </c>
      <c r="K839" s="589" t="s">
        <v>1071</v>
      </c>
      <c r="L839" s="806">
        <v>2</v>
      </c>
      <c r="M839" s="806">
        <v>8</v>
      </c>
      <c r="N839" s="807">
        <v>41514</v>
      </c>
    </row>
    <row r="840" spans="1:14">
      <c r="A840" s="804" t="s">
        <v>1638</v>
      </c>
      <c r="B840" s="583" t="s">
        <v>297</v>
      </c>
      <c r="C840" s="243">
        <v>41512</v>
      </c>
      <c r="D840" s="243">
        <v>41512</v>
      </c>
      <c r="E840" s="589" t="s">
        <v>245</v>
      </c>
      <c r="F840" s="589" t="s">
        <v>1392</v>
      </c>
      <c r="G840" s="589" t="s">
        <v>991</v>
      </c>
      <c r="H840" s="589">
        <v>50</v>
      </c>
      <c r="I840" s="808">
        <v>50</v>
      </c>
      <c r="J840" s="589"/>
      <c r="K840" s="637" t="s">
        <v>1071</v>
      </c>
      <c r="L840" s="809">
        <v>5</v>
      </c>
      <c r="M840" s="809">
        <v>35</v>
      </c>
      <c r="N840" s="807">
        <v>41527</v>
      </c>
    </row>
    <row r="841" spans="1:14">
      <c r="A841" s="804" t="s">
        <v>1638</v>
      </c>
      <c r="B841" s="583" t="s">
        <v>297</v>
      </c>
      <c r="C841" s="243">
        <v>41512</v>
      </c>
      <c r="D841" s="243">
        <v>41512</v>
      </c>
      <c r="E841" s="589" t="s">
        <v>179</v>
      </c>
      <c r="F841" s="589" t="s">
        <v>1392</v>
      </c>
      <c r="G841" s="805" t="s">
        <v>1000</v>
      </c>
      <c r="H841" s="589">
        <v>26</v>
      </c>
      <c r="I841" s="583">
        <v>26</v>
      </c>
      <c r="J841" s="589"/>
      <c r="K841" s="589" t="s">
        <v>1071</v>
      </c>
      <c r="L841" s="806">
        <v>2</v>
      </c>
      <c r="M841" s="806">
        <v>8</v>
      </c>
      <c r="N841" s="807">
        <v>41516</v>
      </c>
    </row>
    <row r="842" spans="1:14">
      <c r="A842" s="804" t="s">
        <v>1638</v>
      </c>
      <c r="B842" s="583" t="s">
        <v>297</v>
      </c>
      <c r="C842" s="243">
        <v>41512</v>
      </c>
      <c r="D842" s="243">
        <v>41512</v>
      </c>
      <c r="E842" s="590" t="s">
        <v>180</v>
      </c>
      <c r="F842" s="589" t="s">
        <v>1392</v>
      </c>
      <c r="G842" s="805" t="s">
        <v>1000</v>
      </c>
      <c r="H842" s="591">
        <v>4</v>
      </c>
      <c r="I842" s="590">
        <v>4</v>
      </c>
      <c r="J842" s="637" t="s">
        <v>1419</v>
      </c>
      <c r="K842" s="589" t="s">
        <v>1071</v>
      </c>
      <c r="L842" s="810">
        <v>2</v>
      </c>
      <c r="M842" s="810">
        <v>8</v>
      </c>
      <c r="N842" s="807">
        <v>41516</v>
      </c>
    </row>
    <row r="843" spans="1:14">
      <c r="A843" s="804" t="s">
        <v>1638</v>
      </c>
      <c r="B843" s="583" t="s">
        <v>297</v>
      </c>
      <c r="C843" s="243">
        <v>41512</v>
      </c>
      <c r="D843" s="243">
        <v>41512</v>
      </c>
      <c r="E843" s="589" t="s">
        <v>184</v>
      </c>
      <c r="F843" s="589" t="s">
        <v>1392</v>
      </c>
      <c r="G843" s="589" t="s">
        <v>1471</v>
      </c>
      <c r="H843" s="592">
        <v>14.4</v>
      </c>
      <c r="I843" s="811">
        <v>14.4</v>
      </c>
      <c r="J843" s="589"/>
      <c r="K843" s="589" t="s">
        <v>1096</v>
      </c>
      <c r="L843" s="806">
        <v>4</v>
      </c>
      <c r="M843" s="806"/>
      <c r="N843" s="807">
        <v>41521</v>
      </c>
    </row>
    <row r="844" spans="1:14">
      <c r="A844" s="804" t="s">
        <v>1638</v>
      </c>
      <c r="B844" s="583" t="s">
        <v>297</v>
      </c>
      <c r="C844" s="243">
        <v>41512</v>
      </c>
      <c r="D844" s="243">
        <v>41512</v>
      </c>
      <c r="E844" s="584" t="s">
        <v>181</v>
      </c>
      <c r="F844" s="804" t="s">
        <v>1392</v>
      </c>
      <c r="G844" s="812" t="s">
        <v>1402</v>
      </c>
      <c r="H844" s="332">
        <v>23.6</v>
      </c>
      <c r="I844" s="813">
        <v>8</v>
      </c>
      <c r="J844" s="814"/>
      <c r="K844" s="589" t="s">
        <v>1071</v>
      </c>
      <c r="L844" s="810">
        <v>0.1</v>
      </c>
      <c r="M844" s="810"/>
      <c r="N844" s="807">
        <v>41522</v>
      </c>
    </row>
    <row r="845" spans="1:14">
      <c r="A845" s="804" t="s">
        <v>1638</v>
      </c>
      <c r="B845" s="583" t="s">
        <v>297</v>
      </c>
      <c r="C845" s="243">
        <v>41512</v>
      </c>
      <c r="D845" s="243">
        <v>41512</v>
      </c>
      <c r="E845" s="584" t="s">
        <v>181</v>
      </c>
      <c r="F845" s="804" t="s">
        <v>1392</v>
      </c>
      <c r="G845" s="812" t="s">
        <v>1402</v>
      </c>
      <c r="H845" s="332">
        <v>27.1</v>
      </c>
      <c r="I845" s="813">
        <v>8.3000000000000007</v>
      </c>
      <c r="J845" s="814"/>
      <c r="K845" s="589" t="s">
        <v>1071</v>
      </c>
      <c r="L845" s="810">
        <v>0.1</v>
      </c>
      <c r="M845" s="810"/>
      <c r="N845" s="807">
        <v>41522</v>
      </c>
    </row>
    <row r="846" spans="1:14">
      <c r="A846" s="804" t="s">
        <v>1639</v>
      </c>
      <c r="B846" s="583" t="s">
        <v>402</v>
      </c>
      <c r="C846" s="243">
        <v>41512</v>
      </c>
      <c r="D846" s="243">
        <v>41512</v>
      </c>
      <c r="E846" s="584" t="s">
        <v>206</v>
      </c>
      <c r="F846" s="589" t="s">
        <v>1392</v>
      </c>
      <c r="G846" s="805" t="s">
        <v>996</v>
      </c>
      <c r="H846" s="589">
        <v>253</v>
      </c>
      <c r="I846" s="583">
        <v>253</v>
      </c>
      <c r="J846" s="589"/>
      <c r="K846" s="637" t="s">
        <v>1071</v>
      </c>
      <c r="L846" s="806">
        <v>6</v>
      </c>
      <c r="M846" s="806">
        <v>42</v>
      </c>
      <c r="N846" s="807">
        <v>41516</v>
      </c>
    </row>
    <row r="847" spans="1:14">
      <c r="A847" s="804" t="s">
        <v>1639</v>
      </c>
      <c r="B847" s="583" t="s">
        <v>402</v>
      </c>
      <c r="C847" s="243">
        <v>41512</v>
      </c>
      <c r="D847" s="243">
        <v>41512</v>
      </c>
      <c r="E847" s="589" t="s">
        <v>185</v>
      </c>
      <c r="F847" s="589" t="s">
        <v>1392</v>
      </c>
      <c r="G847" s="589" t="s">
        <v>1483</v>
      </c>
      <c r="H847" s="589">
        <v>4</v>
      </c>
      <c r="I847" s="583">
        <v>4</v>
      </c>
      <c r="J847" s="589" t="s">
        <v>1419</v>
      </c>
      <c r="K847" s="589" t="s">
        <v>1071</v>
      </c>
      <c r="L847" s="806">
        <v>2</v>
      </c>
      <c r="M847" s="806">
        <v>8</v>
      </c>
      <c r="N847" s="807">
        <v>41514</v>
      </c>
    </row>
    <row r="848" spans="1:14">
      <c r="A848" s="804" t="s">
        <v>1639</v>
      </c>
      <c r="B848" s="583" t="s">
        <v>402</v>
      </c>
      <c r="C848" s="243">
        <v>41512</v>
      </c>
      <c r="D848" s="243">
        <v>41512</v>
      </c>
      <c r="E848" s="589" t="s">
        <v>245</v>
      </c>
      <c r="F848" s="589" t="s">
        <v>1392</v>
      </c>
      <c r="G848" s="589" t="s">
        <v>991</v>
      </c>
      <c r="H848" s="589">
        <v>45</v>
      </c>
      <c r="I848" s="808">
        <v>45</v>
      </c>
      <c r="J848" s="589"/>
      <c r="K848" s="637" t="s">
        <v>1071</v>
      </c>
      <c r="L848" s="809">
        <v>5</v>
      </c>
      <c r="M848" s="809">
        <v>35</v>
      </c>
      <c r="N848" s="807">
        <v>41527</v>
      </c>
    </row>
    <row r="849" spans="1:14">
      <c r="A849" s="804" t="s">
        <v>1639</v>
      </c>
      <c r="B849" s="583" t="s">
        <v>402</v>
      </c>
      <c r="C849" s="243">
        <v>41512</v>
      </c>
      <c r="D849" s="243">
        <v>41512</v>
      </c>
      <c r="E849" s="589" t="s">
        <v>179</v>
      </c>
      <c r="F849" s="589" t="s">
        <v>1392</v>
      </c>
      <c r="G849" s="805" t="s">
        <v>1000</v>
      </c>
      <c r="H849" s="589">
        <v>26</v>
      </c>
      <c r="I849" s="583">
        <v>26</v>
      </c>
      <c r="J849" s="589"/>
      <c r="K849" s="589" t="s">
        <v>1071</v>
      </c>
      <c r="L849" s="806">
        <v>2</v>
      </c>
      <c r="M849" s="806">
        <v>8</v>
      </c>
      <c r="N849" s="807">
        <v>41516</v>
      </c>
    </row>
    <row r="850" spans="1:14">
      <c r="A850" s="804" t="s">
        <v>1639</v>
      </c>
      <c r="B850" s="583" t="s">
        <v>402</v>
      </c>
      <c r="C850" s="243">
        <v>41512</v>
      </c>
      <c r="D850" s="243">
        <v>41512</v>
      </c>
      <c r="E850" s="590" t="s">
        <v>180</v>
      </c>
      <c r="F850" s="589" t="s">
        <v>1392</v>
      </c>
      <c r="G850" s="805" t="s">
        <v>1000</v>
      </c>
      <c r="H850" s="591">
        <v>5</v>
      </c>
      <c r="I850" s="590">
        <v>5</v>
      </c>
      <c r="J850" s="637" t="s">
        <v>1419</v>
      </c>
      <c r="K850" s="589" t="s">
        <v>1071</v>
      </c>
      <c r="L850" s="810">
        <v>2</v>
      </c>
      <c r="M850" s="810">
        <v>8</v>
      </c>
      <c r="N850" s="807">
        <v>41516</v>
      </c>
    </row>
    <row r="851" spans="1:14">
      <c r="A851" s="804" t="s">
        <v>1639</v>
      </c>
      <c r="B851" s="583" t="s">
        <v>402</v>
      </c>
      <c r="C851" s="243">
        <v>41512</v>
      </c>
      <c r="D851" s="243">
        <v>41512</v>
      </c>
      <c r="E851" s="589" t="s">
        <v>184</v>
      </c>
      <c r="F851" s="589" t="s">
        <v>1392</v>
      </c>
      <c r="G851" s="589" t="s">
        <v>1471</v>
      </c>
      <c r="H851" s="592">
        <v>15.2</v>
      </c>
      <c r="I851" s="811">
        <v>15.2</v>
      </c>
      <c r="J851" s="589"/>
      <c r="K851" s="589" t="s">
        <v>1096</v>
      </c>
      <c r="L851" s="806">
        <v>4</v>
      </c>
      <c r="M851" s="806"/>
      <c r="N851" s="807">
        <v>41521</v>
      </c>
    </row>
    <row r="853" spans="1:14">
      <c r="A853" s="804" t="s">
        <v>1640</v>
      </c>
      <c r="B853" s="583">
        <v>64</v>
      </c>
      <c r="C853" s="243">
        <v>41513</v>
      </c>
      <c r="D853" s="243">
        <v>41513</v>
      </c>
      <c r="E853" s="584" t="s">
        <v>206</v>
      </c>
      <c r="F853" s="589" t="s">
        <v>1392</v>
      </c>
      <c r="G853" s="805" t="s">
        <v>996</v>
      </c>
      <c r="H853" s="589">
        <v>747</v>
      </c>
      <c r="I853" s="583">
        <v>747</v>
      </c>
      <c r="J853" s="589"/>
      <c r="K853" s="637" t="s">
        <v>1071</v>
      </c>
      <c r="L853" s="806">
        <v>6</v>
      </c>
      <c r="M853" s="806">
        <v>42</v>
      </c>
      <c r="N853" s="807">
        <v>41516</v>
      </c>
    </row>
    <row r="854" spans="1:14">
      <c r="A854" s="804" t="s">
        <v>1640</v>
      </c>
      <c r="B854" s="583">
        <v>64</v>
      </c>
      <c r="C854" s="243">
        <v>41513</v>
      </c>
      <c r="D854" s="243">
        <v>41513</v>
      </c>
      <c r="E854" s="589" t="s">
        <v>185</v>
      </c>
      <c r="F854" s="589" t="s">
        <v>1392</v>
      </c>
      <c r="G854" s="589" t="s">
        <v>1483</v>
      </c>
      <c r="H854" s="589">
        <v>78</v>
      </c>
      <c r="I854" s="583">
        <v>78</v>
      </c>
      <c r="J854" s="589"/>
      <c r="K854" s="589" t="s">
        <v>1071</v>
      </c>
      <c r="L854" s="806">
        <v>2</v>
      </c>
      <c r="M854" s="806">
        <v>8</v>
      </c>
      <c r="N854" s="807">
        <v>41514</v>
      </c>
    </row>
    <row r="855" spans="1:14">
      <c r="A855" s="804" t="s">
        <v>1640</v>
      </c>
      <c r="B855" s="583">
        <v>64</v>
      </c>
      <c r="C855" s="243">
        <v>41513</v>
      </c>
      <c r="D855" s="243">
        <v>41513</v>
      </c>
      <c r="E855" s="589" t="s">
        <v>245</v>
      </c>
      <c r="F855" s="589" t="s">
        <v>1392</v>
      </c>
      <c r="G855" s="589" t="s">
        <v>991</v>
      </c>
      <c r="H855" s="589">
        <v>43</v>
      </c>
      <c r="I855" s="583">
        <v>43</v>
      </c>
      <c r="J855" s="589"/>
      <c r="K855" s="637" t="s">
        <v>1071</v>
      </c>
      <c r="L855" s="809">
        <v>5</v>
      </c>
      <c r="M855" s="809">
        <v>35</v>
      </c>
      <c r="N855" s="807">
        <v>41527</v>
      </c>
    </row>
    <row r="856" spans="1:14">
      <c r="A856" s="804" t="s">
        <v>1640</v>
      </c>
      <c r="B856" s="583">
        <v>64</v>
      </c>
      <c r="C856" s="243">
        <v>41513</v>
      </c>
      <c r="D856" s="243">
        <v>41513</v>
      </c>
      <c r="E856" s="589" t="s">
        <v>179</v>
      </c>
      <c r="F856" s="589" t="s">
        <v>1392</v>
      </c>
      <c r="G856" s="805" t="s">
        <v>1000</v>
      </c>
      <c r="H856" s="589">
        <v>36</v>
      </c>
      <c r="I856" s="583">
        <v>36</v>
      </c>
      <c r="J856" s="589"/>
      <c r="K856" s="589" t="s">
        <v>1071</v>
      </c>
      <c r="L856" s="806">
        <v>2</v>
      </c>
      <c r="M856" s="806">
        <v>8</v>
      </c>
      <c r="N856" s="807">
        <v>41516</v>
      </c>
    </row>
    <row r="857" spans="1:14">
      <c r="A857" s="804" t="s">
        <v>1641</v>
      </c>
      <c r="B857" s="583">
        <v>32</v>
      </c>
      <c r="C857" s="243">
        <v>41513</v>
      </c>
      <c r="D857" s="243">
        <v>41513</v>
      </c>
      <c r="E857" s="584" t="s">
        <v>206</v>
      </c>
      <c r="F857" s="589" t="s">
        <v>1392</v>
      </c>
      <c r="G857" s="805" t="s">
        <v>996</v>
      </c>
      <c r="H857" s="589">
        <v>2026</v>
      </c>
      <c r="I857" s="583">
        <v>2026</v>
      </c>
      <c r="J857" s="589"/>
      <c r="K857" s="637" t="s">
        <v>1071</v>
      </c>
      <c r="L857" s="806">
        <v>6</v>
      </c>
      <c r="M857" s="806">
        <v>42</v>
      </c>
      <c r="N857" s="807">
        <v>41516</v>
      </c>
    </row>
    <row r="858" spans="1:14">
      <c r="A858" s="804" t="s">
        <v>1641</v>
      </c>
      <c r="B858" s="583">
        <v>32</v>
      </c>
      <c r="C858" s="243">
        <v>41513</v>
      </c>
      <c r="D858" s="243">
        <v>41513</v>
      </c>
      <c r="E858" s="589" t="s">
        <v>185</v>
      </c>
      <c r="F858" s="589" t="s">
        <v>1392</v>
      </c>
      <c r="G858" s="589" t="s">
        <v>1483</v>
      </c>
      <c r="H858" s="589">
        <v>1116</v>
      </c>
      <c r="I858" s="583">
        <v>1116</v>
      </c>
      <c r="J858" s="589"/>
      <c r="K858" s="589" t="s">
        <v>1071</v>
      </c>
      <c r="L858" s="806">
        <v>2</v>
      </c>
      <c r="M858" s="806">
        <v>8</v>
      </c>
      <c r="N858" s="807">
        <v>41514</v>
      </c>
    </row>
    <row r="859" spans="1:14">
      <c r="A859" s="804" t="s">
        <v>1641</v>
      </c>
      <c r="B859" s="583">
        <v>32</v>
      </c>
      <c r="C859" s="243">
        <v>41513</v>
      </c>
      <c r="D859" s="243">
        <v>41513</v>
      </c>
      <c r="E859" s="589" t="s">
        <v>245</v>
      </c>
      <c r="F859" s="589" t="s">
        <v>1392</v>
      </c>
      <c r="G859" s="589" t="s">
        <v>991</v>
      </c>
      <c r="H859" s="589">
        <v>49</v>
      </c>
      <c r="I859" s="583">
        <v>49</v>
      </c>
      <c r="J859" s="589"/>
      <c r="K859" s="637" t="s">
        <v>1071</v>
      </c>
      <c r="L859" s="809">
        <v>5</v>
      </c>
      <c r="M859" s="809">
        <v>35</v>
      </c>
      <c r="N859" s="807">
        <v>41527</v>
      </c>
    </row>
    <row r="860" spans="1:14">
      <c r="A860" s="804" t="s">
        <v>1641</v>
      </c>
      <c r="B860" s="583">
        <v>32</v>
      </c>
      <c r="C860" s="243">
        <v>41513</v>
      </c>
      <c r="D860" s="243">
        <v>41513</v>
      </c>
      <c r="E860" s="589" t="s">
        <v>179</v>
      </c>
      <c r="F860" s="589" t="s">
        <v>1392</v>
      </c>
      <c r="G860" s="805" t="s">
        <v>1000</v>
      </c>
      <c r="H860" s="589">
        <v>556</v>
      </c>
      <c r="I860" s="583">
        <v>556</v>
      </c>
      <c r="J860" s="589"/>
      <c r="K860" s="589" t="s">
        <v>1071</v>
      </c>
      <c r="L860" s="806">
        <v>2</v>
      </c>
      <c r="M860" s="806">
        <v>8</v>
      </c>
      <c r="N860" s="807">
        <v>41516</v>
      </c>
    </row>
    <row r="861" spans="1:14">
      <c r="A861" s="804" t="s">
        <v>1642</v>
      </c>
      <c r="B861" s="583">
        <v>5</v>
      </c>
      <c r="C861" s="243">
        <v>41513</v>
      </c>
      <c r="D861" s="243">
        <v>41513</v>
      </c>
      <c r="E861" s="584" t="s">
        <v>206</v>
      </c>
      <c r="F861" s="589" t="s">
        <v>1392</v>
      </c>
      <c r="G861" s="805" t="s">
        <v>996</v>
      </c>
      <c r="H861" s="589">
        <v>426</v>
      </c>
      <c r="I861" s="583">
        <v>426</v>
      </c>
      <c r="J861" s="589"/>
      <c r="K861" s="637" t="s">
        <v>1071</v>
      </c>
      <c r="L861" s="806">
        <v>6</v>
      </c>
      <c r="M861" s="806">
        <v>42</v>
      </c>
      <c r="N861" s="807">
        <v>41516</v>
      </c>
    </row>
    <row r="862" spans="1:14">
      <c r="A862" s="804" t="s">
        <v>1642</v>
      </c>
      <c r="B862" s="583">
        <v>5</v>
      </c>
      <c r="C862" s="243">
        <v>41513</v>
      </c>
      <c r="D862" s="243">
        <v>41513</v>
      </c>
      <c r="E862" s="589" t="s">
        <v>185</v>
      </c>
      <c r="F862" s="589" t="s">
        <v>1392</v>
      </c>
      <c r="G862" s="589" t="s">
        <v>1483</v>
      </c>
      <c r="H862" s="589"/>
      <c r="I862" s="583"/>
      <c r="J862" s="589" t="s">
        <v>1395</v>
      </c>
      <c r="K862" s="589" t="s">
        <v>1071</v>
      </c>
      <c r="L862" s="806">
        <v>2</v>
      </c>
      <c r="M862" s="806">
        <v>8</v>
      </c>
      <c r="N862" s="807">
        <v>41514</v>
      </c>
    </row>
    <row r="863" spans="1:14">
      <c r="A863" s="804" t="s">
        <v>1642</v>
      </c>
      <c r="B863" s="583">
        <v>5</v>
      </c>
      <c r="C863" s="243">
        <v>41513</v>
      </c>
      <c r="D863" s="243">
        <v>41513</v>
      </c>
      <c r="E863" s="589" t="s">
        <v>245</v>
      </c>
      <c r="F863" s="589" t="s">
        <v>1392</v>
      </c>
      <c r="G863" s="589" t="s">
        <v>991</v>
      </c>
      <c r="H863" s="589">
        <v>46</v>
      </c>
      <c r="I863" s="583">
        <v>46</v>
      </c>
      <c r="J863" s="589"/>
      <c r="K863" s="637" t="s">
        <v>1071</v>
      </c>
      <c r="L863" s="809">
        <v>5</v>
      </c>
      <c r="M863" s="809">
        <v>35</v>
      </c>
      <c r="N863" s="807">
        <v>41527</v>
      </c>
    </row>
    <row r="864" spans="1:14">
      <c r="A864" s="804" t="s">
        <v>1642</v>
      </c>
      <c r="B864" s="583">
        <v>5</v>
      </c>
      <c r="C864" s="243">
        <v>41513</v>
      </c>
      <c r="D864" s="243">
        <v>41513</v>
      </c>
      <c r="E864" s="589" t="s">
        <v>179</v>
      </c>
      <c r="F864" s="589" t="s">
        <v>1392</v>
      </c>
      <c r="G864" s="805" t="s">
        <v>1000</v>
      </c>
      <c r="H864" s="589">
        <v>33</v>
      </c>
      <c r="I864" s="583">
        <v>33</v>
      </c>
      <c r="J864" s="589"/>
      <c r="K864" s="589" t="s">
        <v>1071</v>
      </c>
      <c r="L864" s="806">
        <v>2</v>
      </c>
      <c r="M864" s="806">
        <v>8</v>
      </c>
      <c r="N864" s="807">
        <v>41516</v>
      </c>
    </row>
    <row r="865" spans="1:14">
      <c r="A865" s="804" t="s">
        <v>1643</v>
      </c>
      <c r="B865" s="583" t="s">
        <v>439</v>
      </c>
      <c r="C865" s="243">
        <v>41513</v>
      </c>
      <c r="D865" s="243">
        <v>41513</v>
      </c>
      <c r="E865" s="584" t="s">
        <v>206</v>
      </c>
      <c r="F865" s="589" t="s">
        <v>1392</v>
      </c>
      <c r="G865" s="805" t="s">
        <v>996</v>
      </c>
      <c r="H865" s="589">
        <v>444</v>
      </c>
      <c r="I865" s="583">
        <v>444</v>
      </c>
      <c r="J865" s="589"/>
      <c r="K865" s="637" t="s">
        <v>1071</v>
      </c>
      <c r="L865" s="806">
        <v>6</v>
      </c>
      <c r="M865" s="806">
        <v>42</v>
      </c>
      <c r="N865" s="807">
        <v>41516</v>
      </c>
    </row>
    <row r="866" spans="1:14">
      <c r="A866" s="804" t="s">
        <v>1643</v>
      </c>
      <c r="B866" s="583" t="s">
        <v>439</v>
      </c>
      <c r="C866" s="243">
        <v>41513</v>
      </c>
      <c r="D866" s="243">
        <v>41513</v>
      </c>
      <c r="E866" s="589" t="s">
        <v>185</v>
      </c>
      <c r="F866" s="589" t="s">
        <v>1392</v>
      </c>
      <c r="G866" s="589" t="s">
        <v>1483</v>
      </c>
      <c r="H866" s="589">
        <v>66</v>
      </c>
      <c r="I866" s="583">
        <v>66</v>
      </c>
      <c r="J866" s="589"/>
      <c r="K866" s="589" t="s">
        <v>1071</v>
      </c>
      <c r="L866" s="806">
        <v>2</v>
      </c>
      <c r="M866" s="806">
        <v>8</v>
      </c>
      <c r="N866" s="807">
        <v>41514</v>
      </c>
    </row>
    <row r="867" spans="1:14">
      <c r="A867" s="804" t="s">
        <v>1643</v>
      </c>
      <c r="B867" s="583" t="s">
        <v>439</v>
      </c>
      <c r="C867" s="243">
        <v>41513</v>
      </c>
      <c r="D867" s="243">
        <v>41513</v>
      </c>
      <c r="E867" s="589" t="s">
        <v>245</v>
      </c>
      <c r="F867" s="589" t="s">
        <v>1392</v>
      </c>
      <c r="G867" s="589" t="s">
        <v>991</v>
      </c>
      <c r="H867" s="589">
        <v>34</v>
      </c>
      <c r="I867" s="583">
        <v>34</v>
      </c>
      <c r="J867" s="589" t="s">
        <v>1419</v>
      </c>
      <c r="K867" s="637" t="s">
        <v>1071</v>
      </c>
      <c r="L867" s="809">
        <v>5</v>
      </c>
      <c r="M867" s="809">
        <v>35</v>
      </c>
      <c r="N867" s="807">
        <v>41527</v>
      </c>
    </row>
    <row r="868" spans="1:14">
      <c r="A868" s="804" t="s">
        <v>1643</v>
      </c>
      <c r="B868" s="583" t="s">
        <v>439</v>
      </c>
      <c r="C868" s="243">
        <v>41513</v>
      </c>
      <c r="D868" s="243">
        <v>41513</v>
      </c>
      <c r="E868" s="589" t="s">
        <v>179</v>
      </c>
      <c r="F868" s="589" t="s">
        <v>1392</v>
      </c>
      <c r="G868" s="805" t="s">
        <v>1000</v>
      </c>
      <c r="H868" s="589">
        <v>51</v>
      </c>
      <c r="I868" s="583">
        <v>51</v>
      </c>
      <c r="J868" s="589"/>
      <c r="K868" s="589" t="s">
        <v>1071</v>
      </c>
      <c r="L868" s="806">
        <v>2</v>
      </c>
      <c r="M868" s="806">
        <v>8</v>
      </c>
      <c r="N868" s="807">
        <v>41516</v>
      </c>
    </row>
    <row r="869" spans="1:14">
      <c r="A869" s="589" t="s">
        <v>1644</v>
      </c>
      <c r="B869" s="583">
        <v>9</v>
      </c>
      <c r="C869" s="243">
        <v>41513</v>
      </c>
      <c r="D869" s="243">
        <v>41513</v>
      </c>
      <c r="E869" s="584" t="s">
        <v>206</v>
      </c>
      <c r="F869" s="589" t="s">
        <v>1392</v>
      </c>
      <c r="G869" s="805" t="s">
        <v>996</v>
      </c>
      <c r="H869" s="589">
        <v>500</v>
      </c>
      <c r="I869" s="583">
        <v>500</v>
      </c>
      <c r="J869" s="589"/>
      <c r="K869" s="637" t="s">
        <v>1071</v>
      </c>
      <c r="L869" s="806">
        <v>6</v>
      </c>
      <c r="M869" s="806">
        <v>42</v>
      </c>
      <c r="N869" s="807">
        <v>41516</v>
      </c>
    </row>
    <row r="870" spans="1:14">
      <c r="A870" s="589" t="s">
        <v>1644</v>
      </c>
      <c r="B870" s="583">
        <v>9</v>
      </c>
      <c r="C870" s="243">
        <v>41513</v>
      </c>
      <c r="D870" s="243">
        <v>41513</v>
      </c>
      <c r="E870" s="589" t="s">
        <v>185</v>
      </c>
      <c r="F870" s="589" t="s">
        <v>1392</v>
      </c>
      <c r="G870" s="589" t="s">
        <v>1483</v>
      </c>
      <c r="H870" s="589">
        <v>75</v>
      </c>
      <c r="I870" s="583">
        <v>75</v>
      </c>
      <c r="J870" s="589"/>
      <c r="K870" s="589" t="s">
        <v>1071</v>
      </c>
      <c r="L870" s="806">
        <v>2</v>
      </c>
      <c r="M870" s="806">
        <v>8</v>
      </c>
      <c r="N870" s="807">
        <v>41514</v>
      </c>
    </row>
    <row r="871" spans="1:14">
      <c r="A871" s="589" t="s">
        <v>1644</v>
      </c>
      <c r="B871" s="583">
        <v>9</v>
      </c>
      <c r="C871" s="243">
        <v>41513</v>
      </c>
      <c r="D871" s="243">
        <v>41513</v>
      </c>
      <c r="E871" s="589" t="s">
        <v>245</v>
      </c>
      <c r="F871" s="589" t="s">
        <v>1392</v>
      </c>
      <c r="G871" s="589" t="s">
        <v>991</v>
      </c>
      <c r="H871" s="589">
        <v>52</v>
      </c>
      <c r="I871" s="583">
        <v>52</v>
      </c>
      <c r="J871" s="688"/>
      <c r="K871" s="637" t="s">
        <v>1071</v>
      </c>
      <c r="L871" s="809">
        <v>5</v>
      </c>
      <c r="M871" s="809">
        <v>35</v>
      </c>
      <c r="N871" s="807">
        <v>41527</v>
      </c>
    </row>
    <row r="872" spans="1:14">
      <c r="A872" s="589" t="s">
        <v>1644</v>
      </c>
      <c r="B872" s="583">
        <v>9</v>
      </c>
      <c r="C872" s="243">
        <v>41513</v>
      </c>
      <c r="D872" s="243">
        <v>41513</v>
      </c>
      <c r="E872" s="589" t="s">
        <v>179</v>
      </c>
      <c r="F872" s="589" t="s">
        <v>1392</v>
      </c>
      <c r="G872" s="805" t="s">
        <v>1000</v>
      </c>
      <c r="H872" s="589">
        <v>71</v>
      </c>
      <c r="I872" s="583">
        <v>71</v>
      </c>
      <c r="J872" s="589"/>
      <c r="K872" s="589" t="s">
        <v>1071</v>
      </c>
      <c r="L872" s="806">
        <v>2</v>
      </c>
      <c r="M872" s="806">
        <v>8</v>
      </c>
      <c r="N872" s="807">
        <v>41516</v>
      </c>
    </row>
    <row r="873" spans="1:14">
      <c r="A873" s="804" t="s">
        <v>1645</v>
      </c>
      <c r="B873" s="583">
        <v>12</v>
      </c>
      <c r="C873" s="243">
        <v>41513</v>
      </c>
      <c r="D873" s="243">
        <v>41513</v>
      </c>
      <c r="E873" s="584" t="s">
        <v>206</v>
      </c>
      <c r="F873" s="589" t="s">
        <v>1392</v>
      </c>
      <c r="G873" s="805" t="s">
        <v>996</v>
      </c>
      <c r="H873" s="589">
        <v>923</v>
      </c>
      <c r="I873" s="583">
        <v>923</v>
      </c>
      <c r="J873" s="589"/>
      <c r="K873" s="637" t="s">
        <v>1071</v>
      </c>
      <c r="L873" s="806">
        <v>6</v>
      </c>
      <c r="M873" s="806">
        <v>42</v>
      </c>
      <c r="N873" s="807">
        <v>41516</v>
      </c>
    </row>
    <row r="874" spans="1:14">
      <c r="A874" s="804" t="s">
        <v>1645</v>
      </c>
      <c r="B874" s="583">
        <v>12</v>
      </c>
      <c r="C874" s="243">
        <v>41513</v>
      </c>
      <c r="D874" s="243">
        <v>41513</v>
      </c>
      <c r="E874" s="589" t="s">
        <v>185</v>
      </c>
      <c r="F874" s="589" t="s">
        <v>1392</v>
      </c>
      <c r="G874" s="589" t="s">
        <v>1483</v>
      </c>
      <c r="H874" s="589">
        <v>197</v>
      </c>
      <c r="I874" s="583">
        <v>197</v>
      </c>
      <c r="J874" s="589"/>
      <c r="K874" s="589" t="s">
        <v>1071</v>
      </c>
      <c r="L874" s="806">
        <v>2</v>
      </c>
      <c r="M874" s="806">
        <v>8</v>
      </c>
      <c r="N874" s="807">
        <v>41514</v>
      </c>
    </row>
    <row r="875" spans="1:14">
      <c r="A875" s="804" t="s">
        <v>1645</v>
      </c>
      <c r="B875" s="583">
        <v>12</v>
      </c>
      <c r="C875" s="243">
        <v>41513</v>
      </c>
      <c r="D875" s="243">
        <v>41513</v>
      </c>
      <c r="E875" s="589" t="s">
        <v>245</v>
      </c>
      <c r="F875" s="589" t="s">
        <v>1392</v>
      </c>
      <c r="G875" s="589" t="s">
        <v>991</v>
      </c>
      <c r="H875" s="589">
        <v>80</v>
      </c>
      <c r="I875" s="583">
        <v>80</v>
      </c>
      <c r="J875" s="589"/>
      <c r="K875" s="637" t="s">
        <v>1071</v>
      </c>
      <c r="L875" s="809">
        <v>5</v>
      </c>
      <c r="M875" s="809">
        <v>35</v>
      </c>
      <c r="N875" s="807">
        <v>41527</v>
      </c>
    </row>
    <row r="876" spans="1:14">
      <c r="A876" s="804" t="s">
        <v>1645</v>
      </c>
      <c r="B876" s="583">
        <v>12</v>
      </c>
      <c r="C876" s="243">
        <v>41513</v>
      </c>
      <c r="D876" s="243">
        <v>41513</v>
      </c>
      <c r="E876" s="589" t="s">
        <v>179</v>
      </c>
      <c r="F876" s="589" t="s">
        <v>1392</v>
      </c>
      <c r="G876" s="805" t="s">
        <v>1000</v>
      </c>
      <c r="H876" s="589">
        <v>117</v>
      </c>
      <c r="I876" s="583">
        <v>117</v>
      </c>
      <c r="J876" s="589"/>
      <c r="K876" s="589" t="s">
        <v>1071</v>
      </c>
      <c r="L876" s="806">
        <v>2</v>
      </c>
      <c r="M876" s="806">
        <v>8</v>
      </c>
      <c r="N876" s="807">
        <v>41516</v>
      </c>
    </row>
    <row r="877" spans="1:14">
      <c r="A877" s="804" t="s">
        <v>1646</v>
      </c>
      <c r="B877" s="583" t="s">
        <v>440</v>
      </c>
      <c r="C877" s="243">
        <v>41513</v>
      </c>
      <c r="D877" s="243">
        <v>41513</v>
      </c>
      <c r="E877" s="584" t="s">
        <v>206</v>
      </c>
      <c r="F877" s="589" t="s">
        <v>1392</v>
      </c>
      <c r="G877" s="805" t="s">
        <v>996</v>
      </c>
      <c r="H877" s="589">
        <v>631</v>
      </c>
      <c r="I877" s="583">
        <v>631</v>
      </c>
      <c r="J877" s="589"/>
      <c r="K877" s="637" t="s">
        <v>1071</v>
      </c>
      <c r="L877" s="806">
        <v>6</v>
      </c>
      <c r="M877" s="806">
        <v>42</v>
      </c>
      <c r="N877" s="807">
        <v>41516</v>
      </c>
    </row>
    <row r="878" spans="1:14">
      <c r="A878" s="804" t="s">
        <v>1646</v>
      </c>
      <c r="B878" s="585" t="s">
        <v>440</v>
      </c>
      <c r="C878" s="243">
        <v>41513</v>
      </c>
      <c r="D878" s="243">
        <v>41513</v>
      </c>
      <c r="E878" s="589" t="s">
        <v>185</v>
      </c>
      <c r="F878" s="589" t="s">
        <v>1392</v>
      </c>
      <c r="G878" s="589" t="s">
        <v>1483</v>
      </c>
      <c r="H878" s="589">
        <v>149</v>
      </c>
      <c r="I878" s="583">
        <v>149</v>
      </c>
      <c r="J878" s="589"/>
      <c r="K878" s="637" t="s">
        <v>1071</v>
      </c>
      <c r="L878" s="806">
        <v>2</v>
      </c>
      <c r="M878" s="806">
        <v>8</v>
      </c>
      <c r="N878" s="807">
        <v>41514</v>
      </c>
    </row>
    <row r="879" spans="1:14">
      <c r="A879" s="804" t="s">
        <v>1646</v>
      </c>
      <c r="B879" s="585" t="s">
        <v>440</v>
      </c>
      <c r="C879" s="243">
        <v>41513</v>
      </c>
      <c r="D879" s="243">
        <v>41513</v>
      </c>
      <c r="E879" s="589" t="s">
        <v>245</v>
      </c>
      <c r="F879" s="589" t="s">
        <v>1392</v>
      </c>
      <c r="G879" s="589" t="s">
        <v>991</v>
      </c>
      <c r="H879" s="589">
        <v>59</v>
      </c>
      <c r="I879" s="583">
        <v>59</v>
      </c>
      <c r="J879" s="589"/>
      <c r="K879" s="589" t="s">
        <v>1071</v>
      </c>
      <c r="L879" s="809">
        <v>5</v>
      </c>
      <c r="M879" s="809">
        <v>35</v>
      </c>
      <c r="N879" s="807">
        <v>41527</v>
      </c>
    </row>
    <row r="880" spans="1:14">
      <c r="A880" s="804" t="s">
        <v>1646</v>
      </c>
      <c r="B880" s="585" t="s">
        <v>440</v>
      </c>
      <c r="C880" s="243">
        <v>41513</v>
      </c>
      <c r="D880" s="243">
        <v>41513</v>
      </c>
      <c r="E880" s="589" t="s">
        <v>179</v>
      </c>
      <c r="F880" s="589" t="s">
        <v>1392</v>
      </c>
      <c r="G880" s="805" t="s">
        <v>1000</v>
      </c>
      <c r="H880" s="589">
        <v>101</v>
      </c>
      <c r="I880" s="583">
        <v>101</v>
      </c>
      <c r="J880" s="589"/>
      <c r="K880" s="589" t="s">
        <v>1071</v>
      </c>
      <c r="L880" s="806">
        <v>2</v>
      </c>
      <c r="M880" s="806">
        <v>8</v>
      </c>
      <c r="N880" s="807">
        <v>41516</v>
      </c>
    </row>
    <row r="881" spans="1:14">
      <c r="A881" s="804" t="s">
        <v>1647</v>
      </c>
      <c r="B881" s="583" t="s">
        <v>1137</v>
      </c>
      <c r="C881" s="243">
        <v>41513</v>
      </c>
      <c r="D881" s="243">
        <v>41513</v>
      </c>
      <c r="E881" s="584" t="s">
        <v>206</v>
      </c>
      <c r="F881" s="589" t="s">
        <v>1392</v>
      </c>
      <c r="G881" s="805" t="s">
        <v>996</v>
      </c>
      <c r="H881" s="589">
        <v>668</v>
      </c>
      <c r="I881" s="583">
        <v>668</v>
      </c>
      <c r="J881" s="589"/>
      <c r="K881" s="637" t="s">
        <v>1071</v>
      </c>
      <c r="L881" s="806">
        <v>6</v>
      </c>
      <c r="M881" s="806">
        <v>42</v>
      </c>
      <c r="N881" s="807">
        <v>41516</v>
      </c>
    </row>
    <row r="882" spans="1:14">
      <c r="A882" s="804" t="s">
        <v>1647</v>
      </c>
      <c r="B882" s="583" t="s">
        <v>1137</v>
      </c>
      <c r="C882" s="243">
        <v>41513</v>
      </c>
      <c r="D882" s="243">
        <v>41513</v>
      </c>
      <c r="E882" s="589" t="s">
        <v>185</v>
      </c>
      <c r="F882" s="589" t="s">
        <v>1392</v>
      </c>
      <c r="G882" s="589" t="s">
        <v>1483</v>
      </c>
      <c r="H882" s="589">
        <v>161</v>
      </c>
      <c r="I882" s="583">
        <v>161</v>
      </c>
      <c r="J882" s="589"/>
      <c r="K882" s="589" t="s">
        <v>1071</v>
      </c>
      <c r="L882" s="806">
        <v>2</v>
      </c>
      <c r="M882" s="806">
        <v>8</v>
      </c>
      <c r="N882" s="807">
        <v>41514</v>
      </c>
    </row>
    <row r="883" spans="1:14">
      <c r="A883" s="804" t="s">
        <v>1647</v>
      </c>
      <c r="B883" s="583" t="s">
        <v>1137</v>
      </c>
      <c r="C883" s="243">
        <v>41513</v>
      </c>
      <c r="D883" s="243">
        <v>41513</v>
      </c>
      <c r="E883" s="589" t="s">
        <v>245</v>
      </c>
      <c r="F883" s="589" t="s">
        <v>1392</v>
      </c>
      <c r="G883" s="589" t="s">
        <v>991</v>
      </c>
      <c r="H883" s="589">
        <v>50</v>
      </c>
      <c r="I883" s="583">
        <v>50</v>
      </c>
      <c r="J883" s="589"/>
      <c r="K883" s="589" t="s">
        <v>1071</v>
      </c>
      <c r="L883" s="809">
        <v>5</v>
      </c>
      <c r="M883" s="809">
        <v>35</v>
      </c>
      <c r="N883" s="807">
        <v>41527</v>
      </c>
    </row>
    <row r="884" spans="1:14">
      <c r="A884" s="804" t="s">
        <v>1647</v>
      </c>
      <c r="B884" s="583" t="s">
        <v>1137</v>
      </c>
      <c r="C884" s="243">
        <v>41513</v>
      </c>
      <c r="D884" s="243">
        <v>41513</v>
      </c>
      <c r="E884" s="589" t="s">
        <v>179</v>
      </c>
      <c r="F884" s="589" t="s">
        <v>1392</v>
      </c>
      <c r="G884" s="805" t="s">
        <v>1000</v>
      </c>
      <c r="H884" s="589">
        <v>85</v>
      </c>
      <c r="I884" s="583">
        <v>85</v>
      </c>
      <c r="J884" s="589"/>
      <c r="K884" s="589" t="s">
        <v>1071</v>
      </c>
      <c r="L884" s="806">
        <v>2</v>
      </c>
      <c r="M884" s="806">
        <v>8</v>
      </c>
      <c r="N884" s="807">
        <v>41516</v>
      </c>
    </row>
    <row r="885" spans="1:14">
      <c r="A885" s="804" t="s">
        <v>1648</v>
      </c>
      <c r="B885" s="583">
        <v>34</v>
      </c>
      <c r="C885" s="243">
        <v>41513</v>
      </c>
      <c r="D885" s="243">
        <v>41513</v>
      </c>
      <c r="E885" s="584" t="s">
        <v>206</v>
      </c>
      <c r="F885" s="589" t="s">
        <v>1392</v>
      </c>
      <c r="G885" s="805" t="s">
        <v>996</v>
      </c>
      <c r="H885" s="589">
        <v>786</v>
      </c>
      <c r="I885" s="583">
        <v>786</v>
      </c>
      <c r="J885" s="589"/>
      <c r="K885" s="637" t="s">
        <v>1071</v>
      </c>
      <c r="L885" s="806">
        <v>6</v>
      </c>
      <c r="M885" s="806">
        <v>42</v>
      </c>
      <c r="N885" s="807">
        <v>41516</v>
      </c>
    </row>
    <row r="886" spans="1:14">
      <c r="A886" s="804" t="s">
        <v>1648</v>
      </c>
      <c r="B886" s="583">
        <v>34</v>
      </c>
      <c r="C886" s="243">
        <v>41513</v>
      </c>
      <c r="D886" s="243">
        <v>41513</v>
      </c>
      <c r="E886" s="589" t="s">
        <v>185</v>
      </c>
      <c r="F886" s="589" t="s">
        <v>1392</v>
      </c>
      <c r="G886" s="589" t="s">
        <v>1483</v>
      </c>
      <c r="H886" s="589">
        <v>270</v>
      </c>
      <c r="I886" s="583">
        <v>270</v>
      </c>
      <c r="J886" s="589"/>
      <c r="K886" s="589" t="s">
        <v>1071</v>
      </c>
      <c r="L886" s="806">
        <v>2</v>
      </c>
      <c r="M886" s="806">
        <v>8</v>
      </c>
      <c r="N886" s="807">
        <v>41514</v>
      </c>
    </row>
    <row r="887" spans="1:14">
      <c r="A887" s="804" t="s">
        <v>1648</v>
      </c>
      <c r="B887" s="583">
        <v>34</v>
      </c>
      <c r="C887" s="243">
        <v>41513</v>
      </c>
      <c r="D887" s="243">
        <v>41513</v>
      </c>
      <c r="E887" s="589" t="s">
        <v>245</v>
      </c>
      <c r="F887" s="589" t="s">
        <v>1392</v>
      </c>
      <c r="G887" s="589" t="s">
        <v>991</v>
      </c>
      <c r="H887" s="589">
        <v>50</v>
      </c>
      <c r="I887" s="583">
        <v>50</v>
      </c>
      <c r="J887" s="589"/>
      <c r="K887" s="637" t="s">
        <v>1071</v>
      </c>
      <c r="L887" s="809">
        <v>5</v>
      </c>
      <c r="M887" s="809">
        <v>35</v>
      </c>
      <c r="N887" s="807">
        <v>41527</v>
      </c>
    </row>
    <row r="888" spans="1:14">
      <c r="A888" s="804" t="s">
        <v>1648</v>
      </c>
      <c r="B888" s="583">
        <v>34</v>
      </c>
      <c r="C888" s="243">
        <v>41513</v>
      </c>
      <c r="D888" s="243">
        <v>41513</v>
      </c>
      <c r="E888" s="589" t="s">
        <v>179</v>
      </c>
      <c r="F888" s="589" t="s">
        <v>1392</v>
      </c>
      <c r="G888" s="805" t="s">
        <v>1000</v>
      </c>
      <c r="H888" s="589">
        <v>10</v>
      </c>
      <c r="I888" s="583">
        <v>10</v>
      </c>
      <c r="J888" s="589"/>
      <c r="K888" s="589" t="s">
        <v>1071</v>
      </c>
      <c r="L888" s="806">
        <v>2</v>
      </c>
      <c r="M888" s="806">
        <v>8</v>
      </c>
      <c r="N888" s="807">
        <v>41516</v>
      </c>
    </row>
    <row r="889" spans="1:14">
      <c r="A889" s="804" t="s">
        <v>1649</v>
      </c>
      <c r="B889" s="583">
        <v>18</v>
      </c>
      <c r="C889" s="243">
        <v>41513</v>
      </c>
      <c r="D889" s="243">
        <v>41513</v>
      </c>
      <c r="E889" s="584" t="s">
        <v>206</v>
      </c>
      <c r="F889" s="589" t="s">
        <v>1392</v>
      </c>
      <c r="G889" s="805" t="s">
        <v>996</v>
      </c>
      <c r="H889" s="589">
        <v>868</v>
      </c>
      <c r="I889" s="583">
        <v>868</v>
      </c>
      <c r="J889" s="589"/>
      <c r="K889" s="637" t="s">
        <v>1071</v>
      </c>
      <c r="L889" s="806">
        <v>6</v>
      </c>
      <c r="M889" s="806">
        <v>42</v>
      </c>
      <c r="N889" s="807">
        <v>41516</v>
      </c>
    </row>
    <row r="890" spans="1:14">
      <c r="A890" s="804" t="s">
        <v>1649</v>
      </c>
      <c r="B890" s="583">
        <v>18</v>
      </c>
      <c r="C890" s="243">
        <v>41513</v>
      </c>
      <c r="D890" s="243">
        <v>41513</v>
      </c>
      <c r="E890" s="589" t="s">
        <v>185</v>
      </c>
      <c r="F890" s="589" t="s">
        <v>1392</v>
      </c>
      <c r="G890" s="589" t="s">
        <v>1483</v>
      </c>
      <c r="H890" s="589">
        <v>7</v>
      </c>
      <c r="I890" s="583">
        <v>7</v>
      </c>
      <c r="J890" s="589" t="s">
        <v>1419</v>
      </c>
      <c r="K890" s="589" t="s">
        <v>1071</v>
      </c>
      <c r="L890" s="806">
        <v>2</v>
      </c>
      <c r="M890" s="806">
        <v>8</v>
      </c>
      <c r="N890" s="807">
        <v>41514</v>
      </c>
    </row>
    <row r="891" spans="1:14">
      <c r="A891" s="804" t="s">
        <v>1649</v>
      </c>
      <c r="B891" s="583">
        <v>18</v>
      </c>
      <c r="C891" s="243">
        <v>41513</v>
      </c>
      <c r="D891" s="243">
        <v>41513</v>
      </c>
      <c r="E891" s="589" t="s">
        <v>245</v>
      </c>
      <c r="F891" s="589" t="s">
        <v>1392</v>
      </c>
      <c r="G891" s="589" t="s">
        <v>991</v>
      </c>
      <c r="H891" s="589">
        <v>49</v>
      </c>
      <c r="I891" s="583">
        <v>49</v>
      </c>
      <c r="J891" s="589"/>
      <c r="K891" s="637" t="s">
        <v>1071</v>
      </c>
      <c r="L891" s="809">
        <v>5</v>
      </c>
      <c r="M891" s="809">
        <v>35</v>
      </c>
      <c r="N891" s="807">
        <v>41527</v>
      </c>
    </row>
    <row r="892" spans="1:14">
      <c r="A892" s="804" t="s">
        <v>1649</v>
      </c>
      <c r="B892" s="583">
        <v>18</v>
      </c>
      <c r="C892" s="243">
        <v>41513</v>
      </c>
      <c r="D892" s="243">
        <v>41513</v>
      </c>
      <c r="E892" s="589" t="s">
        <v>179</v>
      </c>
      <c r="F892" s="589" t="s">
        <v>1392</v>
      </c>
      <c r="G892" s="805" t="s">
        <v>1000</v>
      </c>
      <c r="H892" s="589">
        <v>19</v>
      </c>
      <c r="I892" s="583">
        <v>19</v>
      </c>
      <c r="J892" s="589"/>
      <c r="K892" s="589" t="s">
        <v>1071</v>
      </c>
      <c r="L892" s="806">
        <v>2</v>
      </c>
      <c r="M892" s="806">
        <v>8</v>
      </c>
      <c r="N892" s="807">
        <v>41516</v>
      </c>
    </row>
    <row r="893" spans="1:14">
      <c r="A893" s="804" t="s">
        <v>1650</v>
      </c>
      <c r="B893" s="583">
        <v>19</v>
      </c>
      <c r="C893" s="243">
        <v>41513</v>
      </c>
      <c r="D893" s="243">
        <v>41513</v>
      </c>
      <c r="E893" s="584" t="s">
        <v>206</v>
      </c>
      <c r="F893" s="589" t="s">
        <v>1392</v>
      </c>
      <c r="G893" s="805" t="s">
        <v>996</v>
      </c>
      <c r="H893" s="589">
        <v>546</v>
      </c>
      <c r="I893" s="583">
        <v>546</v>
      </c>
      <c r="J893" s="589"/>
      <c r="K893" s="637" t="s">
        <v>1071</v>
      </c>
      <c r="L893" s="806">
        <v>6</v>
      </c>
      <c r="M893" s="806">
        <v>42</v>
      </c>
      <c r="N893" s="807">
        <v>41516</v>
      </c>
    </row>
    <row r="894" spans="1:14">
      <c r="A894" s="804" t="s">
        <v>1650</v>
      </c>
      <c r="B894" s="583">
        <v>19</v>
      </c>
      <c r="C894" s="243">
        <v>41513</v>
      </c>
      <c r="D894" s="243">
        <v>41513</v>
      </c>
      <c r="E894" s="589" t="s">
        <v>185</v>
      </c>
      <c r="F894" s="589" t="s">
        <v>1392</v>
      </c>
      <c r="G894" s="589" t="s">
        <v>1483</v>
      </c>
      <c r="H894" s="589">
        <v>15</v>
      </c>
      <c r="I894" s="583">
        <v>15</v>
      </c>
      <c r="J894" s="589"/>
      <c r="K894" s="589" t="s">
        <v>1071</v>
      </c>
      <c r="L894" s="806">
        <v>2</v>
      </c>
      <c r="M894" s="806">
        <v>8</v>
      </c>
      <c r="N894" s="807">
        <v>41514</v>
      </c>
    </row>
    <row r="895" spans="1:14">
      <c r="A895" s="804" t="s">
        <v>1650</v>
      </c>
      <c r="B895" s="583">
        <v>19</v>
      </c>
      <c r="C895" s="243">
        <v>41513</v>
      </c>
      <c r="D895" s="243">
        <v>41513</v>
      </c>
      <c r="E895" s="589" t="s">
        <v>245</v>
      </c>
      <c r="F895" s="589" t="s">
        <v>1392</v>
      </c>
      <c r="G895" s="589" t="s">
        <v>991</v>
      </c>
      <c r="H895" s="589">
        <v>45</v>
      </c>
      <c r="I895" s="583">
        <v>45</v>
      </c>
      <c r="J895" s="589"/>
      <c r="K895" s="637" t="s">
        <v>1071</v>
      </c>
      <c r="L895" s="809">
        <v>5</v>
      </c>
      <c r="M895" s="809">
        <v>35</v>
      </c>
      <c r="N895" s="807">
        <v>41527</v>
      </c>
    </row>
    <row r="896" spans="1:14">
      <c r="A896" s="804" t="s">
        <v>1650</v>
      </c>
      <c r="B896" s="583">
        <v>19</v>
      </c>
      <c r="C896" s="243">
        <v>41513</v>
      </c>
      <c r="D896" s="243">
        <v>41513</v>
      </c>
      <c r="E896" s="589" t="s">
        <v>179</v>
      </c>
      <c r="F896" s="589" t="s">
        <v>1392</v>
      </c>
      <c r="G896" s="805" t="s">
        <v>1000</v>
      </c>
      <c r="H896" s="589">
        <v>10</v>
      </c>
      <c r="I896" s="583">
        <v>10</v>
      </c>
      <c r="J896" s="589"/>
      <c r="K896" s="589" t="s">
        <v>1071</v>
      </c>
      <c r="L896" s="806">
        <v>2</v>
      </c>
      <c r="M896" s="806">
        <v>8</v>
      </c>
      <c r="N896" s="807">
        <v>41516</v>
      </c>
    </row>
    <row r="897" spans="1:14">
      <c r="A897" s="804" t="s">
        <v>1651</v>
      </c>
      <c r="B897" s="583">
        <v>58</v>
      </c>
      <c r="C897" s="243">
        <v>41513</v>
      </c>
      <c r="D897" s="243">
        <v>41513</v>
      </c>
      <c r="E897" s="584" t="s">
        <v>206</v>
      </c>
      <c r="F897" s="589" t="s">
        <v>1392</v>
      </c>
      <c r="G897" s="805" t="s">
        <v>996</v>
      </c>
      <c r="H897" s="589">
        <v>526</v>
      </c>
      <c r="I897" s="583">
        <v>526</v>
      </c>
      <c r="J897" s="589"/>
      <c r="K897" s="637" t="s">
        <v>1071</v>
      </c>
      <c r="L897" s="806">
        <v>6</v>
      </c>
      <c r="M897" s="806">
        <v>42</v>
      </c>
      <c r="N897" s="807">
        <v>41516</v>
      </c>
    </row>
    <row r="898" spans="1:14">
      <c r="A898" s="804" t="s">
        <v>1651</v>
      </c>
      <c r="B898" s="583">
        <v>58</v>
      </c>
      <c r="C898" s="243">
        <v>41513</v>
      </c>
      <c r="D898" s="243">
        <v>41513</v>
      </c>
      <c r="E898" s="589" t="s">
        <v>185</v>
      </c>
      <c r="F898" s="589" t="s">
        <v>1392</v>
      </c>
      <c r="G898" s="589" t="s">
        <v>1483</v>
      </c>
      <c r="H898" s="589">
        <v>105</v>
      </c>
      <c r="I898" s="583">
        <v>105</v>
      </c>
      <c r="J898" s="589"/>
      <c r="K898" s="589" t="s">
        <v>1071</v>
      </c>
      <c r="L898" s="806">
        <v>2</v>
      </c>
      <c r="M898" s="806">
        <v>8</v>
      </c>
      <c r="N898" s="807">
        <v>41514</v>
      </c>
    </row>
    <row r="899" spans="1:14">
      <c r="A899" s="804" t="s">
        <v>1651</v>
      </c>
      <c r="B899" s="583">
        <v>58</v>
      </c>
      <c r="C899" s="243">
        <v>41513</v>
      </c>
      <c r="D899" s="243">
        <v>41513</v>
      </c>
      <c r="E899" s="589" t="s">
        <v>245</v>
      </c>
      <c r="F899" s="589" t="s">
        <v>1392</v>
      </c>
      <c r="G899" s="589" t="s">
        <v>991</v>
      </c>
      <c r="H899" s="589">
        <v>47</v>
      </c>
      <c r="I899" s="583">
        <v>47</v>
      </c>
      <c r="J899" s="589"/>
      <c r="K899" s="637" t="s">
        <v>1071</v>
      </c>
      <c r="L899" s="809">
        <v>5</v>
      </c>
      <c r="M899" s="809">
        <v>35</v>
      </c>
      <c r="N899" s="807">
        <v>41527</v>
      </c>
    </row>
    <row r="900" spans="1:14">
      <c r="A900" s="804" t="s">
        <v>1651</v>
      </c>
      <c r="B900" s="583">
        <v>58</v>
      </c>
      <c r="C900" s="243">
        <v>41513</v>
      </c>
      <c r="D900" s="243">
        <v>41513</v>
      </c>
      <c r="E900" s="589" t="s">
        <v>179</v>
      </c>
      <c r="F900" s="589" t="s">
        <v>1392</v>
      </c>
      <c r="G900" s="805" t="s">
        <v>1000</v>
      </c>
      <c r="H900" s="589">
        <v>34</v>
      </c>
      <c r="I900" s="583">
        <v>34</v>
      </c>
      <c r="J900" s="589"/>
      <c r="K900" s="589" t="s">
        <v>1071</v>
      </c>
      <c r="L900" s="806">
        <v>2</v>
      </c>
      <c r="M900" s="806">
        <v>8</v>
      </c>
      <c r="N900" s="807">
        <v>41516</v>
      </c>
    </row>
    <row r="901" spans="1:14">
      <c r="A901" s="804" t="s">
        <v>1652</v>
      </c>
      <c r="B901" s="583" t="s">
        <v>1136</v>
      </c>
      <c r="C901" s="243">
        <v>41513</v>
      </c>
      <c r="D901" s="243">
        <v>41513</v>
      </c>
      <c r="E901" s="584" t="s">
        <v>206</v>
      </c>
      <c r="F901" s="589" t="s">
        <v>1392</v>
      </c>
      <c r="G901" s="805" t="s">
        <v>996</v>
      </c>
      <c r="H901" s="589">
        <v>518</v>
      </c>
      <c r="I901" s="583">
        <v>518</v>
      </c>
      <c r="J901" s="589"/>
      <c r="K901" s="637" t="s">
        <v>1071</v>
      </c>
      <c r="L901" s="806">
        <v>6</v>
      </c>
      <c r="M901" s="806">
        <v>42</v>
      </c>
      <c r="N901" s="807">
        <v>41516</v>
      </c>
    </row>
    <row r="902" spans="1:14">
      <c r="A902" s="804" t="s">
        <v>1652</v>
      </c>
      <c r="B902" s="583" t="s">
        <v>1136</v>
      </c>
      <c r="C902" s="243">
        <v>41513</v>
      </c>
      <c r="D902" s="243">
        <v>41513</v>
      </c>
      <c r="E902" s="589" t="s">
        <v>185</v>
      </c>
      <c r="F902" s="589" t="s">
        <v>1392</v>
      </c>
      <c r="G902" s="589" t="s">
        <v>1483</v>
      </c>
      <c r="H902" s="589">
        <v>89</v>
      </c>
      <c r="I902" s="583">
        <v>89</v>
      </c>
      <c r="J902" s="589"/>
      <c r="K902" s="589" t="s">
        <v>1071</v>
      </c>
      <c r="L902" s="806">
        <v>2</v>
      </c>
      <c r="M902" s="806">
        <v>8</v>
      </c>
      <c r="N902" s="807">
        <v>41514</v>
      </c>
    </row>
    <row r="903" spans="1:14">
      <c r="A903" s="804" t="s">
        <v>1652</v>
      </c>
      <c r="B903" s="583" t="s">
        <v>1136</v>
      </c>
      <c r="C903" s="243">
        <v>41513</v>
      </c>
      <c r="D903" s="243">
        <v>41513</v>
      </c>
      <c r="E903" s="589" t="s">
        <v>245</v>
      </c>
      <c r="F903" s="589" t="s">
        <v>1392</v>
      </c>
      <c r="G903" s="589" t="s">
        <v>991</v>
      </c>
      <c r="H903" s="589">
        <v>47</v>
      </c>
      <c r="I903" s="583">
        <v>47</v>
      </c>
      <c r="J903" s="589"/>
      <c r="K903" s="637" t="s">
        <v>1071</v>
      </c>
      <c r="L903" s="809">
        <v>5</v>
      </c>
      <c r="M903" s="809">
        <v>35</v>
      </c>
      <c r="N903" s="807">
        <v>41527</v>
      </c>
    </row>
    <row r="904" spans="1:14">
      <c r="A904" s="804" t="s">
        <v>1652</v>
      </c>
      <c r="B904" s="583" t="s">
        <v>1136</v>
      </c>
      <c r="C904" s="243">
        <v>41513</v>
      </c>
      <c r="D904" s="243">
        <v>41513</v>
      </c>
      <c r="E904" s="589" t="s">
        <v>179</v>
      </c>
      <c r="F904" s="589" t="s">
        <v>1392</v>
      </c>
      <c r="G904" s="805" t="s">
        <v>1000</v>
      </c>
      <c r="H904" s="589">
        <v>42</v>
      </c>
      <c r="I904" s="583">
        <v>42</v>
      </c>
      <c r="J904" s="589"/>
      <c r="K904" s="589" t="s">
        <v>1071</v>
      </c>
      <c r="L904" s="806">
        <v>2</v>
      </c>
      <c r="M904" s="806">
        <v>8</v>
      </c>
      <c r="N904" s="807">
        <v>41516</v>
      </c>
    </row>
    <row r="905" spans="1:14">
      <c r="A905" s="804" t="s">
        <v>1653</v>
      </c>
      <c r="B905" s="583" t="s">
        <v>1135</v>
      </c>
      <c r="C905" s="243">
        <v>41513</v>
      </c>
      <c r="D905" s="243">
        <v>41513</v>
      </c>
      <c r="E905" s="584" t="s">
        <v>206</v>
      </c>
      <c r="F905" s="589" t="s">
        <v>1392</v>
      </c>
      <c r="G905" s="805" t="s">
        <v>996</v>
      </c>
      <c r="H905" s="589">
        <v>543</v>
      </c>
      <c r="I905" s="583">
        <v>543</v>
      </c>
      <c r="J905" s="589"/>
      <c r="K905" s="637" t="s">
        <v>1071</v>
      </c>
      <c r="L905" s="806">
        <v>6</v>
      </c>
      <c r="M905" s="806">
        <v>42</v>
      </c>
      <c r="N905" s="807">
        <v>41516</v>
      </c>
    </row>
    <row r="906" spans="1:14">
      <c r="A906" s="804" t="s">
        <v>1653</v>
      </c>
      <c r="B906" s="583" t="s">
        <v>1135</v>
      </c>
      <c r="C906" s="243">
        <v>41513</v>
      </c>
      <c r="D906" s="243">
        <v>41513</v>
      </c>
      <c r="E906" s="589" t="s">
        <v>185</v>
      </c>
      <c r="F906" s="589" t="s">
        <v>1392</v>
      </c>
      <c r="G906" s="589" t="s">
        <v>1483</v>
      </c>
      <c r="H906" s="589">
        <v>87</v>
      </c>
      <c r="I906" s="583">
        <v>87</v>
      </c>
      <c r="J906" s="589"/>
      <c r="K906" s="589" t="s">
        <v>1071</v>
      </c>
      <c r="L906" s="806">
        <v>2</v>
      </c>
      <c r="M906" s="806">
        <v>8</v>
      </c>
      <c r="N906" s="807">
        <v>41514</v>
      </c>
    </row>
    <row r="907" spans="1:14">
      <c r="A907" s="804" t="s">
        <v>1653</v>
      </c>
      <c r="B907" s="583" t="s">
        <v>1135</v>
      </c>
      <c r="C907" s="243">
        <v>41513</v>
      </c>
      <c r="D907" s="243">
        <v>41513</v>
      </c>
      <c r="E907" s="589" t="s">
        <v>245</v>
      </c>
      <c r="F907" s="589" t="s">
        <v>1392</v>
      </c>
      <c r="G907" s="589" t="s">
        <v>991</v>
      </c>
      <c r="H907" s="589">
        <v>59</v>
      </c>
      <c r="I907" s="583">
        <v>59</v>
      </c>
      <c r="J907" s="589"/>
      <c r="K907" s="637" t="s">
        <v>1071</v>
      </c>
      <c r="L907" s="809">
        <v>5</v>
      </c>
      <c r="M907" s="809">
        <v>35</v>
      </c>
      <c r="N907" s="807">
        <v>41527</v>
      </c>
    </row>
    <row r="908" spans="1:14">
      <c r="A908" s="804" t="s">
        <v>1653</v>
      </c>
      <c r="B908" s="583" t="s">
        <v>1135</v>
      </c>
      <c r="C908" s="243">
        <v>41513</v>
      </c>
      <c r="D908" s="243">
        <v>41513</v>
      </c>
      <c r="E908" s="589" t="s">
        <v>179</v>
      </c>
      <c r="F908" s="589" t="s">
        <v>1392</v>
      </c>
      <c r="G908" s="805" t="s">
        <v>1000</v>
      </c>
      <c r="H908" s="589">
        <v>114</v>
      </c>
      <c r="I908" s="583">
        <v>114</v>
      </c>
      <c r="J908" s="589"/>
      <c r="K908" s="589" t="s">
        <v>1071</v>
      </c>
      <c r="L908" s="806">
        <v>2</v>
      </c>
      <c r="M908" s="806">
        <v>8</v>
      </c>
      <c r="N908" s="807">
        <v>41516</v>
      </c>
    </row>
    <row r="909" spans="1:14">
      <c r="A909" s="804" t="s">
        <v>1654</v>
      </c>
      <c r="B909" s="583">
        <v>25</v>
      </c>
      <c r="C909" s="243">
        <v>41513</v>
      </c>
      <c r="D909" s="243">
        <v>41513</v>
      </c>
      <c r="E909" s="584" t="s">
        <v>206</v>
      </c>
      <c r="F909" s="589" t="s">
        <v>1392</v>
      </c>
      <c r="G909" s="805" t="s">
        <v>996</v>
      </c>
      <c r="H909" s="589">
        <v>353</v>
      </c>
      <c r="I909" s="583">
        <v>353</v>
      </c>
      <c r="J909" s="589"/>
      <c r="K909" s="637" t="s">
        <v>1071</v>
      </c>
      <c r="L909" s="806">
        <v>6</v>
      </c>
      <c r="M909" s="806">
        <v>42</v>
      </c>
      <c r="N909" s="807">
        <v>41516</v>
      </c>
    </row>
    <row r="910" spans="1:14">
      <c r="A910" s="804" t="s">
        <v>1654</v>
      </c>
      <c r="B910" s="583">
        <v>25</v>
      </c>
      <c r="C910" s="243">
        <v>41513</v>
      </c>
      <c r="D910" s="243">
        <v>41513</v>
      </c>
      <c r="E910" s="589" t="s">
        <v>185</v>
      </c>
      <c r="F910" s="589" t="s">
        <v>1392</v>
      </c>
      <c r="G910" s="589" t="s">
        <v>1483</v>
      </c>
      <c r="H910" s="589">
        <v>27</v>
      </c>
      <c r="I910" s="583">
        <v>27</v>
      </c>
      <c r="J910" s="589"/>
      <c r="K910" s="589" t="s">
        <v>1071</v>
      </c>
      <c r="L910" s="806">
        <v>2</v>
      </c>
      <c r="M910" s="806">
        <v>8</v>
      </c>
      <c r="N910" s="807">
        <v>41514</v>
      </c>
    </row>
    <row r="911" spans="1:14">
      <c r="A911" s="804" t="s">
        <v>1654</v>
      </c>
      <c r="B911" s="583">
        <v>25</v>
      </c>
      <c r="C911" s="243">
        <v>41513</v>
      </c>
      <c r="D911" s="243">
        <v>41513</v>
      </c>
      <c r="E911" s="589" t="s">
        <v>245</v>
      </c>
      <c r="F911" s="589" t="s">
        <v>1392</v>
      </c>
      <c r="G911" s="589" t="s">
        <v>991</v>
      </c>
      <c r="H911" s="589">
        <v>47</v>
      </c>
      <c r="I911" s="583">
        <v>47</v>
      </c>
      <c r="J911" s="589"/>
      <c r="K911" s="637" t="s">
        <v>1071</v>
      </c>
      <c r="L911" s="809">
        <v>5</v>
      </c>
      <c r="M911" s="809">
        <v>35</v>
      </c>
      <c r="N911" s="807">
        <v>41527</v>
      </c>
    </row>
    <row r="912" spans="1:14">
      <c r="A912" s="804" t="s">
        <v>1654</v>
      </c>
      <c r="B912" s="583">
        <v>25</v>
      </c>
      <c r="C912" s="243">
        <v>41513</v>
      </c>
      <c r="D912" s="243">
        <v>41513</v>
      </c>
      <c r="E912" s="589" t="s">
        <v>179</v>
      </c>
      <c r="F912" s="589" t="s">
        <v>1392</v>
      </c>
      <c r="G912" s="805" t="s">
        <v>1000</v>
      </c>
      <c r="H912" s="589">
        <v>30</v>
      </c>
      <c r="I912" s="583">
        <v>30</v>
      </c>
      <c r="J912" s="589"/>
      <c r="K912" s="589" t="s">
        <v>1071</v>
      </c>
      <c r="L912" s="806">
        <v>2</v>
      </c>
      <c r="M912" s="806">
        <v>8</v>
      </c>
      <c r="N912" s="807">
        <v>41516</v>
      </c>
    </row>
    <row r="913" spans="1:14">
      <c r="A913" s="804" t="s">
        <v>1655</v>
      </c>
      <c r="B913" s="583">
        <v>35</v>
      </c>
      <c r="C913" s="243">
        <v>41513</v>
      </c>
      <c r="D913" s="243">
        <v>41513</v>
      </c>
      <c r="E913" s="584" t="s">
        <v>206</v>
      </c>
      <c r="F913" s="589" t="s">
        <v>1392</v>
      </c>
      <c r="G913" s="805" t="s">
        <v>996</v>
      </c>
      <c r="H913" s="589">
        <v>826</v>
      </c>
      <c r="I913" s="583">
        <v>826</v>
      </c>
      <c r="J913" s="589"/>
      <c r="K913" s="637" t="s">
        <v>1071</v>
      </c>
      <c r="L913" s="806">
        <v>6</v>
      </c>
      <c r="M913" s="806">
        <v>42</v>
      </c>
      <c r="N913" s="807">
        <v>41516</v>
      </c>
    </row>
    <row r="914" spans="1:14">
      <c r="A914" s="804" t="s">
        <v>1655</v>
      </c>
      <c r="B914" s="583">
        <v>35</v>
      </c>
      <c r="C914" s="243">
        <v>41513</v>
      </c>
      <c r="D914" s="243">
        <v>41513</v>
      </c>
      <c r="E914" s="589" t="s">
        <v>185</v>
      </c>
      <c r="F914" s="589" t="s">
        <v>1392</v>
      </c>
      <c r="G914" s="589" t="s">
        <v>1483</v>
      </c>
      <c r="H914" s="589">
        <v>339</v>
      </c>
      <c r="I914" s="583">
        <v>339</v>
      </c>
      <c r="J914" s="589"/>
      <c r="K914" s="589" t="s">
        <v>1071</v>
      </c>
      <c r="L914" s="806">
        <v>2</v>
      </c>
      <c r="M914" s="806">
        <v>8</v>
      </c>
      <c r="N914" s="807">
        <v>41514</v>
      </c>
    </row>
    <row r="915" spans="1:14">
      <c r="A915" s="804" t="s">
        <v>1655</v>
      </c>
      <c r="B915" s="583">
        <v>35</v>
      </c>
      <c r="C915" s="243">
        <v>41513</v>
      </c>
      <c r="D915" s="243">
        <v>41513</v>
      </c>
      <c r="E915" s="589" t="s">
        <v>245</v>
      </c>
      <c r="F915" s="589" t="s">
        <v>1392</v>
      </c>
      <c r="G915" s="589" t="s">
        <v>991</v>
      </c>
      <c r="H915" s="589">
        <v>47</v>
      </c>
      <c r="I915" s="583">
        <v>47</v>
      </c>
      <c r="J915" s="589"/>
      <c r="K915" s="637" t="s">
        <v>1071</v>
      </c>
      <c r="L915" s="809">
        <v>5</v>
      </c>
      <c r="M915" s="809">
        <v>35</v>
      </c>
      <c r="N915" s="807">
        <v>41527</v>
      </c>
    </row>
    <row r="916" spans="1:14">
      <c r="A916" s="804" t="s">
        <v>1655</v>
      </c>
      <c r="B916" s="583">
        <v>35</v>
      </c>
      <c r="C916" s="243">
        <v>41513</v>
      </c>
      <c r="D916" s="243">
        <v>41513</v>
      </c>
      <c r="E916" s="589" t="s">
        <v>179</v>
      </c>
      <c r="F916" s="589" t="s">
        <v>1392</v>
      </c>
      <c r="G916" s="805" t="s">
        <v>1000</v>
      </c>
      <c r="H916" s="589">
        <v>27</v>
      </c>
      <c r="I916" s="583">
        <v>27</v>
      </c>
      <c r="J916" s="589"/>
      <c r="K916" s="589" t="s">
        <v>1071</v>
      </c>
      <c r="L916" s="806">
        <v>2</v>
      </c>
      <c r="M916" s="806">
        <v>8</v>
      </c>
      <c r="N916" s="807">
        <v>41516</v>
      </c>
    </row>
    <row r="917" spans="1:14">
      <c r="A917" s="804" t="s">
        <v>1656</v>
      </c>
      <c r="B917" s="583">
        <v>50</v>
      </c>
      <c r="C917" s="243">
        <v>41513</v>
      </c>
      <c r="D917" s="243">
        <v>41513</v>
      </c>
      <c r="E917" s="584" t="s">
        <v>206</v>
      </c>
      <c r="F917" s="589" t="s">
        <v>1392</v>
      </c>
      <c r="G917" s="805" t="s">
        <v>996</v>
      </c>
      <c r="H917" s="589">
        <v>672</v>
      </c>
      <c r="I917" s="583">
        <v>672</v>
      </c>
      <c r="J917" s="589"/>
      <c r="K917" s="637" t="s">
        <v>1071</v>
      </c>
      <c r="L917" s="806">
        <v>6</v>
      </c>
      <c r="M917" s="806">
        <v>42</v>
      </c>
      <c r="N917" s="807">
        <v>41516</v>
      </c>
    </row>
    <row r="918" spans="1:14">
      <c r="A918" s="804" t="s">
        <v>1656</v>
      </c>
      <c r="B918" s="583">
        <v>50</v>
      </c>
      <c r="C918" s="243">
        <v>41513</v>
      </c>
      <c r="D918" s="243">
        <v>41513</v>
      </c>
      <c r="E918" s="589" t="s">
        <v>185</v>
      </c>
      <c r="F918" s="589" t="s">
        <v>1392</v>
      </c>
      <c r="G918" s="589" t="s">
        <v>1483</v>
      </c>
      <c r="H918" s="589">
        <v>244</v>
      </c>
      <c r="I918" s="583">
        <v>244</v>
      </c>
      <c r="J918" s="589"/>
      <c r="K918" s="589" t="s">
        <v>1071</v>
      </c>
      <c r="L918" s="806">
        <v>2</v>
      </c>
      <c r="M918" s="806">
        <v>8</v>
      </c>
      <c r="N918" s="807">
        <v>41514</v>
      </c>
    </row>
    <row r="919" spans="1:14">
      <c r="A919" s="804" t="s">
        <v>1656</v>
      </c>
      <c r="B919" s="583">
        <v>50</v>
      </c>
      <c r="C919" s="243">
        <v>41513</v>
      </c>
      <c r="D919" s="243">
        <v>41513</v>
      </c>
      <c r="E919" s="589" t="s">
        <v>245</v>
      </c>
      <c r="F919" s="589" t="s">
        <v>1392</v>
      </c>
      <c r="G919" s="589" t="s">
        <v>991</v>
      </c>
      <c r="H919" s="589">
        <v>48</v>
      </c>
      <c r="I919" s="583">
        <v>48</v>
      </c>
      <c r="J919" s="589"/>
      <c r="K919" s="637" t="s">
        <v>1071</v>
      </c>
      <c r="L919" s="809">
        <v>5</v>
      </c>
      <c r="M919" s="809">
        <v>35</v>
      </c>
      <c r="N919" s="807">
        <v>41527</v>
      </c>
    </row>
    <row r="920" spans="1:14">
      <c r="A920" s="804" t="s">
        <v>1656</v>
      </c>
      <c r="B920" s="583">
        <v>50</v>
      </c>
      <c r="C920" s="243">
        <v>41513</v>
      </c>
      <c r="D920" s="243">
        <v>41513</v>
      </c>
      <c r="E920" s="589" t="s">
        <v>179</v>
      </c>
      <c r="F920" s="589" t="s">
        <v>1392</v>
      </c>
      <c r="G920" s="805" t="s">
        <v>1000</v>
      </c>
      <c r="H920" s="589">
        <v>35</v>
      </c>
      <c r="I920" s="583">
        <v>35</v>
      </c>
      <c r="J920" s="589"/>
      <c r="K920" s="589" t="s">
        <v>1071</v>
      </c>
      <c r="L920" s="806">
        <v>2</v>
      </c>
      <c r="M920" s="806">
        <v>8</v>
      </c>
      <c r="N920" s="807">
        <v>41516</v>
      </c>
    </row>
    <row r="922" spans="1:14">
      <c r="A922" s="804" t="s">
        <v>1657</v>
      </c>
      <c r="B922" s="583">
        <v>36</v>
      </c>
      <c r="C922" s="243">
        <v>41514</v>
      </c>
      <c r="D922" s="243">
        <v>41514</v>
      </c>
      <c r="E922" s="584" t="s">
        <v>206</v>
      </c>
      <c r="F922" s="589" t="s">
        <v>1392</v>
      </c>
      <c r="G922" s="805" t="s">
        <v>996</v>
      </c>
      <c r="H922" s="589">
        <v>351</v>
      </c>
      <c r="I922" s="583">
        <v>351</v>
      </c>
      <c r="J922" s="589"/>
      <c r="K922" s="637" t="s">
        <v>1071</v>
      </c>
      <c r="L922" s="806">
        <v>6</v>
      </c>
      <c r="M922" s="806">
        <v>42</v>
      </c>
      <c r="N922" s="807">
        <v>41521</v>
      </c>
    </row>
    <row r="923" spans="1:14">
      <c r="A923" s="688" t="s">
        <v>1657</v>
      </c>
      <c r="B923" s="583">
        <v>36</v>
      </c>
      <c r="C923" s="243">
        <v>41514</v>
      </c>
      <c r="D923" s="243">
        <v>41514</v>
      </c>
      <c r="E923" s="589" t="s">
        <v>185</v>
      </c>
      <c r="F923" s="589" t="s">
        <v>1392</v>
      </c>
      <c r="G923" s="589" t="s">
        <v>1483</v>
      </c>
      <c r="H923" s="589">
        <v>127</v>
      </c>
      <c r="I923" s="583">
        <v>127</v>
      </c>
      <c r="J923" s="589"/>
      <c r="K923" s="589" t="s">
        <v>1071</v>
      </c>
      <c r="L923" s="806">
        <v>2</v>
      </c>
      <c r="M923" s="806">
        <v>8</v>
      </c>
      <c r="N923" s="807">
        <v>41515</v>
      </c>
    </row>
    <row r="924" spans="1:14">
      <c r="A924" s="688" t="s">
        <v>1657</v>
      </c>
      <c r="B924" s="583">
        <v>36</v>
      </c>
      <c r="C924" s="243">
        <v>41514</v>
      </c>
      <c r="D924" s="243">
        <v>41514</v>
      </c>
      <c r="E924" s="589" t="s">
        <v>245</v>
      </c>
      <c r="F924" s="589" t="s">
        <v>1392</v>
      </c>
      <c r="G924" s="589" t="s">
        <v>991</v>
      </c>
      <c r="H924" s="589">
        <v>63</v>
      </c>
      <c r="I924" s="808">
        <v>63</v>
      </c>
      <c r="J924" s="589"/>
      <c r="K924" s="637" t="s">
        <v>1071</v>
      </c>
      <c r="L924" s="809">
        <v>5</v>
      </c>
      <c r="M924" s="809">
        <v>35</v>
      </c>
      <c r="N924" s="807">
        <v>41527</v>
      </c>
    </row>
    <row r="925" spans="1:14">
      <c r="A925" s="688" t="s">
        <v>1657</v>
      </c>
      <c r="B925" s="583">
        <v>36</v>
      </c>
      <c r="C925" s="243">
        <v>41514</v>
      </c>
      <c r="D925" s="243">
        <v>41514</v>
      </c>
      <c r="E925" s="589" t="s">
        <v>179</v>
      </c>
      <c r="F925" s="589" t="s">
        <v>1392</v>
      </c>
      <c r="G925" s="805" t="s">
        <v>1000</v>
      </c>
      <c r="H925" s="589">
        <v>40</v>
      </c>
      <c r="I925" s="583">
        <v>40</v>
      </c>
      <c r="J925" s="589"/>
      <c r="K925" s="589" t="s">
        <v>1071</v>
      </c>
      <c r="L925" s="806">
        <v>2</v>
      </c>
      <c r="M925" s="806">
        <v>8</v>
      </c>
      <c r="N925" s="807">
        <v>41521</v>
      </c>
    </row>
    <row r="926" spans="1:14">
      <c r="A926" s="804" t="s">
        <v>1658</v>
      </c>
      <c r="B926" s="583">
        <v>37</v>
      </c>
      <c r="C926" s="243">
        <v>41514</v>
      </c>
      <c r="D926" s="243">
        <v>41514</v>
      </c>
      <c r="E926" s="584" t="s">
        <v>206</v>
      </c>
      <c r="F926" s="589" t="s">
        <v>1392</v>
      </c>
      <c r="G926" s="805" t="s">
        <v>996</v>
      </c>
      <c r="H926" s="589">
        <v>421</v>
      </c>
      <c r="I926" s="583">
        <v>421</v>
      </c>
      <c r="J926" s="589"/>
      <c r="K926" s="637" t="s">
        <v>1071</v>
      </c>
      <c r="L926" s="806">
        <v>6</v>
      </c>
      <c r="M926" s="806">
        <v>42</v>
      </c>
      <c r="N926" s="807">
        <v>41521</v>
      </c>
    </row>
    <row r="927" spans="1:14">
      <c r="A927" s="688" t="s">
        <v>1658</v>
      </c>
      <c r="B927" s="583">
        <v>37</v>
      </c>
      <c r="C927" s="243">
        <v>41514</v>
      </c>
      <c r="D927" s="243">
        <v>41514</v>
      </c>
      <c r="E927" s="589" t="s">
        <v>185</v>
      </c>
      <c r="F927" s="589" t="s">
        <v>1392</v>
      </c>
      <c r="G927" s="589" t="s">
        <v>1483</v>
      </c>
      <c r="H927" s="589">
        <v>228</v>
      </c>
      <c r="I927" s="583">
        <v>228</v>
      </c>
      <c r="J927" s="589"/>
      <c r="K927" s="589" t="s">
        <v>1071</v>
      </c>
      <c r="L927" s="806">
        <v>2</v>
      </c>
      <c r="M927" s="806">
        <v>8</v>
      </c>
      <c r="N927" s="807">
        <v>41515</v>
      </c>
    </row>
    <row r="928" spans="1:14">
      <c r="A928" s="688" t="s">
        <v>1658</v>
      </c>
      <c r="B928" s="583">
        <v>37</v>
      </c>
      <c r="C928" s="243">
        <v>41514</v>
      </c>
      <c r="D928" s="243">
        <v>41514</v>
      </c>
      <c r="E928" s="589" t="s">
        <v>245</v>
      </c>
      <c r="F928" s="589" t="s">
        <v>1392</v>
      </c>
      <c r="G928" s="589" t="s">
        <v>991</v>
      </c>
      <c r="H928" s="589">
        <v>51</v>
      </c>
      <c r="I928" s="808">
        <v>51</v>
      </c>
      <c r="J928" s="589"/>
      <c r="K928" s="637" t="s">
        <v>1071</v>
      </c>
      <c r="L928" s="809">
        <v>5</v>
      </c>
      <c r="M928" s="809">
        <v>35</v>
      </c>
      <c r="N928" s="807">
        <v>41527</v>
      </c>
    </row>
    <row r="929" spans="1:14">
      <c r="A929" s="688" t="s">
        <v>1658</v>
      </c>
      <c r="B929" s="583">
        <v>37</v>
      </c>
      <c r="C929" s="243">
        <v>41514</v>
      </c>
      <c r="D929" s="243">
        <v>41514</v>
      </c>
      <c r="E929" s="589" t="s">
        <v>179</v>
      </c>
      <c r="F929" s="589" t="s">
        <v>1392</v>
      </c>
      <c r="G929" s="805" t="s">
        <v>1000</v>
      </c>
      <c r="H929" s="589">
        <v>12</v>
      </c>
      <c r="I929" s="583">
        <v>12</v>
      </c>
      <c r="J929" s="589"/>
      <c r="K929" s="589" t="s">
        <v>1071</v>
      </c>
      <c r="L929" s="806">
        <v>2</v>
      </c>
      <c r="M929" s="806">
        <v>8</v>
      </c>
      <c r="N929" s="807">
        <v>41521</v>
      </c>
    </row>
    <row r="930" spans="1:14">
      <c r="A930" s="589" t="s">
        <v>1659</v>
      </c>
      <c r="B930" s="583">
        <v>63</v>
      </c>
      <c r="C930" s="243">
        <v>41514</v>
      </c>
      <c r="D930" s="243">
        <v>41514</v>
      </c>
      <c r="E930" s="584" t="s">
        <v>206</v>
      </c>
      <c r="F930" s="589" t="s">
        <v>1392</v>
      </c>
      <c r="G930" s="805" t="s">
        <v>996</v>
      </c>
      <c r="H930" s="589">
        <v>121</v>
      </c>
      <c r="I930" s="583">
        <v>121</v>
      </c>
      <c r="J930" s="589"/>
      <c r="K930" s="637" t="s">
        <v>1071</v>
      </c>
      <c r="L930" s="806">
        <v>6</v>
      </c>
      <c r="M930" s="806">
        <v>42</v>
      </c>
      <c r="N930" s="807">
        <v>41521</v>
      </c>
    </row>
    <row r="931" spans="1:14">
      <c r="A931" s="804" t="s">
        <v>1659</v>
      </c>
      <c r="B931" s="583">
        <v>63</v>
      </c>
      <c r="C931" s="243">
        <v>41514</v>
      </c>
      <c r="D931" s="243">
        <v>41514</v>
      </c>
      <c r="E931" s="589" t="s">
        <v>185</v>
      </c>
      <c r="F931" s="589" t="s">
        <v>1392</v>
      </c>
      <c r="G931" s="589" t="s">
        <v>1483</v>
      </c>
      <c r="H931" s="589"/>
      <c r="I931" s="583"/>
      <c r="J931" s="589" t="s">
        <v>1395</v>
      </c>
      <c r="K931" s="589" t="s">
        <v>1071</v>
      </c>
      <c r="L931" s="806">
        <v>2</v>
      </c>
      <c r="M931" s="806">
        <v>8</v>
      </c>
      <c r="N931" s="807">
        <v>41515</v>
      </c>
    </row>
    <row r="932" spans="1:14">
      <c r="A932" s="804" t="s">
        <v>1659</v>
      </c>
      <c r="B932" s="583">
        <v>63</v>
      </c>
      <c r="C932" s="243">
        <v>41514</v>
      </c>
      <c r="D932" s="243">
        <v>41514</v>
      </c>
      <c r="E932" s="589" t="s">
        <v>245</v>
      </c>
      <c r="F932" s="589" t="s">
        <v>1392</v>
      </c>
      <c r="G932" s="589" t="s">
        <v>991</v>
      </c>
      <c r="H932" s="589">
        <v>83</v>
      </c>
      <c r="I932" s="808">
        <v>83</v>
      </c>
      <c r="J932" s="589"/>
      <c r="K932" s="637" t="s">
        <v>1071</v>
      </c>
      <c r="L932" s="809">
        <v>5</v>
      </c>
      <c r="M932" s="809">
        <v>35</v>
      </c>
      <c r="N932" s="807">
        <v>41527</v>
      </c>
    </row>
    <row r="933" spans="1:14">
      <c r="A933" s="804" t="s">
        <v>1659</v>
      </c>
      <c r="B933" s="583">
        <v>63</v>
      </c>
      <c r="C933" s="243">
        <v>41514</v>
      </c>
      <c r="D933" s="243">
        <v>41514</v>
      </c>
      <c r="E933" s="589" t="s">
        <v>179</v>
      </c>
      <c r="F933" s="589" t="s">
        <v>1392</v>
      </c>
      <c r="G933" s="805" t="s">
        <v>1000</v>
      </c>
      <c r="H933" s="589">
        <v>208</v>
      </c>
      <c r="I933" s="583">
        <v>208</v>
      </c>
      <c r="J933" s="589"/>
      <c r="K933" s="589" t="s">
        <v>1071</v>
      </c>
      <c r="L933" s="806">
        <v>2</v>
      </c>
      <c r="M933" s="806">
        <v>8</v>
      </c>
      <c r="N933" s="807">
        <v>41521</v>
      </c>
    </row>
    <row r="934" spans="1:14">
      <c r="A934" s="804" t="s">
        <v>1659</v>
      </c>
      <c r="B934" s="583">
        <v>63</v>
      </c>
      <c r="C934" s="243">
        <v>41514</v>
      </c>
      <c r="D934" s="243">
        <v>41514</v>
      </c>
      <c r="E934" s="584" t="s">
        <v>1660</v>
      </c>
      <c r="F934" s="589" t="s">
        <v>1392</v>
      </c>
      <c r="G934" s="805" t="s">
        <v>998</v>
      </c>
      <c r="H934" s="589">
        <v>22</v>
      </c>
      <c r="I934" s="583">
        <v>22</v>
      </c>
      <c r="J934" s="589"/>
      <c r="K934" s="637" t="s">
        <v>1071</v>
      </c>
      <c r="L934" s="806">
        <v>2</v>
      </c>
      <c r="M934" s="806">
        <v>8</v>
      </c>
      <c r="N934" s="807">
        <v>41515</v>
      </c>
    </row>
    <row r="935" spans="1:14">
      <c r="A935" s="804" t="s">
        <v>1659</v>
      </c>
      <c r="B935" s="583">
        <v>63</v>
      </c>
      <c r="C935" s="243">
        <v>41514</v>
      </c>
      <c r="D935" s="243">
        <v>41514</v>
      </c>
      <c r="E935" s="590" t="s">
        <v>180</v>
      </c>
      <c r="F935" s="589" t="s">
        <v>1392</v>
      </c>
      <c r="G935" s="805" t="s">
        <v>1000</v>
      </c>
      <c r="H935" s="591">
        <v>39</v>
      </c>
      <c r="I935" s="590">
        <v>39</v>
      </c>
      <c r="J935" s="637"/>
      <c r="K935" s="589" t="s">
        <v>1071</v>
      </c>
      <c r="L935" s="810">
        <v>2</v>
      </c>
      <c r="M935" s="810">
        <v>8</v>
      </c>
      <c r="N935" s="807">
        <v>41521</v>
      </c>
    </row>
    <row r="936" spans="1:14">
      <c r="A936" s="804" t="s">
        <v>1661</v>
      </c>
      <c r="B936" s="585">
        <v>65</v>
      </c>
      <c r="C936" s="243">
        <v>41514</v>
      </c>
      <c r="D936" s="243">
        <v>41514</v>
      </c>
      <c r="E936" s="584" t="s">
        <v>206</v>
      </c>
      <c r="F936" s="589" t="s">
        <v>1392</v>
      </c>
      <c r="G936" s="805" t="s">
        <v>996</v>
      </c>
      <c r="H936" s="589">
        <v>458</v>
      </c>
      <c r="I936" s="583">
        <v>458</v>
      </c>
      <c r="J936" s="589"/>
      <c r="K936" s="637" t="s">
        <v>1071</v>
      </c>
      <c r="L936" s="806">
        <v>6</v>
      </c>
      <c r="M936" s="806">
        <v>42</v>
      </c>
      <c r="N936" s="807">
        <v>41521</v>
      </c>
    </row>
    <row r="937" spans="1:14">
      <c r="A937" s="589" t="s">
        <v>1661</v>
      </c>
      <c r="B937" s="585">
        <v>65</v>
      </c>
      <c r="C937" s="243">
        <v>41514</v>
      </c>
      <c r="D937" s="243">
        <v>41514</v>
      </c>
      <c r="E937" s="589" t="s">
        <v>185</v>
      </c>
      <c r="F937" s="589" t="s">
        <v>1392</v>
      </c>
      <c r="G937" s="589" t="s">
        <v>1483</v>
      </c>
      <c r="H937" s="589">
        <v>251</v>
      </c>
      <c r="I937" s="583">
        <v>251</v>
      </c>
      <c r="J937" s="589"/>
      <c r="K937" s="589" t="s">
        <v>1071</v>
      </c>
      <c r="L937" s="806">
        <v>2</v>
      </c>
      <c r="M937" s="806">
        <v>8</v>
      </c>
      <c r="N937" s="807">
        <v>41515</v>
      </c>
    </row>
    <row r="938" spans="1:14">
      <c r="A938" s="589" t="s">
        <v>1661</v>
      </c>
      <c r="B938" s="585">
        <v>65</v>
      </c>
      <c r="C938" s="243">
        <v>41514</v>
      </c>
      <c r="D938" s="243">
        <v>41514</v>
      </c>
      <c r="E938" s="589" t="s">
        <v>245</v>
      </c>
      <c r="F938" s="589" t="s">
        <v>1392</v>
      </c>
      <c r="G938" s="589" t="s">
        <v>991</v>
      </c>
      <c r="H938" s="589">
        <v>63</v>
      </c>
      <c r="I938" s="808">
        <v>63</v>
      </c>
      <c r="J938" s="589"/>
      <c r="K938" s="637" t="s">
        <v>1071</v>
      </c>
      <c r="L938" s="809">
        <v>5</v>
      </c>
      <c r="M938" s="809">
        <v>35</v>
      </c>
      <c r="N938" s="807">
        <v>41527</v>
      </c>
    </row>
    <row r="939" spans="1:14">
      <c r="A939" s="589" t="s">
        <v>1661</v>
      </c>
      <c r="B939" s="585">
        <v>65</v>
      </c>
      <c r="C939" s="243">
        <v>41514</v>
      </c>
      <c r="D939" s="243">
        <v>41514</v>
      </c>
      <c r="E939" s="589" t="s">
        <v>179</v>
      </c>
      <c r="F939" s="589" t="s">
        <v>1392</v>
      </c>
      <c r="G939" s="805" t="s">
        <v>1000</v>
      </c>
      <c r="H939" s="589">
        <v>9</v>
      </c>
      <c r="I939" s="583">
        <v>9</v>
      </c>
      <c r="J939" s="589"/>
      <c r="K939" s="589" t="s">
        <v>1071</v>
      </c>
      <c r="L939" s="806">
        <v>2</v>
      </c>
      <c r="M939" s="806">
        <v>8</v>
      </c>
      <c r="N939" s="807">
        <v>41521</v>
      </c>
    </row>
    <row r="941" spans="1:14">
      <c r="A941" s="804" t="s">
        <v>1662</v>
      </c>
      <c r="B941" s="583" t="s">
        <v>1095</v>
      </c>
      <c r="C941" s="243">
        <v>41491</v>
      </c>
      <c r="D941" s="243">
        <v>41491</v>
      </c>
      <c r="E941" s="584" t="s">
        <v>206</v>
      </c>
      <c r="F941" s="589" t="s">
        <v>1392</v>
      </c>
      <c r="G941" s="805" t="s">
        <v>996</v>
      </c>
      <c r="H941" s="589">
        <v>1049</v>
      </c>
      <c r="I941" s="583">
        <v>1049</v>
      </c>
      <c r="J941" s="589"/>
      <c r="K941" s="637" t="s">
        <v>1071</v>
      </c>
      <c r="L941" s="806">
        <v>6</v>
      </c>
      <c r="M941" s="806">
        <v>42</v>
      </c>
      <c r="N941" s="807">
        <v>41502</v>
      </c>
    </row>
    <row r="942" spans="1:14">
      <c r="A942" s="688" t="s">
        <v>1662</v>
      </c>
      <c r="B942" s="583" t="s">
        <v>1095</v>
      </c>
      <c r="C942" s="243">
        <v>41491</v>
      </c>
      <c r="D942" s="243">
        <v>41491</v>
      </c>
      <c r="E942" s="589" t="s">
        <v>185</v>
      </c>
      <c r="F942" s="589" t="s">
        <v>1392</v>
      </c>
      <c r="G942" s="589" t="s">
        <v>1483</v>
      </c>
      <c r="H942" s="589">
        <v>557</v>
      </c>
      <c r="I942" s="583">
        <v>557</v>
      </c>
      <c r="J942" s="589"/>
      <c r="K942" s="589" t="s">
        <v>1071</v>
      </c>
      <c r="L942" s="806">
        <v>2</v>
      </c>
      <c r="M942" s="806">
        <v>8</v>
      </c>
      <c r="N942" s="807">
        <v>41492</v>
      </c>
    </row>
    <row r="943" spans="1:14">
      <c r="A943" s="688" t="s">
        <v>1662</v>
      </c>
      <c r="B943" s="583" t="s">
        <v>1095</v>
      </c>
      <c r="C943" s="243">
        <v>41491</v>
      </c>
      <c r="D943" s="243">
        <v>41491</v>
      </c>
      <c r="E943" s="589" t="s">
        <v>245</v>
      </c>
      <c r="F943" s="589" t="s">
        <v>1392</v>
      </c>
      <c r="G943" s="589" t="s">
        <v>991</v>
      </c>
      <c r="H943" s="589">
        <v>53</v>
      </c>
      <c r="I943" s="808">
        <v>53</v>
      </c>
      <c r="J943" s="589"/>
      <c r="K943" s="637" t="s">
        <v>1071</v>
      </c>
      <c r="L943" s="809">
        <v>5</v>
      </c>
      <c r="M943" s="809">
        <v>35</v>
      </c>
      <c r="N943" s="807">
        <v>41505</v>
      </c>
    </row>
    <row r="944" spans="1:14">
      <c r="A944" s="688" t="s">
        <v>1662</v>
      </c>
      <c r="B944" s="583" t="s">
        <v>1095</v>
      </c>
      <c r="C944" s="243">
        <v>41491</v>
      </c>
      <c r="D944" s="243">
        <v>41491</v>
      </c>
      <c r="E944" s="589" t="s">
        <v>179</v>
      </c>
      <c r="F944" s="589" t="s">
        <v>1392</v>
      </c>
      <c r="G944" s="805" t="s">
        <v>1000</v>
      </c>
      <c r="H944" s="589">
        <v>28</v>
      </c>
      <c r="I944" s="583">
        <v>28</v>
      </c>
      <c r="J944" s="589" t="s">
        <v>588</v>
      </c>
      <c r="K944" s="589" t="s">
        <v>1071</v>
      </c>
      <c r="L944" s="806">
        <v>2</v>
      </c>
      <c r="M944" s="806">
        <v>8</v>
      </c>
      <c r="N944" s="807">
        <v>41508</v>
      </c>
    </row>
    <row r="945" spans="1:14">
      <c r="A945" s="589" t="s">
        <v>1662</v>
      </c>
      <c r="B945" s="583" t="s">
        <v>1095</v>
      </c>
      <c r="C945" s="243">
        <v>41491</v>
      </c>
      <c r="D945" s="243">
        <v>41491</v>
      </c>
      <c r="E945" s="590" t="s">
        <v>180</v>
      </c>
      <c r="F945" s="589" t="s">
        <v>1392</v>
      </c>
      <c r="G945" s="805" t="s">
        <v>1000</v>
      </c>
      <c r="H945" s="591">
        <v>7</v>
      </c>
      <c r="I945" s="590">
        <v>7</v>
      </c>
      <c r="J945" s="637" t="s">
        <v>1663</v>
      </c>
      <c r="K945" s="589" t="s">
        <v>1071</v>
      </c>
      <c r="L945" s="810">
        <v>2</v>
      </c>
      <c r="M945" s="810">
        <v>8</v>
      </c>
      <c r="N945" s="807">
        <v>41508</v>
      </c>
    </row>
    <row r="946" spans="1:14">
      <c r="A946" s="688" t="s">
        <v>1662</v>
      </c>
      <c r="B946" s="583" t="s">
        <v>1095</v>
      </c>
      <c r="C946" s="243">
        <v>41491</v>
      </c>
      <c r="D946" s="243">
        <v>41491</v>
      </c>
      <c r="E946" s="589" t="s">
        <v>184</v>
      </c>
      <c r="F946" s="589" t="s">
        <v>1392</v>
      </c>
      <c r="G946" s="589" t="s">
        <v>1471</v>
      </c>
      <c r="H946" s="592">
        <v>16.399999999999999</v>
      </c>
      <c r="I946" s="811">
        <v>16.399999999999999</v>
      </c>
      <c r="J946" s="589"/>
      <c r="K946" s="589" t="s">
        <v>1096</v>
      </c>
      <c r="L946" s="806">
        <v>4</v>
      </c>
      <c r="M946" s="806"/>
      <c r="N946" s="807">
        <v>41493</v>
      </c>
    </row>
    <row r="947" spans="1:14">
      <c r="A947" s="804" t="s">
        <v>1664</v>
      </c>
      <c r="B947" s="583" t="s">
        <v>1097</v>
      </c>
      <c r="C947" s="243">
        <v>41491</v>
      </c>
      <c r="D947" s="243">
        <v>41491</v>
      </c>
      <c r="E947" s="584" t="s">
        <v>206</v>
      </c>
      <c r="F947" s="589" t="s">
        <v>1392</v>
      </c>
      <c r="G947" s="805" t="s">
        <v>996</v>
      </c>
      <c r="H947" s="589">
        <v>1078</v>
      </c>
      <c r="I947" s="583">
        <v>1078</v>
      </c>
      <c r="J947" s="589"/>
      <c r="K947" s="637" t="s">
        <v>1071</v>
      </c>
      <c r="L947" s="806">
        <v>6</v>
      </c>
      <c r="M947" s="806">
        <v>42</v>
      </c>
      <c r="N947" s="807">
        <v>41516</v>
      </c>
    </row>
    <row r="948" spans="1:14">
      <c r="A948" s="688" t="s">
        <v>1664</v>
      </c>
      <c r="B948" s="583" t="s">
        <v>1097</v>
      </c>
      <c r="C948" s="243">
        <v>41491</v>
      </c>
      <c r="D948" s="243">
        <v>41491</v>
      </c>
      <c r="E948" s="589" t="s">
        <v>185</v>
      </c>
      <c r="F948" s="589" t="s">
        <v>1392</v>
      </c>
      <c r="G948" s="589" t="s">
        <v>1483</v>
      </c>
      <c r="H948" s="589">
        <v>327</v>
      </c>
      <c r="I948" s="583">
        <v>327</v>
      </c>
      <c r="J948" s="589"/>
      <c r="K948" s="589" t="s">
        <v>1071</v>
      </c>
      <c r="L948" s="806">
        <v>2</v>
      </c>
      <c r="M948" s="806">
        <v>8</v>
      </c>
      <c r="N948" s="807">
        <v>41492</v>
      </c>
    </row>
    <row r="949" spans="1:14">
      <c r="A949" s="688" t="s">
        <v>1664</v>
      </c>
      <c r="B949" s="583" t="s">
        <v>1097</v>
      </c>
      <c r="C949" s="243">
        <v>41491</v>
      </c>
      <c r="D949" s="243">
        <v>41491</v>
      </c>
      <c r="E949" s="589" t="s">
        <v>245</v>
      </c>
      <c r="F949" s="589" t="s">
        <v>1392</v>
      </c>
      <c r="G949" s="589" t="s">
        <v>991</v>
      </c>
      <c r="H949" s="589">
        <v>206</v>
      </c>
      <c r="I949" s="808">
        <v>206</v>
      </c>
      <c r="J949" s="688"/>
      <c r="K949" s="637" t="s">
        <v>1071</v>
      </c>
      <c r="L949" s="809">
        <v>5</v>
      </c>
      <c r="M949" s="809">
        <v>35</v>
      </c>
      <c r="N949" s="807">
        <v>41505</v>
      </c>
    </row>
    <row r="950" spans="1:14">
      <c r="A950" s="688" t="s">
        <v>1664</v>
      </c>
      <c r="B950" s="583" t="s">
        <v>1097</v>
      </c>
      <c r="C950" s="243">
        <v>41491</v>
      </c>
      <c r="D950" s="243">
        <v>41491</v>
      </c>
      <c r="E950" s="589" t="s">
        <v>179</v>
      </c>
      <c r="F950" s="589" t="s">
        <v>1392</v>
      </c>
      <c r="G950" s="805" t="s">
        <v>1000</v>
      </c>
      <c r="H950" s="589">
        <v>68</v>
      </c>
      <c r="I950" s="583">
        <v>68</v>
      </c>
      <c r="J950" s="589"/>
      <c r="K950" s="589" t="s">
        <v>1071</v>
      </c>
      <c r="L950" s="806">
        <v>2</v>
      </c>
      <c r="M950" s="806">
        <v>8</v>
      </c>
      <c r="N950" s="807">
        <v>41516</v>
      </c>
    </row>
    <row r="951" spans="1:14">
      <c r="A951" s="589" t="s">
        <v>1664</v>
      </c>
      <c r="B951" s="583" t="s">
        <v>1097</v>
      </c>
      <c r="C951" s="243">
        <v>41491</v>
      </c>
      <c r="D951" s="243">
        <v>41491</v>
      </c>
      <c r="E951" s="590" t="s">
        <v>180</v>
      </c>
      <c r="F951" s="589" t="s">
        <v>1392</v>
      </c>
      <c r="G951" s="805" t="s">
        <v>1000</v>
      </c>
      <c r="H951" s="591">
        <v>28</v>
      </c>
      <c r="I951" s="590">
        <v>28</v>
      </c>
      <c r="J951" s="637"/>
      <c r="K951" s="589" t="s">
        <v>1071</v>
      </c>
      <c r="L951" s="810">
        <v>2</v>
      </c>
      <c r="M951" s="810">
        <v>8</v>
      </c>
      <c r="N951" s="807">
        <v>41516</v>
      </c>
    </row>
    <row r="952" spans="1:14">
      <c r="A952" s="688" t="s">
        <v>1664</v>
      </c>
      <c r="B952" s="583" t="s">
        <v>1097</v>
      </c>
      <c r="C952" s="243">
        <v>41491</v>
      </c>
      <c r="D952" s="243">
        <v>41491</v>
      </c>
      <c r="E952" s="589" t="s">
        <v>184</v>
      </c>
      <c r="F952" s="589" t="s">
        <v>1392</v>
      </c>
      <c r="G952" s="589" t="s">
        <v>1471</v>
      </c>
      <c r="H952" s="592">
        <v>14.5</v>
      </c>
      <c r="I952" s="811">
        <v>14.5</v>
      </c>
      <c r="J952" s="589"/>
      <c r="K952" s="589" t="s">
        <v>1096</v>
      </c>
      <c r="L952" s="806">
        <v>4</v>
      </c>
      <c r="M952" s="806"/>
      <c r="N952" s="807">
        <v>41493</v>
      </c>
    </row>
    <row r="953" spans="1:14">
      <c r="A953" s="589" t="s">
        <v>1665</v>
      </c>
      <c r="B953" s="583">
        <v>45</v>
      </c>
      <c r="C953" s="243">
        <v>41491</v>
      </c>
      <c r="D953" s="243">
        <v>41491</v>
      </c>
      <c r="E953" s="584" t="s">
        <v>206</v>
      </c>
      <c r="F953" s="589" t="s">
        <v>1392</v>
      </c>
      <c r="G953" s="805" t="s">
        <v>996</v>
      </c>
      <c r="H953" s="589">
        <v>2241</v>
      </c>
      <c r="I953" s="583">
        <v>2241</v>
      </c>
      <c r="J953" s="589"/>
      <c r="K953" s="637" t="s">
        <v>1071</v>
      </c>
      <c r="L953" s="806">
        <v>6</v>
      </c>
      <c r="M953" s="806">
        <v>42</v>
      </c>
      <c r="N953" s="807">
        <v>41502</v>
      </c>
    </row>
    <row r="954" spans="1:14">
      <c r="A954" s="804" t="s">
        <v>1665</v>
      </c>
      <c r="B954" s="583">
        <v>45</v>
      </c>
      <c r="C954" s="243">
        <v>41491</v>
      </c>
      <c r="D954" s="243">
        <v>41491</v>
      </c>
      <c r="E954" s="589" t="s">
        <v>185</v>
      </c>
      <c r="F954" s="589" t="s">
        <v>1392</v>
      </c>
      <c r="G954" s="589" t="s">
        <v>1483</v>
      </c>
      <c r="H954" s="589">
        <v>29</v>
      </c>
      <c r="I954" s="583">
        <v>29</v>
      </c>
      <c r="J954" s="589"/>
      <c r="K954" s="589" t="s">
        <v>1071</v>
      </c>
      <c r="L954" s="806">
        <v>2</v>
      </c>
      <c r="M954" s="806">
        <v>8</v>
      </c>
      <c r="N954" s="807">
        <v>41492</v>
      </c>
    </row>
    <row r="955" spans="1:14">
      <c r="A955" s="804" t="s">
        <v>1665</v>
      </c>
      <c r="B955" s="583">
        <v>45</v>
      </c>
      <c r="C955" s="243">
        <v>41491</v>
      </c>
      <c r="D955" s="243">
        <v>41491</v>
      </c>
      <c r="E955" s="589" t="s">
        <v>245</v>
      </c>
      <c r="F955" s="589" t="s">
        <v>1392</v>
      </c>
      <c r="G955" s="589" t="s">
        <v>991</v>
      </c>
      <c r="H955" s="589">
        <v>56</v>
      </c>
      <c r="I955" s="808">
        <v>56</v>
      </c>
      <c r="J955" s="589"/>
      <c r="K955" s="637" t="s">
        <v>1071</v>
      </c>
      <c r="L955" s="809">
        <v>5</v>
      </c>
      <c r="M955" s="809">
        <v>35</v>
      </c>
      <c r="N955" s="807">
        <v>41505</v>
      </c>
    </row>
    <row r="956" spans="1:14">
      <c r="A956" s="804" t="s">
        <v>1665</v>
      </c>
      <c r="B956" s="583">
        <v>45</v>
      </c>
      <c r="C956" s="243">
        <v>41491</v>
      </c>
      <c r="D956" s="243">
        <v>41491</v>
      </c>
      <c r="E956" s="589" t="s">
        <v>179</v>
      </c>
      <c r="F956" s="589" t="s">
        <v>1392</v>
      </c>
      <c r="G956" s="805" t="s">
        <v>1000</v>
      </c>
      <c r="H956" s="589">
        <v>259</v>
      </c>
      <c r="I956" s="583">
        <v>259</v>
      </c>
      <c r="J956" s="589"/>
      <c r="K956" s="589" t="s">
        <v>1071</v>
      </c>
      <c r="L956" s="806">
        <v>2</v>
      </c>
      <c r="M956" s="806">
        <v>8</v>
      </c>
      <c r="N956" s="807">
        <v>41516</v>
      </c>
    </row>
    <row r="957" spans="1:14">
      <c r="A957" s="589" t="s">
        <v>1665</v>
      </c>
      <c r="B957" s="583">
        <v>45</v>
      </c>
      <c r="C957" s="243">
        <v>41491</v>
      </c>
      <c r="D957" s="243">
        <v>41491</v>
      </c>
      <c r="E957" s="590" t="s">
        <v>180</v>
      </c>
      <c r="F957" s="589" t="s">
        <v>1392</v>
      </c>
      <c r="G957" s="805" t="s">
        <v>1000</v>
      </c>
      <c r="H957" s="591">
        <v>83</v>
      </c>
      <c r="I957" s="590">
        <v>83</v>
      </c>
      <c r="J957" s="637"/>
      <c r="K957" s="589" t="s">
        <v>1071</v>
      </c>
      <c r="L957" s="810">
        <v>2</v>
      </c>
      <c r="M957" s="810">
        <v>8</v>
      </c>
      <c r="N957" s="807">
        <v>41516</v>
      </c>
    </row>
    <row r="958" spans="1:14">
      <c r="A958" s="804" t="s">
        <v>1665</v>
      </c>
      <c r="B958" s="583">
        <v>45</v>
      </c>
      <c r="C958" s="243">
        <v>41491</v>
      </c>
      <c r="D958" s="243">
        <v>41491</v>
      </c>
      <c r="E958" s="589" t="s">
        <v>184</v>
      </c>
      <c r="F958" s="589" t="s">
        <v>1392</v>
      </c>
      <c r="G958" s="589" t="s">
        <v>1471</v>
      </c>
      <c r="H958" s="592">
        <v>15.4</v>
      </c>
      <c r="I958" s="811">
        <v>15.4</v>
      </c>
      <c r="J958" s="589"/>
      <c r="K958" s="589" t="s">
        <v>1096</v>
      </c>
      <c r="L958" s="806">
        <v>4</v>
      </c>
      <c r="M958" s="806"/>
      <c r="N958" s="807">
        <v>41493</v>
      </c>
    </row>
    <row r="959" spans="1:14">
      <c r="A959" s="804" t="s">
        <v>1666</v>
      </c>
      <c r="B959" s="585" t="s">
        <v>1098</v>
      </c>
      <c r="C959" s="243">
        <v>41491</v>
      </c>
      <c r="D959" s="243">
        <v>41491</v>
      </c>
      <c r="E959" s="584" t="s">
        <v>206</v>
      </c>
      <c r="F959" s="589" t="s">
        <v>1392</v>
      </c>
      <c r="G959" s="805" t="s">
        <v>996</v>
      </c>
      <c r="H959" s="589">
        <v>1272</v>
      </c>
      <c r="I959" s="583">
        <v>1272</v>
      </c>
      <c r="J959" s="589"/>
      <c r="K959" s="637" t="s">
        <v>1071</v>
      </c>
      <c r="L959" s="806">
        <v>6</v>
      </c>
      <c r="M959" s="806">
        <v>42</v>
      </c>
      <c r="N959" s="807">
        <v>41516</v>
      </c>
    </row>
    <row r="960" spans="1:14">
      <c r="A960" s="589" t="s">
        <v>1666</v>
      </c>
      <c r="B960" s="585" t="s">
        <v>1098</v>
      </c>
      <c r="C960" s="243">
        <v>41491</v>
      </c>
      <c r="D960" s="243">
        <v>41491</v>
      </c>
      <c r="E960" s="589" t="s">
        <v>185</v>
      </c>
      <c r="F960" s="589" t="s">
        <v>1392</v>
      </c>
      <c r="G960" s="589" t="s">
        <v>1483</v>
      </c>
      <c r="H960" s="589">
        <v>36</v>
      </c>
      <c r="I960" s="583">
        <v>36</v>
      </c>
      <c r="J960" s="589"/>
      <c r="K960" s="589" t="s">
        <v>1071</v>
      </c>
      <c r="L960" s="806">
        <v>2</v>
      </c>
      <c r="M960" s="806">
        <v>8</v>
      </c>
      <c r="N960" s="807">
        <v>41492</v>
      </c>
    </row>
    <row r="961" spans="1:14">
      <c r="A961" s="688" t="s">
        <v>1666</v>
      </c>
      <c r="B961" s="585" t="s">
        <v>1098</v>
      </c>
      <c r="C961" s="243">
        <v>41491</v>
      </c>
      <c r="D961" s="243">
        <v>41491</v>
      </c>
      <c r="E961" s="589" t="s">
        <v>245</v>
      </c>
      <c r="F961" s="589" t="s">
        <v>1392</v>
      </c>
      <c r="G961" s="589" t="s">
        <v>991</v>
      </c>
      <c r="H961" s="589">
        <v>149</v>
      </c>
      <c r="I961" s="808">
        <v>149</v>
      </c>
      <c r="J961" s="589"/>
      <c r="K961" s="637" t="s">
        <v>1071</v>
      </c>
      <c r="L961" s="809">
        <v>5</v>
      </c>
      <c r="M961" s="809">
        <v>35</v>
      </c>
      <c r="N961" s="807">
        <v>41505</v>
      </c>
    </row>
    <row r="962" spans="1:14">
      <c r="A962" s="589" t="s">
        <v>1666</v>
      </c>
      <c r="B962" s="585" t="s">
        <v>1098</v>
      </c>
      <c r="C962" s="243">
        <v>41491</v>
      </c>
      <c r="D962" s="243">
        <v>41491</v>
      </c>
      <c r="E962" s="589" t="s">
        <v>179</v>
      </c>
      <c r="F962" s="589" t="s">
        <v>1392</v>
      </c>
      <c r="G962" s="805" t="s">
        <v>1000</v>
      </c>
      <c r="H962" s="589">
        <v>128</v>
      </c>
      <c r="I962" s="583">
        <v>128</v>
      </c>
      <c r="J962" s="589"/>
      <c r="K962" s="589" t="s">
        <v>1071</v>
      </c>
      <c r="L962" s="806">
        <v>2</v>
      </c>
      <c r="M962" s="806">
        <v>8</v>
      </c>
      <c r="N962" s="807">
        <v>41516</v>
      </c>
    </row>
    <row r="963" spans="1:14">
      <c r="A963" s="589" t="s">
        <v>1666</v>
      </c>
      <c r="B963" s="585" t="s">
        <v>1098</v>
      </c>
      <c r="C963" s="243">
        <v>41491</v>
      </c>
      <c r="D963" s="243">
        <v>41491</v>
      </c>
      <c r="E963" s="590" t="s">
        <v>180</v>
      </c>
      <c r="F963" s="589" t="s">
        <v>1392</v>
      </c>
      <c r="G963" s="805" t="s">
        <v>1000</v>
      </c>
      <c r="H963" s="591">
        <v>88</v>
      </c>
      <c r="I963" s="590">
        <v>88</v>
      </c>
      <c r="J963" s="637"/>
      <c r="K963" s="589" t="s">
        <v>1071</v>
      </c>
      <c r="L963" s="810">
        <v>2</v>
      </c>
      <c r="M963" s="810">
        <v>8</v>
      </c>
      <c r="N963" s="807">
        <v>41516</v>
      </c>
    </row>
    <row r="964" spans="1:14">
      <c r="A964" s="589" t="s">
        <v>1666</v>
      </c>
      <c r="B964" s="585" t="s">
        <v>1098</v>
      </c>
      <c r="C964" s="243">
        <v>41491</v>
      </c>
      <c r="D964" s="243">
        <v>41491</v>
      </c>
      <c r="E964" s="589" t="s">
        <v>184</v>
      </c>
      <c r="F964" s="589" t="s">
        <v>1392</v>
      </c>
      <c r="G964" s="589" t="s">
        <v>1471</v>
      </c>
      <c r="H964" s="592">
        <v>7</v>
      </c>
      <c r="I964" s="811">
        <v>7</v>
      </c>
      <c r="J964" s="589"/>
      <c r="K964" s="589" t="s">
        <v>1096</v>
      </c>
      <c r="L964" s="806">
        <v>4</v>
      </c>
      <c r="M964" s="806"/>
      <c r="N964" s="807">
        <v>41493</v>
      </c>
    </row>
    <row r="965" spans="1:14">
      <c r="A965" s="804" t="s">
        <v>1666</v>
      </c>
      <c r="B965" s="583" t="s">
        <v>1098</v>
      </c>
      <c r="C965" s="243">
        <v>41491</v>
      </c>
      <c r="D965" s="243">
        <v>41491</v>
      </c>
      <c r="E965" s="584" t="s">
        <v>181</v>
      </c>
      <c r="F965" s="804" t="s">
        <v>1392</v>
      </c>
      <c r="G965" s="812" t="s">
        <v>1402</v>
      </c>
      <c r="H965" s="332">
        <v>25.1</v>
      </c>
      <c r="I965" s="813">
        <v>25.1</v>
      </c>
      <c r="J965" s="814"/>
      <c r="K965" s="589" t="s">
        <v>1071</v>
      </c>
      <c r="L965" s="810">
        <v>0.1</v>
      </c>
      <c r="M965" s="810"/>
      <c r="N965" s="807">
        <v>41501</v>
      </c>
    </row>
    <row r="966" spans="1:14">
      <c r="A966" s="804" t="s">
        <v>1666</v>
      </c>
      <c r="B966" s="583" t="s">
        <v>1098</v>
      </c>
      <c r="C966" s="243">
        <v>41491</v>
      </c>
      <c r="D966" s="243">
        <v>41491</v>
      </c>
      <c r="E966" s="584" t="s">
        <v>181</v>
      </c>
      <c r="F966" s="804" t="s">
        <v>1392</v>
      </c>
      <c r="G966" s="812" t="s">
        <v>1402</v>
      </c>
      <c r="H966" s="332">
        <v>28</v>
      </c>
      <c r="I966" s="813">
        <v>28</v>
      </c>
      <c r="J966" s="814"/>
      <c r="K966" s="589" t="s">
        <v>1071</v>
      </c>
      <c r="L966" s="810">
        <v>0.1</v>
      </c>
      <c r="M966" s="810"/>
      <c r="N966" s="807">
        <v>41501</v>
      </c>
    </row>
    <row r="967" spans="1:14">
      <c r="A967" s="589" t="s">
        <v>1667</v>
      </c>
      <c r="B967" s="583" t="s">
        <v>1099</v>
      </c>
      <c r="C967" s="243">
        <v>41491</v>
      </c>
      <c r="D967" s="243">
        <v>41491</v>
      </c>
      <c r="E967" s="584" t="s">
        <v>206</v>
      </c>
      <c r="F967" s="589" t="s">
        <v>1392</v>
      </c>
      <c r="G967" s="805" t="s">
        <v>996</v>
      </c>
      <c r="H967" s="589">
        <v>978</v>
      </c>
      <c r="I967" s="583">
        <v>978</v>
      </c>
      <c r="J967" s="589"/>
      <c r="K967" s="637" t="s">
        <v>1071</v>
      </c>
      <c r="L967" s="806">
        <v>6</v>
      </c>
      <c r="M967" s="806">
        <v>42</v>
      </c>
      <c r="N967" s="807">
        <v>41516</v>
      </c>
    </row>
    <row r="968" spans="1:14">
      <c r="A968" s="589" t="s">
        <v>1667</v>
      </c>
      <c r="B968" s="583" t="s">
        <v>1099</v>
      </c>
      <c r="C968" s="243">
        <v>41491</v>
      </c>
      <c r="D968" s="243">
        <v>41491</v>
      </c>
      <c r="E968" s="589" t="s">
        <v>185</v>
      </c>
      <c r="F968" s="589" t="s">
        <v>1392</v>
      </c>
      <c r="G968" s="589" t="s">
        <v>1483</v>
      </c>
      <c r="H968" s="589">
        <v>38</v>
      </c>
      <c r="I968" s="583">
        <v>38</v>
      </c>
      <c r="J968" s="589"/>
      <c r="K968" s="589" t="s">
        <v>1071</v>
      </c>
      <c r="L968" s="806">
        <v>2</v>
      </c>
      <c r="M968" s="806">
        <v>8</v>
      </c>
      <c r="N968" s="807">
        <v>41492</v>
      </c>
    </row>
    <row r="969" spans="1:14">
      <c r="A969" s="688" t="s">
        <v>1667</v>
      </c>
      <c r="B969" s="583" t="s">
        <v>1099</v>
      </c>
      <c r="C969" s="243">
        <v>41491</v>
      </c>
      <c r="D969" s="243">
        <v>41491</v>
      </c>
      <c r="E969" s="589" t="s">
        <v>245</v>
      </c>
      <c r="F969" s="589" t="s">
        <v>1392</v>
      </c>
      <c r="G969" s="589" t="s">
        <v>991</v>
      </c>
      <c r="H969" s="589">
        <v>181</v>
      </c>
      <c r="I969" s="808">
        <v>181</v>
      </c>
      <c r="J969" s="589"/>
      <c r="K969" s="637" t="s">
        <v>1071</v>
      </c>
      <c r="L969" s="809">
        <v>5</v>
      </c>
      <c r="M969" s="809">
        <v>35</v>
      </c>
      <c r="N969" s="807">
        <v>41505</v>
      </c>
    </row>
    <row r="970" spans="1:14">
      <c r="A970" s="589" t="s">
        <v>1667</v>
      </c>
      <c r="B970" s="583" t="s">
        <v>1099</v>
      </c>
      <c r="C970" s="243">
        <v>41491</v>
      </c>
      <c r="D970" s="243">
        <v>41491</v>
      </c>
      <c r="E970" s="589" t="s">
        <v>179</v>
      </c>
      <c r="F970" s="589" t="s">
        <v>1392</v>
      </c>
      <c r="G970" s="805" t="s">
        <v>1000</v>
      </c>
      <c r="H970" s="589">
        <v>123</v>
      </c>
      <c r="I970" s="583">
        <v>123</v>
      </c>
      <c r="J970" s="589"/>
      <c r="K970" s="589" t="s">
        <v>1071</v>
      </c>
      <c r="L970" s="806">
        <v>2</v>
      </c>
      <c r="M970" s="806">
        <v>8</v>
      </c>
      <c r="N970" s="807">
        <v>41516</v>
      </c>
    </row>
    <row r="971" spans="1:14">
      <c r="A971" s="589" t="s">
        <v>1667</v>
      </c>
      <c r="B971" s="583" t="s">
        <v>1099</v>
      </c>
      <c r="C971" s="243">
        <v>41491</v>
      </c>
      <c r="D971" s="243">
        <v>41491</v>
      </c>
      <c r="E971" s="590" t="s">
        <v>180</v>
      </c>
      <c r="F971" s="589" t="s">
        <v>1392</v>
      </c>
      <c r="G971" s="805" t="s">
        <v>1000</v>
      </c>
      <c r="H971" s="591">
        <v>97</v>
      </c>
      <c r="I971" s="590">
        <v>97</v>
      </c>
      <c r="J971" s="637"/>
      <c r="K971" s="589" t="s">
        <v>1071</v>
      </c>
      <c r="L971" s="810">
        <v>2</v>
      </c>
      <c r="M971" s="810">
        <v>8</v>
      </c>
      <c r="N971" s="807">
        <v>41516</v>
      </c>
    </row>
    <row r="972" spans="1:14">
      <c r="A972" s="589" t="s">
        <v>1667</v>
      </c>
      <c r="B972" s="583" t="s">
        <v>1099</v>
      </c>
      <c r="C972" s="243">
        <v>41491</v>
      </c>
      <c r="D972" s="243">
        <v>41491</v>
      </c>
      <c r="E972" s="589" t="s">
        <v>184</v>
      </c>
      <c r="F972" s="589" t="s">
        <v>1392</v>
      </c>
      <c r="G972" s="589" t="s">
        <v>1471</v>
      </c>
      <c r="H972" s="592">
        <v>9.6</v>
      </c>
      <c r="I972" s="811">
        <v>9.6</v>
      </c>
      <c r="J972" s="589"/>
      <c r="K972" s="589" t="s">
        <v>1096</v>
      </c>
      <c r="L972" s="806">
        <v>4</v>
      </c>
      <c r="M972" s="806"/>
      <c r="N972" s="807">
        <v>41493</v>
      </c>
    </row>
    <row r="974" spans="1:14">
      <c r="A974" s="804" t="s">
        <v>1668</v>
      </c>
      <c r="B974" s="583" t="s">
        <v>1095</v>
      </c>
      <c r="C974" s="243">
        <v>41540</v>
      </c>
      <c r="D974" s="243">
        <v>41540</v>
      </c>
      <c r="E974" s="584" t="s">
        <v>206</v>
      </c>
      <c r="F974" s="589" t="s">
        <v>1392</v>
      </c>
      <c r="G974" s="805" t="s">
        <v>996</v>
      </c>
      <c r="H974" s="589">
        <v>712</v>
      </c>
      <c r="I974" s="583">
        <v>712</v>
      </c>
      <c r="J974" s="589"/>
      <c r="K974" s="637" t="s">
        <v>1071</v>
      </c>
      <c r="L974" s="806">
        <v>6</v>
      </c>
      <c r="M974" s="806">
        <v>42</v>
      </c>
      <c r="N974" s="807">
        <v>41547</v>
      </c>
    </row>
    <row r="975" spans="1:14">
      <c r="A975" s="688" t="s">
        <v>1668</v>
      </c>
      <c r="B975" s="583" t="s">
        <v>1095</v>
      </c>
      <c r="C975" s="243">
        <v>41540</v>
      </c>
      <c r="D975" s="243">
        <v>41540</v>
      </c>
      <c r="E975" s="589" t="s">
        <v>185</v>
      </c>
      <c r="F975" s="589" t="s">
        <v>1392</v>
      </c>
      <c r="G975" s="589" t="s">
        <v>1483</v>
      </c>
      <c r="H975" s="589">
        <v>323</v>
      </c>
      <c r="I975" s="583">
        <v>323</v>
      </c>
      <c r="J975" s="589"/>
      <c r="K975" s="589" t="s">
        <v>1071</v>
      </c>
      <c r="L975" s="806">
        <v>2</v>
      </c>
      <c r="M975" s="806">
        <v>8</v>
      </c>
      <c r="N975" s="807">
        <v>41541</v>
      </c>
    </row>
    <row r="976" spans="1:14">
      <c r="A976" s="688" t="s">
        <v>1668</v>
      </c>
      <c r="B976" s="583" t="s">
        <v>1095</v>
      </c>
      <c r="C976" s="243">
        <v>41540</v>
      </c>
      <c r="D976" s="243">
        <v>41540</v>
      </c>
      <c r="E976" s="589" t="s">
        <v>245</v>
      </c>
      <c r="F976" s="589" t="s">
        <v>1392</v>
      </c>
      <c r="G976" s="589" t="s">
        <v>991</v>
      </c>
      <c r="H976" s="589">
        <v>31</v>
      </c>
      <c r="I976" s="583">
        <v>31</v>
      </c>
      <c r="J976" s="589" t="s">
        <v>1419</v>
      </c>
      <c r="K976" s="637" t="s">
        <v>1071</v>
      </c>
      <c r="L976" s="809">
        <v>5</v>
      </c>
      <c r="M976" s="809">
        <v>35</v>
      </c>
      <c r="N976" s="807">
        <v>41550</v>
      </c>
    </row>
    <row r="977" spans="1:14">
      <c r="A977" s="688" t="s">
        <v>1668</v>
      </c>
      <c r="B977" s="583" t="s">
        <v>1095</v>
      </c>
      <c r="C977" s="243">
        <v>41540</v>
      </c>
      <c r="D977" s="243">
        <v>41540</v>
      </c>
      <c r="E977" s="589" t="s">
        <v>179</v>
      </c>
      <c r="F977" s="589" t="s">
        <v>1392</v>
      </c>
      <c r="G977" s="805" t="s">
        <v>1000</v>
      </c>
      <c r="H977" s="589">
        <v>57</v>
      </c>
      <c r="I977" s="583">
        <v>57</v>
      </c>
      <c r="J977" s="589"/>
      <c r="K977" s="589" t="s">
        <v>1071</v>
      </c>
      <c r="L977" s="806">
        <v>2</v>
      </c>
      <c r="M977" s="806">
        <v>8</v>
      </c>
      <c r="N977" s="807">
        <v>41547</v>
      </c>
    </row>
    <row r="978" spans="1:14">
      <c r="A978" s="589" t="s">
        <v>1668</v>
      </c>
      <c r="B978" s="583" t="s">
        <v>1095</v>
      </c>
      <c r="C978" s="243">
        <v>41540</v>
      </c>
      <c r="D978" s="243">
        <v>41540</v>
      </c>
      <c r="E978" s="590" t="s">
        <v>180</v>
      </c>
      <c r="F978" s="589" t="s">
        <v>1392</v>
      </c>
      <c r="G978" s="805" t="s">
        <v>1000</v>
      </c>
      <c r="H978" s="591">
        <v>15</v>
      </c>
      <c r="I978" s="590">
        <v>15</v>
      </c>
      <c r="J978" s="637"/>
      <c r="K978" s="589" t="s">
        <v>1071</v>
      </c>
      <c r="L978" s="810">
        <v>2</v>
      </c>
      <c r="M978" s="810">
        <v>8</v>
      </c>
      <c r="N978" s="807">
        <v>41547</v>
      </c>
    </row>
    <row r="979" spans="1:14">
      <c r="A979" s="688" t="s">
        <v>1668</v>
      </c>
      <c r="B979" s="583" t="s">
        <v>1095</v>
      </c>
      <c r="C979" s="243">
        <v>41540</v>
      </c>
      <c r="D979" s="243">
        <v>41540</v>
      </c>
      <c r="E979" s="589" t="s">
        <v>184</v>
      </c>
      <c r="F979" s="589" t="s">
        <v>1392</v>
      </c>
      <c r="G979" s="589" t="s">
        <v>1471</v>
      </c>
      <c r="H979" s="592">
        <v>20.399999999999999</v>
      </c>
      <c r="I979" s="811">
        <v>20.399999999999999</v>
      </c>
      <c r="J979" s="589"/>
      <c r="K979" s="589" t="s">
        <v>1096</v>
      </c>
      <c r="L979" s="806">
        <v>4</v>
      </c>
      <c r="M979" s="806"/>
      <c r="N979" s="807">
        <v>41541</v>
      </c>
    </row>
    <row r="980" spans="1:14">
      <c r="A980" s="804" t="s">
        <v>1669</v>
      </c>
      <c r="B980" s="583" t="s">
        <v>1097</v>
      </c>
      <c r="C980" s="243">
        <v>41540</v>
      </c>
      <c r="D980" s="243">
        <v>41540</v>
      </c>
      <c r="E980" s="584" t="s">
        <v>206</v>
      </c>
      <c r="F980" s="589" t="s">
        <v>1392</v>
      </c>
      <c r="G980" s="805" t="s">
        <v>996</v>
      </c>
      <c r="H980" s="589">
        <v>610</v>
      </c>
      <c r="I980" s="583">
        <v>610</v>
      </c>
      <c r="J980" s="589"/>
      <c r="K980" s="637" t="s">
        <v>1071</v>
      </c>
      <c r="L980" s="806">
        <v>6</v>
      </c>
      <c r="M980" s="806">
        <v>42</v>
      </c>
      <c r="N980" s="807">
        <v>41547</v>
      </c>
    </row>
    <row r="981" spans="1:14">
      <c r="A981" s="688" t="s">
        <v>1669</v>
      </c>
      <c r="B981" s="583" t="s">
        <v>1097</v>
      </c>
      <c r="C981" s="243">
        <v>41540</v>
      </c>
      <c r="D981" s="243">
        <v>41540</v>
      </c>
      <c r="E981" s="589" t="s">
        <v>185</v>
      </c>
      <c r="F981" s="589" t="s">
        <v>1392</v>
      </c>
      <c r="G981" s="589" t="s">
        <v>1483</v>
      </c>
      <c r="H981" s="589">
        <v>207</v>
      </c>
      <c r="I981" s="583">
        <v>207</v>
      </c>
      <c r="J981" s="589"/>
      <c r="K981" s="589" t="s">
        <v>1071</v>
      </c>
      <c r="L981" s="806">
        <v>2</v>
      </c>
      <c r="M981" s="806">
        <v>8</v>
      </c>
      <c r="N981" s="807">
        <v>41541</v>
      </c>
    </row>
    <row r="982" spans="1:14">
      <c r="A982" s="688" t="s">
        <v>1669</v>
      </c>
      <c r="B982" s="583" t="s">
        <v>1097</v>
      </c>
      <c r="C982" s="243">
        <v>41540</v>
      </c>
      <c r="D982" s="243">
        <v>41540</v>
      </c>
      <c r="E982" s="589" t="s">
        <v>245</v>
      </c>
      <c r="F982" s="589" t="s">
        <v>1392</v>
      </c>
      <c r="G982" s="589" t="s">
        <v>991</v>
      </c>
      <c r="H982" s="589">
        <v>27</v>
      </c>
      <c r="I982" s="583">
        <v>27</v>
      </c>
      <c r="J982" s="589" t="s">
        <v>1419</v>
      </c>
      <c r="K982" s="637" t="s">
        <v>1071</v>
      </c>
      <c r="L982" s="809">
        <v>5</v>
      </c>
      <c r="M982" s="809">
        <v>35</v>
      </c>
      <c r="N982" s="807">
        <v>41550</v>
      </c>
    </row>
    <row r="983" spans="1:14">
      <c r="A983" s="688" t="s">
        <v>1669</v>
      </c>
      <c r="B983" s="583" t="s">
        <v>1097</v>
      </c>
      <c r="C983" s="243">
        <v>41540</v>
      </c>
      <c r="D983" s="243">
        <v>41540</v>
      </c>
      <c r="E983" s="589" t="s">
        <v>179</v>
      </c>
      <c r="F983" s="589" t="s">
        <v>1392</v>
      </c>
      <c r="G983" s="805" t="s">
        <v>1000</v>
      </c>
      <c r="H983" s="589">
        <v>50</v>
      </c>
      <c r="I983" s="583">
        <v>50</v>
      </c>
      <c r="J983" s="589"/>
      <c r="K983" s="589" t="s">
        <v>1071</v>
      </c>
      <c r="L983" s="806">
        <v>2</v>
      </c>
      <c r="M983" s="806">
        <v>8</v>
      </c>
      <c r="N983" s="807">
        <v>41547</v>
      </c>
    </row>
    <row r="984" spans="1:14">
      <c r="A984" s="589" t="s">
        <v>1669</v>
      </c>
      <c r="B984" s="583" t="s">
        <v>1097</v>
      </c>
      <c r="C984" s="243">
        <v>41540</v>
      </c>
      <c r="D984" s="243">
        <v>41540</v>
      </c>
      <c r="E984" s="590" t="s">
        <v>180</v>
      </c>
      <c r="F984" s="589" t="s">
        <v>1392</v>
      </c>
      <c r="G984" s="805" t="s">
        <v>1000</v>
      </c>
      <c r="H984" s="591">
        <v>13</v>
      </c>
      <c r="I984" s="590">
        <v>13</v>
      </c>
      <c r="J984" s="637"/>
      <c r="K984" s="589" t="s">
        <v>1071</v>
      </c>
      <c r="L984" s="810">
        <v>2</v>
      </c>
      <c r="M984" s="810">
        <v>8</v>
      </c>
      <c r="N984" s="807">
        <v>41547</v>
      </c>
    </row>
    <row r="985" spans="1:14">
      <c r="A985" s="688" t="s">
        <v>1669</v>
      </c>
      <c r="B985" s="583" t="s">
        <v>1097</v>
      </c>
      <c r="C985" s="243">
        <v>41540</v>
      </c>
      <c r="D985" s="243">
        <v>41540</v>
      </c>
      <c r="E985" s="589" t="s">
        <v>184</v>
      </c>
      <c r="F985" s="589" t="s">
        <v>1392</v>
      </c>
      <c r="G985" s="589" t="s">
        <v>1471</v>
      </c>
      <c r="H985" s="592">
        <v>17.600000000000001</v>
      </c>
      <c r="I985" s="811">
        <v>17.600000000000001</v>
      </c>
      <c r="J985" s="589"/>
      <c r="K985" s="589" t="s">
        <v>1096</v>
      </c>
      <c r="L985" s="806">
        <v>4</v>
      </c>
      <c r="M985" s="806"/>
      <c r="N985" s="807">
        <v>41541</v>
      </c>
    </row>
    <row r="986" spans="1:14">
      <c r="A986" s="589" t="s">
        <v>1670</v>
      </c>
      <c r="B986" s="583">
        <v>45</v>
      </c>
      <c r="C986" s="243">
        <v>41540</v>
      </c>
      <c r="D986" s="243">
        <v>41540</v>
      </c>
      <c r="E986" s="584" t="s">
        <v>206</v>
      </c>
      <c r="F986" s="589" t="s">
        <v>1392</v>
      </c>
      <c r="G986" s="805" t="s">
        <v>996</v>
      </c>
      <c r="H986" s="589">
        <v>635</v>
      </c>
      <c r="I986" s="583">
        <v>635</v>
      </c>
      <c r="J986" s="589"/>
      <c r="K986" s="637" t="s">
        <v>1071</v>
      </c>
      <c r="L986" s="806">
        <v>6</v>
      </c>
      <c r="M986" s="806">
        <v>42</v>
      </c>
      <c r="N986" s="807">
        <v>41547</v>
      </c>
    </row>
    <row r="987" spans="1:14">
      <c r="A987" s="804" t="s">
        <v>1670</v>
      </c>
      <c r="B987" s="583">
        <v>45</v>
      </c>
      <c r="C987" s="243">
        <v>41540</v>
      </c>
      <c r="D987" s="243">
        <v>41540</v>
      </c>
      <c r="E987" s="589" t="s">
        <v>185</v>
      </c>
      <c r="F987" s="589" t="s">
        <v>1392</v>
      </c>
      <c r="G987" s="589" t="s">
        <v>1483</v>
      </c>
      <c r="H987" s="589">
        <v>215</v>
      </c>
      <c r="I987" s="583">
        <v>215</v>
      </c>
      <c r="J987" s="589"/>
      <c r="K987" s="589" t="s">
        <v>1071</v>
      </c>
      <c r="L987" s="806">
        <v>2</v>
      </c>
      <c r="M987" s="806">
        <v>8</v>
      </c>
      <c r="N987" s="807">
        <v>41541</v>
      </c>
    </row>
    <row r="988" spans="1:14">
      <c r="A988" s="804" t="s">
        <v>1670</v>
      </c>
      <c r="B988" s="583">
        <v>45</v>
      </c>
      <c r="C988" s="243">
        <v>41540</v>
      </c>
      <c r="D988" s="243">
        <v>41540</v>
      </c>
      <c r="E988" s="589" t="s">
        <v>245</v>
      </c>
      <c r="F988" s="589" t="s">
        <v>1392</v>
      </c>
      <c r="G988" s="589" t="s">
        <v>991</v>
      </c>
      <c r="H988" s="589">
        <v>62</v>
      </c>
      <c r="I988" s="583">
        <v>62</v>
      </c>
      <c r="J988" s="589"/>
      <c r="K988" s="637" t="s">
        <v>1071</v>
      </c>
      <c r="L988" s="809">
        <v>5</v>
      </c>
      <c r="M988" s="809">
        <v>35</v>
      </c>
      <c r="N988" s="807">
        <v>41550</v>
      </c>
    </row>
    <row r="989" spans="1:14">
      <c r="A989" s="804" t="s">
        <v>1670</v>
      </c>
      <c r="B989" s="583">
        <v>45</v>
      </c>
      <c r="C989" s="243">
        <v>41540</v>
      </c>
      <c r="D989" s="243">
        <v>41540</v>
      </c>
      <c r="E989" s="589" t="s">
        <v>179</v>
      </c>
      <c r="F989" s="589" t="s">
        <v>1392</v>
      </c>
      <c r="G989" s="805" t="s">
        <v>1000</v>
      </c>
      <c r="H989" s="589">
        <v>61</v>
      </c>
      <c r="I989" s="583">
        <v>61</v>
      </c>
      <c r="J989" s="589"/>
      <c r="K989" s="589" t="s">
        <v>1071</v>
      </c>
      <c r="L989" s="806">
        <v>2</v>
      </c>
      <c r="M989" s="806">
        <v>8</v>
      </c>
      <c r="N989" s="807">
        <v>41547</v>
      </c>
    </row>
    <row r="990" spans="1:14">
      <c r="A990" s="589" t="s">
        <v>1670</v>
      </c>
      <c r="B990" s="583">
        <v>45</v>
      </c>
      <c r="C990" s="243">
        <v>41540</v>
      </c>
      <c r="D990" s="243">
        <v>41540</v>
      </c>
      <c r="E990" s="590" t="s">
        <v>180</v>
      </c>
      <c r="F990" s="589" t="s">
        <v>1392</v>
      </c>
      <c r="G990" s="805" t="s">
        <v>1000</v>
      </c>
      <c r="H990" s="591">
        <v>25</v>
      </c>
      <c r="I990" s="590">
        <v>25</v>
      </c>
      <c r="J990" s="637"/>
      <c r="K990" s="589" t="s">
        <v>1071</v>
      </c>
      <c r="L990" s="810">
        <v>2</v>
      </c>
      <c r="M990" s="810">
        <v>8</v>
      </c>
      <c r="N990" s="807">
        <v>41547</v>
      </c>
    </row>
    <row r="991" spans="1:14">
      <c r="A991" s="804" t="s">
        <v>1670</v>
      </c>
      <c r="B991" s="583">
        <v>45</v>
      </c>
      <c r="C991" s="243">
        <v>41540</v>
      </c>
      <c r="D991" s="243">
        <v>41540</v>
      </c>
      <c r="E991" s="589" t="s">
        <v>184</v>
      </c>
      <c r="F991" s="589" t="s">
        <v>1392</v>
      </c>
      <c r="G991" s="589" t="s">
        <v>1471</v>
      </c>
      <c r="H991" s="592">
        <v>10.4</v>
      </c>
      <c r="I991" s="811">
        <v>10.4</v>
      </c>
      <c r="J991" s="589"/>
      <c r="K991" s="589" t="s">
        <v>1096</v>
      </c>
      <c r="L991" s="806">
        <v>4</v>
      </c>
      <c r="M991" s="806"/>
      <c r="N991" s="807">
        <v>41541</v>
      </c>
    </row>
    <row r="992" spans="1:14">
      <c r="A992" s="804" t="s">
        <v>1671</v>
      </c>
      <c r="B992" s="585" t="s">
        <v>1098</v>
      </c>
      <c r="C992" s="243">
        <v>41540</v>
      </c>
      <c r="D992" s="243">
        <v>41540</v>
      </c>
      <c r="E992" s="584" t="s">
        <v>206</v>
      </c>
      <c r="F992" s="589" t="s">
        <v>1392</v>
      </c>
      <c r="G992" s="805" t="s">
        <v>996</v>
      </c>
      <c r="H992" s="589">
        <v>968</v>
      </c>
      <c r="I992" s="583">
        <v>968</v>
      </c>
      <c r="J992" s="589"/>
      <c r="K992" s="637" t="s">
        <v>1071</v>
      </c>
      <c r="L992" s="806">
        <v>6</v>
      </c>
      <c r="M992" s="806">
        <v>42</v>
      </c>
      <c r="N992" s="807">
        <v>41547</v>
      </c>
    </row>
    <row r="993" spans="1:14">
      <c r="A993" s="589" t="s">
        <v>1671</v>
      </c>
      <c r="B993" s="585" t="s">
        <v>1098</v>
      </c>
      <c r="C993" s="243">
        <v>41540</v>
      </c>
      <c r="D993" s="243">
        <v>41540</v>
      </c>
      <c r="E993" s="589" t="s">
        <v>185</v>
      </c>
      <c r="F993" s="589" t="s">
        <v>1392</v>
      </c>
      <c r="G993" s="589" t="s">
        <v>1483</v>
      </c>
      <c r="H993" s="589">
        <v>209</v>
      </c>
      <c r="I993" s="583">
        <v>209</v>
      </c>
      <c r="J993" s="589"/>
      <c r="K993" s="589" t="s">
        <v>1071</v>
      </c>
      <c r="L993" s="806">
        <v>2</v>
      </c>
      <c r="M993" s="806">
        <v>8</v>
      </c>
      <c r="N993" s="807">
        <v>41541</v>
      </c>
    </row>
    <row r="994" spans="1:14">
      <c r="A994" s="688" t="s">
        <v>1671</v>
      </c>
      <c r="B994" s="585" t="s">
        <v>1098</v>
      </c>
      <c r="C994" s="243">
        <v>41540</v>
      </c>
      <c r="D994" s="243">
        <v>41540</v>
      </c>
      <c r="E994" s="589" t="s">
        <v>245</v>
      </c>
      <c r="F994" s="589" t="s">
        <v>1392</v>
      </c>
      <c r="G994" s="589" t="s">
        <v>991</v>
      </c>
      <c r="H994" s="589">
        <v>49</v>
      </c>
      <c r="I994" s="583">
        <v>49</v>
      </c>
      <c r="J994" s="589"/>
      <c r="K994" s="637" t="s">
        <v>1071</v>
      </c>
      <c r="L994" s="809">
        <v>5</v>
      </c>
      <c r="M994" s="809">
        <v>35</v>
      </c>
      <c r="N994" s="807">
        <v>41550</v>
      </c>
    </row>
    <row r="995" spans="1:14">
      <c r="A995" s="589" t="s">
        <v>1671</v>
      </c>
      <c r="B995" s="585" t="s">
        <v>1098</v>
      </c>
      <c r="C995" s="243">
        <v>41540</v>
      </c>
      <c r="D995" s="243">
        <v>41540</v>
      </c>
      <c r="E995" s="589" t="s">
        <v>179</v>
      </c>
      <c r="F995" s="589" t="s">
        <v>1392</v>
      </c>
      <c r="G995" s="805" t="s">
        <v>1000</v>
      </c>
      <c r="H995" s="589">
        <v>166</v>
      </c>
      <c r="I995" s="583">
        <v>166</v>
      </c>
      <c r="J995" s="589"/>
      <c r="K995" s="589" t="s">
        <v>1071</v>
      </c>
      <c r="L995" s="806">
        <v>2</v>
      </c>
      <c r="M995" s="806">
        <v>8</v>
      </c>
      <c r="N995" s="807">
        <v>41547</v>
      </c>
    </row>
    <row r="996" spans="1:14">
      <c r="A996" s="589" t="s">
        <v>1671</v>
      </c>
      <c r="B996" s="585" t="s">
        <v>1098</v>
      </c>
      <c r="C996" s="243">
        <v>41540</v>
      </c>
      <c r="D996" s="243">
        <v>41540</v>
      </c>
      <c r="E996" s="590" t="s">
        <v>180</v>
      </c>
      <c r="F996" s="589" t="s">
        <v>1392</v>
      </c>
      <c r="G996" s="805" t="s">
        <v>1000</v>
      </c>
      <c r="H996" s="591">
        <v>30</v>
      </c>
      <c r="I996" s="590">
        <v>30</v>
      </c>
      <c r="J996" s="637"/>
      <c r="K996" s="589" t="s">
        <v>1071</v>
      </c>
      <c r="L996" s="810">
        <v>2</v>
      </c>
      <c r="M996" s="810">
        <v>8</v>
      </c>
      <c r="N996" s="807">
        <v>41547</v>
      </c>
    </row>
    <row r="997" spans="1:14">
      <c r="A997" s="589" t="s">
        <v>1671</v>
      </c>
      <c r="B997" s="585" t="s">
        <v>1098</v>
      </c>
      <c r="C997" s="243">
        <v>41540</v>
      </c>
      <c r="D997" s="243">
        <v>41540</v>
      </c>
      <c r="E997" s="589" t="s">
        <v>184</v>
      </c>
      <c r="F997" s="589" t="s">
        <v>1392</v>
      </c>
      <c r="G997" s="589" t="s">
        <v>1471</v>
      </c>
      <c r="H997" s="592">
        <v>6.6</v>
      </c>
      <c r="I997" s="811">
        <v>6.6</v>
      </c>
      <c r="J997" s="589"/>
      <c r="K997" s="589" t="s">
        <v>1096</v>
      </c>
      <c r="L997" s="806">
        <v>4</v>
      </c>
      <c r="M997" s="806"/>
      <c r="N997" s="807">
        <v>41541</v>
      </c>
    </row>
    <row r="998" spans="1:14">
      <c r="A998" s="804" t="s">
        <v>1671</v>
      </c>
      <c r="B998" s="583" t="s">
        <v>1098</v>
      </c>
      <c r="C998" s="243">
        <v>41540</v>
      </c>
      <c r="D998" s="243">
        <v>41540</v>
      </c>
      <c r="E998" s="584" t="s">
        <v>181</v>
      </c>
      <c r="F998" s="804" t="s">
        <v>1392</v>
      </c>
      <c r="G998" s="812" t="s">
        <v>1402</v>
      </c>
      <c r="H998" s="332">
        <v>4.7</v>
      </c>
      <c r="I998" s="813">
        <v>4.7</v>
      </c>
      <c r="J998" s="814"/>
      <c r="K998" s="589" t="s">
        <v>1071</v>
      </c>
      <c r="L998" s="810">
        <v>0.1</v>
      </c>
      <c r="M998" s="810"/>
      <c r="N998" s="807">
        <v>41546</v>
      </c>
    </row>
    <row r="999" spans="1:14">
      <c r="A999" s="804" t="s">
        <v>1671</v>
      </c>
      <c r="B999" s="583" t="s">
        <v>1098</v>
      </c>
      <c r="C999" s="243">
        <v>41540</v>
      </c>
      <c r="D999" s="243">
        <v>41540</v>
      </c>
      <c r="E999" s="584" t="s">
        <v>181</v>
      </c>
      <c r="F999" s="804" t="s">
        <v>1392</v>
      </c>
      <c r="G999" s="812" t="s">
        <v>1402</v>
      </c>
      <c r="H999" s="332">
        <v>4.4000000000000004</v>
      </c>
      <c r="I999" s="813">
        <v>4.4000000000000004</v>
      </c>
      <c r="J999" s="814"/>
      <c r="K999" s="589" t="s">
        <v>1071</v>
      </c>
      <c r="L999" s="810">
        <v>0.1</v>
      </c>
      <c r="M999" s="810"/>
      <c r="N999" s="807">
        <v>41546</v>
      </c>
    </row>
    <row r="1000" spans="1:14">
      <c r="A1000" s="589" t="s">
        <v>1672</v>
      </c>
      <c r="B1000" s="583" t="s">
        <v>1099</v>
      </c>
      <c r="C1000" s="243">
        <v>41540</v>
      </c>
      <c r="D1000" s="243">
        <v>41540</v>
      </c>
      <c r="E1000" s="584" t="s">
        <v>206</v>
      </c>
      <c r="F1000" s="589" t="s">
        <v>1392</v>
      </c>
      <c r="G1000" s="805" t="s">
        <v>996</v>
      </c>
      <c r="H1000" s="589">
        <v>601</v>
      </c>
      <c r="I1000" s="583">
        <v>601</v>
      </c>
      <c r="J1000" s="589"/>
      <c r="K1000" s="637" t="s">
        <v>1071</v>
      </c>
      <c r="L1000" s="806">
        <v>6</v>
      </c>
      <c r="M1000" s="806">
        <v>42</v>
      </c>
      <c r="N1000" s="807">
        <v>41547</v>
      </c>
    </row>
    <row r="1001" spans="1:14">
      <c r="A1001" s="589" t="s">
        <v>1672</v>
      </c>
      <c r="B1001" s="583" t="s">
        <v>1099</v>
      </c>
      <c r="C1001" s="243">
        <v>41540</v>
      </c>
      <c r="D1001" s="243">
        <v>41540</v>
      </c>
      <c r="E1001" s="589" t="s">
        <v>185</v>
      </c>
      <c r="F1001" s="589" t="s">
        <v>1392</v>
      </c>
      <c r="G1001" s="589" t="s">
        <v>1483</v>
      </c>
      <c r="H1001" s="589">
        <v>203</v>
      </c>
      <c r="I1001" s="583">
        <v>203</v>
      </c>
      <c r="J1001" s="589"/>
      <c r="K1001" s="589" t="s">
        <v>1071</v>
      </c>
      <c r="L1001" s="806">
        <v>2</v>
      </c>
      <c r="M1001" s="806">
        <v>8</v>
      </c>
      <c r="N1001" s="807">
        <v>41541</v>
      </c>
    </row>
    <row r="1002" spans="1:14">
      <c r="A1002" s="688" t="s">
        <v>1672</v>
      </c>
      <c r="B1002" s="583" t="s">
        <v>1099</v>
      </c>
      <c r="C1002" s="243">
        <v>41540</v>
      </c>
      <c r="D1002" s="243">
        <v>41540</v>
      </c>
      <c r="E1002" s="589" t="s">
        <v>245</v>
      </c>
      <c r="F1002" s="589" t="s">
        <v>1392</v>
      </c>
      <c r="G1002" s="589" t="s">
        <v>991</v>
      </c>
      <c r="H1002" s="589">
        <v>65</v>
      </c>
      <c r="I1002" s="583">
        <v>65</v>
      </c>
      <c r="J1002" s="589"/>
      <c r="K1002" s="637" t="s">
        <v>1071</v>
      </c>
      <c r="L1002" s="809">
        <v>5</v>
      </c>
      <c r="M1002" s="809">
        <v>35</v>
      </c>
      <c r="N1002" s="807">
        <v>41550</v>
      </c>
    </row>
    <row r="1003" spans="1:14">
      <c r="A1003" s="589" t="s">
        <v>1672</v>
      </c>
      <c r="B1003" s="583" t="s">
        <v>1099</v>
      </c>
      <c r="C1003" s="243">
        <v>41540</v>
      </c>
      <c r="D1003" s="243">
        <v>41540</v>
      </c>
      <c r="E1003" s="589" t="s">
        <v>179</v>
      </c>
      <c r="F1003" s="589" t="s">
        <v>1392</v>
      </c>
      <c r="G1003" s="805" t="s">
        <v>1000</v>
      </c>
      <c r="H1003" s="589">
        <v>57</v>
      </c>
      <c r="I1003" s="583">
        <v>57</v>
      </c>
      <c r="J1003" s="589"/>
      <c r="K1003" s="589" t="s">
        <v>1071</v>
      </c>
      <c r="L1003" s="806">
        <v>2</v>
      </c>
      <c r="M1003" s="806">
        <v>8</v>
      </c>
      <c r="N1003" s="807">
        <v>41547</v>
      </c>
    </row>
    <row r="1004" spans="1:14">
      <c r="A1004" s="589" t="s">
        <v>1672</v>
      </c>
      <c r="B1004" s="583" t="s">
        <v>1099</v>
      </c>
      <c r="C1004" s="243">
        <v>41540</v>
      </c>
      <c r="D1004" s="243">
        <v>41540</v>
      </c>
      <c r="E1004" s="590" t="s">
        <v>180</v>
      </c>
      <c r="F1004" s="589" t="s">
        <v>1392</v>
      </c>
      <c r="G1004" s="805" t="s">
        <v>1000</v>
      </c>
      <c r="H1004" s="591">
        <v>23</v>
      </c>
      <c r="I1004" s="590">
        <v>23</v>
      </c>
      <c r="J1004" s="637"/>
      <c r="K1004" s="589" t="s">
        <v>1071</v>
      </c>
      <c r="L1004" s="810">
        <v>2</v>
      </c>
      <c r="M1004" s="810">
        <v>8</v>
      </c>
      <c r="N1004" s="807">
        <v>41547</v>
      </c>
    </row>
    <row r="1005" spans="1:14">
      <c r="A1005" s="589" t="s">
        <v>1672</v>
      </c>
      <c r="B1005" s="583" t="s">
        <v>1099</v>
      </c>
      <c r="C1005" s="243">
        <v>41540</v>
      </c>
      <c r="D1005" s="243">
        <v>41540</v>
      </c>
      <c r="E1005" s="589" t="s">
        <v>184</v>
      </c>
      <c r="F1005" s="589" t="s">
        <v>1392</v>
      </c>
      <c r="G1005" s="589" t="s">
        <v>1471</v>
      </c>
      <c r="H1005" s="592">
        <v>7.2</v>
      </c>
      <c r="I1005" s="811">
        <v>7.2</v>
      </c>
      <c r="J1005" s="589"/>
      <c r="K1005" s="589" t="s">
        <v>1096</v>
      </c>
      <c r="L1005" s="806">
        <v>4</v>
      </c>
      <c r="M1005" s="806"/>
      <c r="N1005" s="807">
        <v>41541</v>
      </c>
    </row>
    <row r="1006" spans="1:14">
      <c r="A1006" s="589" t="s">
        <v>1673</v>
      </c>
      <c r="B1006" s="583" t="s">
        <v>1100</v>
      </c>
      <c r="C1006" s="243">
        <v>41540</v>
      </c>
      <c r="D1006" s="243">
        <v>41540</v>
      </c>
      <c r="E1006" s="584" t="s">
        <v>206</v>
      </c>
      <c r="F1006" s="589" t="s">
        <v>1392</v>
      </c>
      <c r="G1006" s="805" t="s">
        <v>996</v>
      </c>
      <c r="H1006" s="589">
        <v>676</v>
      </c>
      <c r="I1006" s="583">
        <v>676</v>
      </c>
      <c r="J1006" s="589"/>
      <c r="K1006" s="637" t="s">
        <v>1071</v>
      </c>
      <c r="L1006" s="806">
        <v>6</v>
      </c>
      <c r="M1006" s="806">
        <v>42</v>
      </c>
      <c r="N1006" s="807">
        <v>41547</v>
      </c>
    </row>
    <row r="1007" spans="1:14">
      <c r="A1007" s="589" t="s">
        <v>1673</v>
      </c>
      <c r="B1007" s="583" t="s">
        <v>1100</v>
      </c>
      <c r="C1007" s="243">
        <v>41540</v>
      </c>
      <c r="D1007" s="243">
        <v>41540</v>
      </c>
      <c r="E1007" s="589" t="s">
        <v>185</v>
      </c>
      <c r="F1007" s="589" t="s">
        <v>1392</v>
      </c>
      <c r="G1007" s="589" t="s">
        <v>1483</v>
      </c>
      <c r="H1007" s="589">
        <v>228</v>
      </c>
      <c r="I1007" s="583">
        <v>228</v>
      </c>
      <c r="J1007" s="589"/>
      <c r="K1007" s="589" t="s">
        <v>1071</v>
      </c>
      <c r="L1007" s="806">
        <v>2</v>
      </c>
      <c r="M1007" s="806">
        <v>8</v>
      </c>
      <c r="N1007" s="807">
        <v>41541</v>
      </c>
    </row>
    <row r="1008" spans="1:14">
      <c r="A1008" s="589" t="s">
        <v>1673</v>
      </c>
      <c r="B1008" s="583" t="s">
        <v>1100</v>
      </c>
      <c r="C1008" s="243">
        <v>41540</v>
      </c>
      <c r="D1008" s="243">
        <v>41540</v>
      </c>
      <c r="E1008" s="589" t="s">
        <v>245</v>
      </c>
      <c r="F1008" s="589" t="s">
        <v>1392</v>
      </c>
      <c r="G1008" s="589" t="s">
        <v>991</v>
      </c>
      <c r="H1008" s="589">
        <v>54</v>
      </c>
      <c r="I1008" s="583">
        <v>54</v>
      </c>
      <c r="J1008" s="589"/>
      <c r="K1008" s="637" t="s">
        <v>1071</v>
      </c>
      <c r="L1008" s="809">
        <v>5</v>
      </c>
      <c r="M1008" s="809">
        <v>35</v>
      </c>
      <c r="N1008" s="807">
        <v>41550</v>
      </c>
    </row>
    <row r="1009" spans="1:14">
      <c r="A1009" s="589" t="s">
        <v>1673</v>
      </c>
      <c r="B1009" s="583" t="s">
        <v>1100</v>
      </c>
      <c r="C1009" s="243">
        <v>41540</v>
      </c>
      <c r="D1009" s="243">
        <v>41540</v>
      </c>
      <c r="E1009" s="589" t="s">
        <v>179</v>
      </c>
      <c r="F1009" s="589" t="s">
        <v>1392</v>
      </c>
      <c r="G1009" s="805" t="s">
        <v>1000</v>
      </c>
      <c r="H1009" s="589">
        <v>60</v>
      </c>
      <c r="I1009" s="583">
        <v>60</v>
      </c>
      <c r="J1009" s="589"/>
      <c r="K1009" s="589" t="s">
        <v>1071</v>
      </c>
      <c r="L1009" s="806">
        <v>2</v>
      </c>
      <c r="M1009" s="806">
        <v>8</v>
      </c>
      <c r="N1009" s="807">
        <v>41547</v>
      </c>
    </row>
    <row r="1010" spans="1:14">
      <c r="A1010" s="589" t="s">
        <v>1673</v>
      </c>
      <c r="B1010" s="583" t="s">
        <v>1100</v>
      </c>
      <c r="C1010" s="243">
        <v>41540</v>
      </c>
      <c r="D1010" s="243">
        <v>41540</v>
      </c>
      <c r="E1010" s="590" t="s">
        <v>180</v>
      </c>
      <c r="F1010" s="589" t="s">
        <v>1392</v>
      </c>
      <c r="G1010" s="805" t="s">
        <v>1000</v>
      </c>
      <c r="H1010" s="591">
        <v>29</v>
      </c>
      <c r="I1010" s="590">
        <v>29</v>
      </c>
      <c r="J1010" s="637"/>
      <c r="K1010" s="589" t="s">
        <v>1071</v>
      </c>
      <c r="L1010" s="810">
        <v>2</v>
      </c>
      <c r="M1010" s="810">
        <v>8</v>
      </c>
      <c r="N1010" s="807">
        <v>41551</v>
      </c>
    </row>
    <row r="1011" spans="1:14">
      <c r="A1011" s="589" t="s">
        <v>1673</v>
      </c>
      <c r="B1011" s="583" t="s">
        <v>1100</v>
      </c>
      <c r="C1011" s="243">
        <v>41540</v>
      </c>
      <c r="D1011" s="243">
        <v>41540</v>
      </c>
      <c r="E1011" s="589" t="s">
        <v>184</v>
      </c>
      <c r="F1011" s="589" t="s">
        <v>1392</v>
      </c>
      <c r="G1011" s="589" t="s">
        <v>1471</v>
      </c>
      <c r="H1011" s="592">
        <v>4.5999999999999996</v>
      </c>
      <c r="I1011" s="811">
        <v>4.5999999999999996</v>
      </c>
      <c r="J1011" s="589"/>
      <c r="K1011" s="589" t="s">
        <v>1096</v>
      </c>
      <c r="L1011" s="806">
        <v>4</v>
      </c>
      <c r="M1011" s="806"/>
      <c r="N1011" s="807">
        <v>41541</v>
      </c>
    </row>
    <row r="1013" spans="1:14">
      <c r="A1013" s="804" t="s">
        <v>1674</v>
      </c>
      <c r="B1013" s="583" t="s">
        <v>297</v>
      </c>
      <c r="C1013" s="243">
        <v>41541</v>
      </c>
      <c r="D1013" s="243">
        <v>41541</v>
      </c>
      <c r="E1013" s="584" t="s">
        <v>206</v>
      </c>
      <c r="F1013" s="589" t="s">
        <v>1392</v>
      </c>
      <c r="G1013" s="805" t="s">
        <v>996</v>
      </c>
      <c r="H1013" s="589">
        <v>401</v>
      </c>
      <c r="I1013" s="583">
        <v>401</v>
      </c>
      <c r="J1013" s="589"/>
      <c r="K1013" s="637" t="s">
        <v>1071</v>
      </c>
      <c r="L1013" s="806">
        <v>6</v>
      </c>
      <c r="M1013" s="806">
        <v>42</v>
      </c>
      <c r="N1013" s="807">
        <v>41547</v>
      </c>
    </row>
    <row r="1014" spans="1:14">
      <c r="A1014" s="688" t="s">
        <v>1674</v>
      </c>
      <c r="B1014" s="583" t="s">
        <v>297</v>
      </c>
      <c r="C1014" s="243">
        <v>41541</v>
      </c>
      <c r="D1014" s="243">
        <v>41541</v>
      </c>
      <c r="E1014" s="589" t="s">
        <v>185</v>
      </c>
      <c r="F1014" s="589" t="s">
        <v>1392</v>
      </c>
      <c r="G1014" s="589" t="s">
        <v>1483</v>
      </c>
      <c r="H1014" s="589">
        <v>106</v>
      </c>
      <c r="I1014" s="583">
        <v>106</v>
      </c>
      <c r="J1014" s="589"/>
      <c r="K1014" s="589" t="s">
        <v>1071</v>
      </c>
      <c r="L1014" s="806">
        <v>2</v>
      </c>
      <c r="M1014" s="806">
        <v>8</v>
      </c>
      <c r="N1014" s="807">
        <v>41542</v>
      </c>
    </row>
    <row r="1015" spans="1:14">
      <c r="A1015" s="688" t="s">
        <v>1674</v>
      </c>
      <c r="B1015" s="583" t="s">
        <v>297</v>
      </c>
      <c r="C1015" s="243">
        <v>41541</v>
      </c>
      <c r="D1015" s="243">
        <v>41541</v>
      </c>
      <c r="E1015" s="589" t="s">
        <v>245</v>
      </c>
      <c r="F1015" s="589" t="s">
        <v>1392</v>
      </c>
      <c r="G1015" s="589" t="s">
        <v>991</v>
      </c>
      <c r="H1015" s="589">
        <v>22</v>
      </c>
      <c r="I1015" s="583">
        <v>22</v>
      </c>
      <c r="J1015" s="589" t="s">
        <v>1419</v>
      </c>
      <c r="K1015" s="637" t="s">
        <v>1071</v>
      </c>
      <c r="L1015" s="809">
        <v>5</v>
      </c>
      <c r="M1015" s="809">
        <v>35</v>
      </c>
      <c r="N1015" s="807">
        <v>41550</v>
      </c>
    </row>
    <row r="1016" spans="1:14">
      <c r="A1016" s="688" t="s">
        <v>1674</v>
      </c>
      <c r="B1016" s="583" t="s">
        <v>297</v>
      </c>
      <c r="C1016" s="243">
        <v>41541</v>
      </c>
      <c r="D1016" s="243">
        <v>41541</v>
      </c>
      <c r="E1016" s="589" t="s">
        <v>179</v>
      </c>
      <c r="F1016" s="589" t="s">
        <v>1392</v>
      </c>
      <c r="G1016" s="805" t="s">
        <v>1000</v>
      </c>
      <c r="H1016" s="589">
        <v>26</v>
      </c>
      <c r="I1016" s="583">
        <v>26</v>
      </c>
      <c r="J1016" s="589"/>
      <c r="K1016" s="589" t="s">
        <v>1071</v>
      </c>
      <c r="L1016" s="806">
        <v>2</v>
      </c>
      <c r="M1016" s="806">
        <v>8</v>
      </c>
      <c r="N1016" s="807">
        <v>41547</v>
      </c>
    </row>
    <row r="1017" spans="1:14">
      <c r="A1017" s="589" t="s">
        <v>1674</v>
      </c>
      <c r="B1017" s="583" t="s">
        <v>297</v>
      </c>
      <c r="C1017" s="243">
        <v>41541</v>
      </c>
      <c r="D1017" s="243">
        <v>41541</v>
      </c>
      <c r="E1017" s="590" t="s">
        <v>180</v>
      </c>
      <c r="F1017" s="589" t="s">
        <v>1392</v>
      </c>
      <c r="G1017" s="805" t="s">
        <v>1000</v>
      </c>
      <c r="H1017" s="591">
        <v>8</v>
      </c>
      <c r="I1017" s="590">
        <v>8</v>
      </c>
      <c r="J1017" s="637" t="s">
        <v>1419</v>
      </c>
      <c r="K1017" s="589" t="s">
        <v>1071</v>
      </c>
      <c r="L1017" s="810">
        <v>2</v>
      </c>
      <c r="M1017" s="810">
        <v>8</v>
      </c>
      <c r="N1017" s="807">
        <v>41547</v>
      </c>
    </row>
    <row r="1018" spans="1:14">
      <c r="A1018" s="688" t="s">
        <v>1674</v>
      </c>
      <c r="B1018" s="583" t="s">
        <v>297</v>
      </c>
      <c r="C1018" s="243">
        <v>41541</v>
      </c>
      <c r="D1018" s="243">
        <v>41541</v>
      </c>
      <c r="E1018" s="589" t="s">
        <v>184</v>
      </c>
      <c r="F1018" s="589" t="s">
        <v>1392</v>
      </c>
      <c r="G1018" s="589" t="s">
        <v>1471</v>
      </c>
      <c r="H1018" s="592">
        <v>7.6</v>
      </c>
      <c r="I1018" s="811">
        <v>7.6</v>
      </c>
      <c r="J1018" s="589"/>
      <c r="K1018" s="589" t="s">
        <v>1096</v>
      </c>
      <c r="L1018" s="806">
        <v>4</v>
      </c>
      <c r="M1018" s="806"/>
      <c r="N1018" s="807">
        <v>41542</v>
      </c>
    </row>
    <row r="1019" spans="1:14">
      <c r="A1019" s="688" t="s">
        <v>1674</v>
      </c>
      <c r="B1019" s="583" t="s">
        <v>297</v>
      </c>
      <c r="C1019" s="243">
        <v>41541</v>
      </c>
      <c r="D1019" s="243">
        <v>41541</v>
      </c>
      <c r="E1019" s="584" t="s">
        <v>181</v>
      </c>
      <c r="F1019" s="804" t="s">
        <v>1392</v>
      </c>
      <c r="G1019" s="812" t="s">
        <v>1402</v>
      </c>
      <c r="H1019" s="332">
        <v>0.3</v>
      </c>
      <c r="I1019" s="813">
        <v>0.3</v>
      </c>
      <c r="J1019" s="814"/>
      <c r="K1019" s="589" t="s">
        <v>1071</v>
      </c>
      <c r="L1019" s="810">
        <v>0.1</v>
      </c>
      <c r="M1019" s="810"/>
      <c r="N1019" s="807">
        <v>41546</v>
      </c>
    </row>
    <row r="1020" spans="1:14">
      <c r="A1020" s="688" t="s">
        <v>1674</v>
      </c>
      <c r="B1020" s="583" t="s">
        <v>297</v>
      </c>
      <c r="C1020" s="243">
        <v>41541</v>
      </c>
      <c r="D1020" s="243">
        <v>41541</v>
      </c>
      <c r="E1020" s="584" t="s">
        <v>181</v>
      </c>
      <c r="F1020" s="804" t="s">
        <v>1392</v>
      </c>
      <c r="G1020" s="812" t="s">
        <v>1402</v>
      </c>
      <c r="H1020" s="332">
        <v>0.3</v>
      </c>
      <c r="I1020" s="813">
        <v>0.3</v>
      </c>
      <c r="J1020" s="814"/>
      <c r="K1020" s="589" t="s">
        <v>1071</v>
      </c>
      <c r="L1020" s="810">
        <v>0.1</v>
      </c>
      <c r="M1020" s="810"/>
      <c r="N1020" s="807">
        <v>41546</v>
      </c>
    </row>
    <row r="1021" spans="1:14">
      <c r="A1021" s="804" t="s">
        <v>1675</v>
      </c>
      <c r="B1021" s="583" t="s">
        <v>402</v>
      </c>
      <c r="C1021" s="243">
        <v>41541</v>
      </c>
      <c r="D1021" s="243">
        <v>41541</v>
      </c>
      <c r="E1021" s="584" t="s">
        <v>206</v>
      </c>
      <c r="F1021" s="589" t="s">
        <v>1392</v>
      </c>
      <c r="G1021" s="805" t="s">
        <v>996</v>
      </c>
      <c r="H1021" s="589">
        <v>382</v>
      </c>
      <c r="I1021" s="583">
        <v>382</v>
      </c>
      <c r="J1021" s="589"/>
      <c r="K1021" s="637" t="s">
        <v>1071</v>
      </c>
      <c r="L1021" s="806">
        <v>6</v>
      </c>
      <c r="M1021" s="806">
        <v>42</v>
      </c>
      <c r="N1021" s="807">
        <v>41547</v>
      </c>
    </row>
    <row r="1022" spans="1:14">
      <c r="A1022" s="688" t="s">
        <v>1675</v>
      </c>
      <c r="B1022" s="583" t="s">
        <v>402</v>
      </c>
      <c r="C1022" s="243">
        <v>41541</v>
      </c>
      <c r="D1022" s="243">
        <v>41541</v>
      </c>
      <c r="E1022" s="589" t="s">
        <v>185</v>
      </c>
      <c r="F1022" s="589" t="s">
        <v>1392</v>
      </c>
      <c r="G1022" s="589" t="s">
        <v>1483</v>
      </c>
      <c r="H1022" s="589">
        <v>106</v>
      </c>
      <c r="I1022" s="583">
        <v>106</v>
      </c>
      <c r="J1022" s="589"/>
      <c r="K1022" s="589" t="s">
        <v>1071</v>
      </c>
      <c r="L1022" s="806">
        <v>2</v>
      </c>
      <c r="M1022" s="806">
        <v>8</v>
      </c>
      <c r="N1022" s="807">
        <v>41542</v>
      </c>
    </row>
    <row r="1023" spans="1:14">
      <c r="A1023" s="688" t="s">
        <v>1675</v>
      </c>
      <c r="B1023" s="583" t="s">
        <v>402</v>
      </c>
      <c r="C1023" s="243">
        <v>41541</v>
      </c>
      <c r="D1023" s="243">
        <v>41541</v>
      </c>
      <c r="E1023" s="589" t="s">
        <v>245</v>
      </c>
      <c r="F1023" s="589" t="s">
        <v>1392</v>
      </c>
      <c r="G1023" s="589" t="s">
        <v>991</v>
      </c>
      <c r="H1023" s="589">
        <v>21</v>
      </c>
      <c r="I1023" s="583">
        <v>21</v>
      </c>
      <c r="J1023" s="589" t="s">
        <v>1419</v>
      </c>
      <c r="K1023" s="637" t="s">
        <v>1071</v>
      </c>
      <c r="L1023" s="809">
        <v>5</v>
      </c>
      <c r="M1023" s="809">
        <v>35</v>
      </c>
      <c r="N1023" s="807">
        <v>41550</v>
      </c>
    </row>
    <row r="1024" spans="1:14">
      <c r="A1024" s="688" t="s">
        <v>1675</v>
      </c>
      <c r="B1024" s="583" t="s">
        <v>402</v>
      </c>
      <c r="C1024" s="243">
        <v>41541</v>
      </c>
      <c r="D1024" s="243">
        <v>41541</v>
      </c>
      <c r="E1024" s="589" t="s">
        <v>179</v>
      </c>
      <c r="F1024" s="589" t="s">
        <v>1392</v>
      </c>
      <c r="G1024" s="805" t="s">
        <v>1000</v>
      </c>
      <c r="H1024" s="589">
        <v>31</v>
      </c>
      <c r="I1024" s="583">
        <v>31</v>
      </c>
      <c r="J1024" s="589"/>
      <c r="K1024" s="589" t="s">
        <v>1071</v>
      </c>
      <c r="L1024" s="806">
        <v>2</v>
      </c>
      <c r="M1024" s="806">
        <v>8</v>
      </c>
      <c r="N1024" s="807">
        <v>41547</v>
      </c>
    </row>
    <row r="1025" spans="1:14">
      <c r="A1025" s="589" t="s">
        <v>1675</v>
      </c>
      <c r="B1025" s="583" t="s">
        <v>402</v>
      </c>
      <c r="C1025" s="243">
        <v>41541</v>
      </c>
      <c r="D1025" s="243">
        <v>41541</v>
      </c>
      <c r="E1025" s="590" t="s">
        <v>180</v>
      </c>
      <c r="F1025" s="589" t="s">
        <v>1392</v>
      </c>
      <c r="G1025" s="805" t="s">
        <v>1000</v>
      </c>
      <c r="H1025" s="591">
        <v>8</v>
      </c>
      <c r="I1025" s="590">
        <v>8</v>
      </c>
      <c r="J1025" s="637" t="s">
        <v>1419</v>
      </c>
      <c r="K1025" s="589" t="s">
        <v>1071</v>
      </c>
      <c r="L1025" s="810">
        <v>2</v>
      </c>
      <c r="M1025" s="810">
        <v>8</v>
      </c>
      <c r="N1025" s="807">
        <v>41547</v>
      </c>
    </row>
    <row r="1026" spans="1:14">
      <c r="A1026" s="688" t="s">
        <v>1675</v>
      </c>
      <c r="B1026" s="583" t="s">
        <v>402</v>
      </c>
      <c r="C1026" s="243">
        <v>41541</v>
      </c>
      <c r="D1026" s="243">
        <v>41541</v>
      </c>
      <c r="E1026" s="589" t="s">
        <v>184</v>
      </c>
      <c r="F1026" s="589" t="s">
        <v>1392</v>
      </c>
      <c r="G1026" s="589" t="s">
        <v>1471</v>
      </c>
      <c r="H1026" s="592">
        <v>12.8</v>
      </c>
      <c r="I1026" s="811">
        <v>12.8</v>
      </c>
      <c r="J1026" s="589"/>
      <c r="K1026" s="589" t="s">
        <v>1096</v>
      </c>
      <c r="L1026" s="806">
        <v>4</v>
      </c>
      <c r="M1026" s="806"/>
      <c r="N1026" s="807">
        <v>41542</v>
      </c>
    </row>
    <row r="1027" spans="1:14">
      <c r="A1027" s="589" t="s">
        <v>1676</v>
      </c>
      <c r="B1027" s="583">
        <v>52</v>
      </c>
      <c r="C1027" s="243">
        <v>41541</v>
      </c>
      <c r="D1027" s="243">
        <v>41541</v>
      </c>
      <c r="E1027" s="584" t="s">
        <v>206</v>
      </c>
      <c r="F1027" s="589" t="s">
        <v>1392</v>
      </c>
      <c r="G1027" s="805" t="s">
        <v>996</v>
      </c>
      <c r="H1027" s="589">
        <v>696</v>
      </c>
      <c r="I1027" s="583">
        <v>696</v>
      </c>
      <c r="J1027" s="589"/>
      <c r="K1027" s="637" t="s">
        <v>1071</v>
      </c>
      <c r="L1027" s="806">
        <v>6</v>
      </c>
      <c r="M1027" s="806">
        <v>42</v>
      </c>
      <c r="N1027" s="807">
        <v>41547</v>
      </c>
    </row>
    <row r="1028" spans="1:14">
      <c r="A1028" s="804" t="s">
        <v>1676</v>
      </c>
      <c r="B1028" s="583">
        <v>52</v>
      </c>
      <c r="C1028" s="243">
        <v>41541</v>
      </c>
      <c r="D1028" s="243">
        <v>41541</v>
      </c>
      <c r="E1028" s="589" t="s">
        <v>185</v>
      </c>
      <c r="F1028" s="589" t="s">
        <v>1392</v>
      </c>
      <c r="G1028" s="589" t="s">
        <v>1483</v>
      </c>
      <c r="H1028" s="589">
        <v>319</v>
      </c>
      <c r="I1028" s="583">
        <v>319</v>
      </c>
      <c r="J1028" s="589"/>
      <c r="K1028" s="589" t="s">
        <v>1071</v>
      </c>
      <c r="L1028" s="806">
        <v>2</v>
      </c>
      <c r="M1028" s="806">
        <v>8</v>
      </c>
      <c r="N1028" s="807">
        <v>41542</v>
      </c>
    </row>
    <row r="1029" spans="1:14">
      <c r="A1029" s="804" t="s">
        <v>1676</v>
      </c>
      <c r="B1029" s="583">
        <v>52</v>
      </c>
      <c r="C1029" s="243">
        <v>41541</v>
      </c>
      <c r="D1029" s="243">
        <v>41541</v>
      </c>
      <c r="E1029" s="589" t="s">
        <v>245</v>
      </c>
      <c r="F1029" s="589" t="s">
        <v>1392</v>
      </c>
      <c r="G1029" s="589" t="s">
        <v>991</v>
      </c>
      <c r="H1029" s="589">
        <v>8</v>
      </c>
      <c r="I1029" s="583">
        <v>8</v>
      </c>
      <c r="J1029" s="589" t="s">
        <v>1419</v>
      </c>
      <c r="K1029" s="637" t="s">
        <v>1071</v>
      </c>
      <c r="L1029" s="809">
        <v>5</v>
      </c>
      <c r="M1029" s="809">
        <v>35</v>
      </c>
      <c r="N1029" s="807">
        <v>41550</v>
      </c>
    </row>
    <row r="1030" spans="1:14">
      <c r="A1030" s="804" t="s">
        <v>1676</v>
      </c>
      <c r="B1030" s="583">
        <v>52</v>
      </c>
      <c r="C1030" s="243">
        <v>41541</v>
      </c>
      <c r="D1030" s="243">
        <v>41541</v>
      </c>
      <c r="E1030" s="589" t="s">
        <v>179</v>
      </c>
      <c r="F1030" s="589" t="s">
        <v>1392</v>
      </c>
      <c r="G1030" s="805" t="s">
        <v>1000</v>
      </c>
      <c r="H1030" s="589">
        <v>26</v>
      </c>
      <c r="I1030" s="583">
        <v>26</v>
      </c>
      <c r="J1030" s="589"/>
      <c r="K1030" s="589" t="s">
        <v>1071</v>
      </c>
      <c r="L1030" s="806">
        <v>2</v>
      </c>
      <c r="M1030" s="806">
        <v>8</v>
      </c>
      <c r="N1030" s="807">
        <v>41547</v>
      </c>
    </row>
    <row r="1031" spans="1:14">
      <c r="A1031" s="804" t="s">
        <v>1677</v>
      </c>
      <c r="B1031" s="585">
        <v>53</v>
      </c>
      <c r="C1031" s="243">
        <v>41541</v>
      </c>
      <c r="D1031" s="243">
        <v>41541</v>
      </c>
      <c r="E1031" s="584" t="s">
        <v>206</v>
      </c>
      <c r="F1031" s="589" t="s">
        <v>1392</v>
      </c>
      <c r="G1031" s="805" t="s">
        <v>996</v>
      </c>
      <c r="H1031" s="589">
        <v>349</v>
      </c>
      <c r="I1031" s="583">
        <v>349</v>
      </c>
      <c r="J1031" s="589"/>
      <c r="K1031" s="637" t="s">
        <v>1071</v>
      </c>
      <c r="L1031" s="806">
        <v>6</v>
      </c>
      <c r="M1031" s="806">
        <v>42</v>
      </c>
      <c r="N1031" s="807">
        <v>41547</v>
      </c>
    </row>
    <row r="1032" spans="1:14">
      <c r="A1032" s="589" t="s">
        <v>1677</v>
      </c>
      <c r="B1032" s="585">
        <v>53</v>
      </c>
      <c r="C1032" s="243">
        <v>41541</v>
      </c>
      <c r="D1032" s="243">
        <v>41541</v>
      </c>
      <c r="E1032" s="589" t="s">
        <v>185</v>
      </c>
      <c r="F1032" s="589" t="s">
        <v>1392</v>
      </c>
      <c r="G1032" s="589" t="s">
        <v>1483</v>
      </c>
      <c r="H1032" s="589">
        <v>57</v>
      </c>
      <c r="I1032" s="583">
        <v>57</v>
      </c>
      <c r="J1032" s="589"/>
      <c r="K1032" s="589" t="s">
        <v>1071</v>
      </c>
      <c r="L1032" s="806">
        <v>2</v>
      </c>
      <c r="M1032" s="806">
        <v>8</v>
      </c>
      <c r="N1032" s="807">
        <v>41542</v>
      </c>
    </row>
    <row r="1033" spans="1:14">
      <c r="A1033" s="688" t="s">
        <v>1677</v>
      </c>
      <c r="B1033" s="585">
        <v>53</v>
      </c>
      <c r="C1033" s="243">
        <v>41541</v>
      </c>
      <c r="D1033" s="243">
        <v>41541</v>
      </c>
      <c r="E1033" s="589" t="s">
        <v>245</v>
      </c>
      <c r="F1033" s="589" t="s">
        <v>1392</v>
      </c>
      <c r="G1033" s="589" t="s">
        <v>991</v>
      </c>
      <c r="H1033" s="589">
        <v>18</v>
      </c>
      <c r="I1033" s="583">
        <v>18</v>
      </c>
      <c r="J1033" s="589" t="s">
        <v>1419</v>
      </c>
      <c r="K1033" s="637" t="s">
        <v>1071</v>
      </c>
      <c r="L1033" s="809">
        <v>5</v>
      </c>
      <c r="M1033" s="809">
        <v>35</v>
      </c>
      <c r="N1033" s="807">
        <v>41550</v>
      </c>
    </row>
    <row r="1034" spans="1:14">
      <c r="A1034" s="589" t="s">
        <v>1677</v>
      </c>
      <c r="B1034" s="585">
        <v>53</v>
      </c>
      <c r="C1034" s="243">
        <v>41541</v>
      </c>
      <c r="D1034" s="243">
        <v>41541</v>
      </c>
      <c r="E1034" s="589" t="s">
        <v>179</v>
      </c>
      <c r="F1034" s="589" t="s">
        <v>1392</v>
      </c>
      <c r="G1034" s="805" t="s">
        <v>1000</v>
      </c>
      <c r="H1034" s="589">
        <v>16</v>
      </c>
      <c r="I1034" s="583">
        <v>16</v>
      </c>
      <c r="J1034" s="589"/>
      <c r="K1034" s="589" t="s">
        <v>1071</v>
      </c>
      <c r="L1034" s="806">
        <v>2</v>
      </c>
      <c r="M1034" s="806">
        <v>8</v>
      </c>
      <c r="N1034" s="807">
        <v>41547</v>
      </c>
    </row>
    <row r="1035" spans="1:14">
      <c r="A1035" s="589" t="s">
        <v>1678</v>
      </c>
      <c r="B1035" s="583">
        <v>54</v>
      </c>
      <c r="C1035" s="243">
        <v>41541</v>
      </c>
      <c r="D1035" s="243">
        <v>41541</v>
      </c>
      <c r="E1035" s="584" t="s">
        <v>206</v>
      </c>
      <c r="F1035" s="589" t="s">
        <v>1392</v>
      </c>
      <c r="G1035" s="805" t="s">
        <v>996</v>
      </c>
      <c r="H1035" s="589">
        <v>391</v>
      </c>
      <c r="I1035" s="583">
        <v>391</v>
      </c>
      <c r="J1035" s="589"/>
      <c r="K1035" s="637" t="s">
        <v>1071</v>
      </c>
      <c r="L1035" s="806">
        <v>6</v>
      </c>
      <c r="M1035" s="806">
        <v>42</v>
      </c>
      <c r="N1035" s="807">
        <v>41547</v>
      </c>
    </row>
    <row r="1036" spans="1:14">
      <c r="A1036" s="589" t="s">
        <v>1678</v>
      </c>
      <c r="B1036" s="583">
        <v>54</v>
      </c>
      <c r="C1036" s="243">
        <v>41541</v>
      </c>
      <c r="D1036" s="243">
        <v>41541</v>
      </c>
      <c r="E1036" s="589" t="s">
        <v>185</v>
      </c>
      <c r="F1036" s="589" t="s">
        <v>1392</v>
      </c>
      <c r="G1036" s="589" t="s">
        <v>1483</v>
      </c>
      <c r="H1036" s="589">
        <v>125</v>
      </c>
      <c r="I1036" s="583">
        <v>125</v>
      </c>
      <c r="J1036" s="589"/>
      <c r="K1036" s="589" t="s">
        <v>1071</v>
      </c>
      <c r="L1036" s="806">
        <v>2</v>
      </c>
      <c r="M1036" s="806">
        <v>8</v>
      </c>
      <c r="N1036" s="807">
        <v>41542</v>
      </c>
    </row>
    <row r="1037" spans="1:14">
      <c r="A1037" s="688" t="s">
        <v>1678</v>
      </c>
      <c r="B1037" s="583">
        <v>54</v>
      </c>
      <c r="C1037" s="243">
        <v>41541</v>
      </c>
      <c r="D1037" s="243">
        <v>41541</v>
      </c>
      <c r="E1037" s="589" t="s">
        <v>245</v>
      </c>
      <c r="F1037" s="589" t="s">
        <v>1392</v>
      </c>
      <c r="G1037" s="589" t="s">
        <v>991</v>
      </c>
      <c r="H1037" s="589">
        <v>14</v>
      </c>
      <c r="I1037" s="583">
        <v>14</v>
      </c>
      <c r="J1037" s="589" t="s">
        <v>1419</v>
      </c>
      <c r="K1037" s="637" t="s">
        <v>1071</v>
      </c>
      <c r="L1037" s="809">
        <v>5</v>
      </c>
      <c r="M1037" s="809">
        <v>35</v>
      </c>
      <c r="N1037" s="807">
        <v>41550</v>
      </c>
    </row>
    <row r="1038" spans="1:14">
      <c r="A1038" s="589" t="s">
        <v>1678</v>
      </c>
      <c r="B1038" s="583">
        <v>54</v>
      </c>
      <c r="C1038" s="243">
        <v>41541</v>
      </c>
      <c r="D1038" s="243">
        <v>41541</v>
      </c>
      <c r="E1038" s="589" t="s">
        <v>179</v>
      </c>
      <c r="F1038" s="589" t="s">
        <v>1392</v>
      </c>
      <c r="G1038" s="805" t="s">
        <v>1000</v>
      </c>
      <c r="H1038" s="589">
        <v>46</v>
      </c>
      <c r="I1038" s="583">
        <v>46</v>
      </c>
      <c r="J1038" s="589"/>
      <c r="K1038" s="589" t="s">
        <v>1071</v>
      </c>
      <c r="L1038" s="806">
        <v>2</v>
      </c>
      <c r="M1038" s="806">
        <v>8</v>
      </c>
      <c r="N1038" s="807">
        <v>41547</v>
      </c>
    </row>
    <row r="1039" spans="1:14">
      <c r="A1039" s="589" t="s">
        <v>1679</v>
      </c>
      <c r="B1039" s="583">
        <v>55</v>
      </c>
      <c r="C1039" s="243">
        <v>41541</v>
      </c>
      <c r="D1039" s="243">
        <v>41541</v>
      </c>
      <c r="E1039" s="584" t="s">
        <v>206</v>
      </c>
      <c r="F1039" s="589" t="s">
        <v>1392</v>
      </c>
      <c r="G1039" s="805" t="s">
        <v>996</v>
      </c>
      <c r="H1039" s="589">
        <v>287</v>
      </c>
      <c r="I1039" s="583">
        <v>287</v>
      </c>
      <c r="J1039" s="589"/>
      <c r="K1039" s="637" t="s">
        <v>1071</v>
      </c>
      <c r="L1039" s="806">
        <v>6</v>
      </c>
      <c r="M1039" s="806">
        <v>42</v>
      </c>
      <c r="N1039" s="807">
        <v>41547</v>
      </c>
    </row>
    <row r="1040" spans="1:14">
      <c r="A1040" s="589" t="s">
        <v>1679</v>
      </c>
      <c r="B1040" s="583">
        <v>55</v>
      </c>
      <c r="C1040" s="243">
        <v>41541</v>
      </c>
      <c r="D1040" s="243">
        <v>41541</v>
      </c>
      <c r="E1040" s="589" t="s">
        <v>185</v>
      </c>
      <c r="F1040" s="589" t="s">
        <v>1392</v>
      </c>
      <c r="G1040" s="589" t="s">
        <v>1483</v>
      </c>
      <c r="H1040" s="589">
        <v>35</v>
      </c>
      <c r="I1040" s="583">
        <v>35</v>
      </c>
      <c r="J1040" s="589"/>
      <c r="K1040" s="589" t="s">
        <v>1071</v>
      </c>
      <c r="L1040" s="806">
        <v>2</v>
      </c>
      <c r="M1040" s="806">
        <v>8</v>
      </c>
      <c r="N1040" s="807">
        <v>41542</v>
      </c>
    </row>
    <row r="1041" spans="1:14">
      <c r="A1041" s="589" t="s">
        <v>1679</v>
      </c>
      <c r="B1041" s="583">
        <v>55</v>
      </c>
      <c r="C1041" s="243">
        <v>41541</v>
      </c>
      <c r="D1041" s="243">
        <v>41541</v>
      </c>
      <c r="E1041" s="589" t="s">
        <v>245</v>
      </c>
      <c r="F1041" s="589" t="s">
        <v>1392</v>
      </c>
      <c r="G1041" s="589" t="s">
        <v>991</v>
      </c>
      <c r="H1041" s="589">
        <v>12</v>
      </c>
      <c r="I1041" s="583">
        <v>12</v>
      </c>
      <c r="J1041" s="589" t="s">
        <v>1419</v>
      </c>
      <c r="K1041" s="637" t="s">
        <v>1071</v>
      </c>
      <c r="L1041" s="809">
        <v>5</v>
      </c>
      <c r="M1041" s="809">
        <v>35</v>
      </c>
      <c r="N1041" s="807">
        <v>41550</v>
      </c>
    </row>
    <row r="1042" spans="1:14">
      <c r="A1042" s="589" t="s">
        <v>1679</v>
      </c>
      <c r="B1042" s="583">
        <v>55</v>
      </c>
      <c r="C1042" s="243">
        <v>41541</v>
      </c>
      <c r="D1042" s="243">
        <v>41541</v>
      </c>
      <c r="E1042" s="589" t="s">
        <v>179</v>
      </c>
      <c r="F1042" s="589" t="s">
        <v>1392</v>
      </c>
      <c r="G1042" s="805" t="s">
        <v>1000</v>
      </c>
      <c r="H1042" s="589">
        <v>11</v>
      </c>
      <c r="I1042" s="583">
        <v>11</v>
      </c>
      <c r="J1042" s="589"/>
      <c r="K1042" s="589" t="s">
        <v>1071</v>
      </c>
      <c r="L1042" s="806">
        <v>2</v>
      </c>
      <c r="M1042" s="806">
        <v>8</v>
      </c>
      <c r="N1042" s="807">
        <v>41547</v>
      </c>
    </row>
    <row r="1043" spans="1:14">
      <c r="A1043" s="804" t="s">
        <v>1831</v>
      </c>
      <c r="B1043" s="583">
        <v>64</v>
      </c>
      <c r="C1043" s="243">
        <v>41542</v>
      </c>
      <c r="D1043" s="243">
        <v>41542</v>
      </c>
      <c r="E1043" s="584" t="s">
        <v>206</v>
      </c>
      <c r="F1043" s="589" t="s">
        <v>1392</v>
      </c>
      <c r="G1043" s="805" t="s">
        <v>996</v>
      </c>
      <c r="H1043" s="589">
        <v>902</v>
      </c>
      <c r="I1043" s="583">
        <v>902</v>
      </c>
      <c r="J1043" s="589"/>
      <c r="K1043" s="637" t="s">
        <v>1071</v>
      </c>
      <c r="L1043" s="806">
        <v>6</v>
      </c>
      <c r="M1043" s="806">
        <v>42</v>
      </c>
      <c r="N1043" s="807">
        <v>41548</v>
      </c>
    </row>
    <row r="1044" spans="1:14">
      <c r="A1044" s="804" t="s">
        <v>1831</v>
      </c>
      <c r="B1044" s="583">
        <v>64</v>
      </c>
      <c r="C1044" s="243">
        <v>41542</v>
      </c>
      <c r="D1044" s="243">
        <v>41542</v>
      </c>
      <c r="E1044" s="589" t="s">
        <v>185</v>
      </c>
      <c r="F1044" s="589" t="s">
        <v>1392</v>
      </c>
      <c r="G1044" s="589" t="s">
        <v>1483</v>
      </c>
      <c r="H1044" s="589">
        <v>175</v>
      </c>
      <c r="I1044" s="583">
        <v>175</v>
      </c>
      <c r="J1044" s="589"/>
      <c r="K1044" s="589" t="s">
        <v>1071</v>
      </c>
      <c r="L1044" s="806">
        <v>2</v>
      </c>
      <c r="M1044" s="806">
        <v>8</v>
      </c>
      <c r="N1044" s="807">
        <v>41544</v>
      </c>
    </row>
    <row r="1045" spans="1:14">
      <c r="A1045" s="804" t="s">
        <v>1831</v>
      </c>
      <c r="B1045" s="583">
        <v>64</v>
      </c>
      <c r="C1045" s="243">
        <v>41542</v>
      </c>
      <c r="D1045" s="243">
        <v>41542</v>
      </c>
      <c r="E1045" s="589" t="s">
        <v>245</v>
      </c>
      <c r="F1045" s="589" t="s">
        <v>1392</v>
      </c>
      <c r="G1045" s="589" t="s">
        <v>991</v>
      </c>
      <c r="H1045" s="589">
        <v>11</v>
      </c>
      <c r="I1045" s="583">
        <v>11</v>
      </c>
      <c r="J1045" s="589" t="s">
        <v>1419</v>
      </c>
      <c r="K1045" s="637" t="s">
        <v>1071</v>
      </c>
      <c r="L1045" s="809">
        <v>5</v>
      </c>
      <c r="M1045" s="809">
        <v>35</v>
      </c>
      <c r="N1045" s="807">
        <v>41550</v>
      </c>
    </row>
    <row r="1046" spans="1:14">
      <c r="A1046" s="804" t="s">
        <v>1831</v>
      </c>
      <c r="B1046" s="583">
        <v>64</v>
      </c>
      <c r="C1046" s="243">
        <v>41542</v>
      </c>
      <c r="D1046" s="243">
        <v>41542</v>
      </c>
      <c r="E1046" s="589" t="s">
        <v>179</v>
      </c>
      <c r="F1046" s="589" t="s">
        <v>1392</v>
      </c>
      <c r="G1046" s="805" t="s">
        <v>1000</v>
      </c>
      <c r="H1046" s="589">
        <v>86</v>
      </c>
      <c r="I1046" s="583">
        <v>86</v>
      </c>
      <c r="J1046" s="589"/>
      <c r="K1046" s="589" t="s">
        <v>1071</v>
      </c>
      <c r="L1046" s="806">
        <v>2</v>
      </c>
      <c r="M1046" s="806">
        <v>8</v>
      </c>
      <c r="N1046" s="807">
        <v>41548</v>
      </c>
    </row>
    <row r="1047" spans="1:14">
      <c r="A1047" s="804" t="s">
        <v>1832</v>
      </c>
      <c r="B1047" s="583">
        <v>32</v>
      </c>
      <c r="C1047" s="243">
        <v>41542</v>
      </c>
      <c r="D1047" s="243">
        <v>41542</v>
      </c>
      <c r="E1047" s="584" t="s">
        <v>206</v>
      </c>
      <c r="F1047" s="589" t="s">
        <v>1392</v>
      </c>
      <c r="G1047" s="805" t="s">
        <v>996</v>
      </c>
      <c r="H1047" s="589">
        <v>1635</v>
      </c>
      <c r="I1047" s="583">
        <v>1635</v>
      </c>
      <c r="J1047" s="589"/>
      <c r="K1047" s="637" t="s">
        <v>1071</v>
      </c>
      <c r="L1047" s="806">
        <v>6</v>
      </c>
      <c r="M1047" s="806">
        <v>42</v>
      </c>
      <c r="N1047" s="807">
        <v>41548</v>
      </c>
    </row>
    <row r="1048" spans="1:14">
      <c r="A1048" s="804" t="s">
        <v>1832</v>
      </c>
      <c r="B1048" s="583">
        <v>32</v>
      </c>
      <c r="C1048" s="243">
        <v>41542</v>
      </c>
      <c r="D1048" s="243">
        <v>41542</v>
      </c>
      <c r="E1048" s="589" t="s">
        <v>185</v>
      </c>
      <c r="F1048" s="589" t="s">
        <v>1392</v>
      </c>
      <c r="G1048" s="589" t="s">
        <v>1483</v>
      </c>
      <c r="H1048" s="589">
        <v>632</v>
      </c>
      <c r="I1048" s="583">
        <v>632</v>
      </c>
      <c r="J1048" s="589"/>
      <c r="K1048" s="589" t="s">
        <v>1071</v>
      </c>
      <c r="L1048" s="806">
        <v>2</v>
      </c>
      <c r="M1048" s="806">
        <v>8</v>
      </c>
      <c r="N1048" s="807">
        <v>41544</v>
      </c>
    </row>
    <row r="1049" spans="1:14">
      <c r="A1049" s="804" t="s">
        <v>1832</v>
      </c>
      <c r="B1049" s="583">
        <v>32</v>
      </c>
      <c r="C1049" s="243">
        <v>41542</v>
      </c>
      <c r="D1049" s="243">
        <v>41542</v>
      </c>
      <c r="E1049" s="589" t="s">
        <v>245</v>
      </c>
      <c r="F1049" s="589" t="s">
        <v>1392</v>
      </c>
      <c r="G1049" s="589" t="s">
        <v>991</v>
      </c>
      <c r="H1049" s="589">
        <v>44</v>
      </c>
      <c r="I1049" s="583">
        <v>44</v>
      </c>
      <c r="J1049" s="589"/>
      <c r="K1049" s="637" t="s">
        <v>1071</v>
      </c>
      <c r="L1049" s="809">
        <v>5</v>
      </c>
      <c r="M1049" s="809">
        <v>35</v>
      </c>
      <c r="N1049" s="807">
        <v>41550</v>
      </c>
    </row>
    <row r="1050" spans="1:14">
      <c r="A1050" s="804" t="s">
        <v>1832</v>
      </c>
      <c r="B1050" s="583">
        <v>32</v>
      </c>
      <c r="C1050" s="243">
        <v>41542</v>
      </c>
      <c r="D1050" s="243">
        <v>41542</v>
      </c>
      <c r="E1050" s="589" t="s">
        <v>179</v>
      </c>
      <c r="F1050" s="589" t="s">
        <v>1392</v>
      </c>
      <c r="G1050" s="805" t="s">
        <v>1000</v>
      </c>
      <c r="H1050" s="589">
        <v>137</v>
      </c>
      <c r="I1050" s="583">
        <v>137</v>
      </c>
      <c r="J1050" s="589"/>
      <c r="K1050" s="589" t="s">
        <v>1071</v>
      </c>
      <c r="L1050" s="806">
        <v>2</v>
      </c>
      <c r="M1050" s="806">
        <v>8</v>
      </c>
      <c r="N1050" s="807">
        <v>41548</v>
      </c>
    </row>
    <row r="1051" spans="1:14">
      <c r="A1051" s="804" t="s">
        <v>1833</v>
      </c>
      <c r="B1051" s="583">
        <v>5</v>
      </c>
      <c r="C1051" s="243">
        <v>41542</v>
      </c>
      <c r="D1051" s="243">
        <v>41542</v>
      </c>
      <c r="E1051" s="584" t="s">
        <v>206</v>
      </c>
      <c r="F1051" s="589" t="s">
        <v>1392</v>
      </c>
      <c r="G1051" s="805" t="s">
        <v>996</v>
      </c>
      <c r="H1051" s="589">
        <v>347</v>
      </c>
      <c r="I1051" s="583">
        <v>347</v>
      </c>
      <c r="J1051" s="589"/>
      <c r="K1051" s="637" t="s">
        <v>1071</v>
      </c>
      <c r="L1051" s="806">
        <v>6</v>
      </c>
      <c r="M1051" s="806">
        <v>42</v>
      </c>
      <c r="N1051" s="807">
        <v>41548</v>
      </c>
    </row>
    <row r="1052" spans="1:14">
      <c r="A1052" s="804" t="s">
        <v>1833</v>
      </c>
      <c r="B1052" s="583">
        <v>5</v>
      </c>
      <c r="C1052" s="243">
        <v>41542</v>
      </c>
      <c r="D1052" s="243">
        <v>41542</v>
      </c>
      <c r="E1052" s="589" t="s">
        <v>185</v>
      </c>
      <c r="F1052" s="589" t="s">
        <v>1392</v>
      </c>
      <c r="G1052" s="589" t="s">
        <v>1483</v>
      </c>
      <c r="H1052" s="589">
        <v>130</v>
      </c>
      <c r="I1052" s="583">
        <v>130</v>
      </c>
      <c r="J1052" s="589"/>
      <c r="K1052" s="589" t="s">
        <v>1071</v>
      </c>
      <c r="L1052" s="806">
        <v>2</v>
      </c>
      <c r="M1052" s="806">
        <v>8</v>
      </c>
      <c r="N1052" s="807">
        <v>41544</v>
      </c>
    </row>
    <row r="1053" spans="1:14">
      <c r="A1053" s="804" t="s">
        <v>1833</v>
      </c>
      <c r="B1053" s="583">
        <v>5</v>
      </c>
      <c r="C1053" s="243">
        <v>41542</v>
      </c>
      <c r="D1053" s="243">
        <v>41542</v>
      </c>
      <c r="E1053" s="589" t="s">
        <v>245</v>
      </c>
      <c r="F1053" s="589" t="s">
        <v>1392</v>
      </c>
      <c r="G1053" s="589" t="s">
        <v>991</v>
      </c>
      <c r="H1053" s="589">
        <v>6</v>
      </c>
      <c r="I1053" s="583">
        <v>6</v>
      </c>
      <c r="J1053" s="589" t="s">
        <v>1419</v>
      </c>
      <c r="K1053" s="637" t="s">
        <v>1071</v>
      </c>
      <c r="L1053" s="809">
        <v>5</v>
      </c>
      <c r="M1053" s="809">
        <v>35</v>
      </c>
      <c r="N1053" s="807">
        <v>41550</v>
      </c>
    </row>
    <row r="1054" spans="1:14">
      <c r="A1054" s="804" t="s">
        <v>1833</v>
      </c>
      <c r="B1054" s="583">
        <v>5</v>
      </c>
      <c r="C1054" s="243">
        <v>41542</v>
      </c>
      <c r="D1054" s="243">
        <v>41542</v>
      </c>
      <c r="E1054" s="589" t="s">
        <v>179</v>
      </c>
      <c r="F1054" s="589" t="s">
        <v>1392</v>
      </c>
      <c r="G1054" s="805" t="s">
        <v>1000</v>
      </c>
      <c r="H1054" s="589">
        <v>22</v>
      </c>
      <c r="I1054" s="583">
        <v>22</v>
      </c>
      <c r="J1054" s="589"/>
      <c r="K1054" s="589" t="s">
        <v>1071</v>
      </c>
      <c r="L1054" s="806">
        <v>2</v>
      </c>
      <c r="M1054" s="806">
        <v>8</v>
      </c>
      <c r="N1054" s="807">
        <v>41548</v>
      </c>
    </row>
    <row r="1055" spans="1:14">
      <c r="A1055" s="804" t="s">
        <v>1834</v>
      </c>
      <c r="B1055" s="583" t="s">
        <v>439</v>
      </c>
      <c r="C1055" s="243">
        <v>41542</v>
      </c>
      <c r="D1055" s="243">
        <v>41542</v>
      </c>
      <c r="E1055" s="584" t="s">
        <v>206</v>
      </c>
      <c r="F1055" s="589" t="s">
        <v>1392</v>
      </c>
      <c r="G1055" s="805" t="s">
        <v>996</v>
      </c>
      <c r="H1055" s="589">
        <v>376</v>
      </c>
      <c r="I1055" s="583">
        <v>376</v>
      </c>
      <c r="J1055" s="589"/>
      <c r="K1055" s="637" t="s">
        <v>1071</v>
      </c>
      <c r="L1055" s="806">
        <v>6</v>
      </c>
      <c r="M1055" s="806">
        <v>42</v>
      </c>
      <c r="N1055" s="807">
        <v>41548</v>
      </c>
    </row>
    <row r="1056" spans="1:14">
      <c r="A1056" s="804" t="s">
        <v>1834</v>
      </c>
      <c r="B1056" s="583" t="s">
        <v>439</v>
      </c>
      <c r="C1056" s="243">
        <v>41542</v>
      </c>
      <c r="D1056" s="243">
        <v>41542</v>
      </c>
      <c r="E1056" s="589" t="s">
        <v>185</v>
      </c>
      <c r="F1056" s="589" t="s">
        <v>1392</v>
      </c>
      <c r="G1056" s="589" t="s">
        <v>1483</v>
      </c>
      <c r="H1056" s="589">
        <v>146</v>
      </c>
      <c r="I1056" s="583">
        <v>146</v>
      </c>
      <c r="J1056" s="589"/>
      <c r="K1056" s="589" t="s">
        <v>1071</v>
      </c>
      <c r="L1056" s="806">
        <v>2</v>
      </c>
      <c r="M1056" s="806">
        <v>8</v>
      </c>
      <c r="N1056" s="807">
        <v>41544</v>
      </c>
    </row>
    <row r="1057" spans="1:14">
      <c r="A1057" s="804" t="s">
        <v>1834</v>
      </c>
      <c r="B1057" s="583" t="s">
        <v>439</v>
      </c>
      <c r="C1057" s="243">
        <v>41542</v>
      </c>
      <c r="D1057" s="243">
        <v>41542</v>
      </c>
      <c r="E1057" s="589" t="s">
        <v>245</v>
      </c>
      <c r="F1057" s="589" t="s">
        <v>1392</v>
      </c>
      <c r="G1057" s="589" t="s">
        <v>991</v>
      </c>
      <c r="H1057" s="589">
        <v>14</v>
      </c>
      <c r="I1057" s="583">
        <v>14</v>
      </c>
      <c r="J1057" s="589" t="s">
        <v>1419</v>
      </c>
      <c r="K1057" s="637" t="s">
        <v>1071</v>
      </c>
      <c r="L1057" s="809">
        <v>5</v>
      </c>
      <c r="M1057" s="809">
        <v>35</v>
      </c>
      <c r="N1057" s="807">
        <v>41550</v>
      </c>
    </row>
    <row r="1058" spans="1:14">
      <c r="A1058" s="804" t="s">
        <v>1834</v>
      </c>
      <c r="B1058" s="583" t="s">
        <v>439</v>
      </c>
      <c r="C1058" s="243">
        <v>41542</v>
      </c>
      <c r="D1058" s="243">
        <v>41542</v>
      </c>
      <c r="E1058" s="589" t="s">
        <v>179</v>
      </c>
      <c r="F1058" s="589" t="s">
        <v>1392</v>
      </c>
      <c r="G1058" s="805" t="s">
        <v>1000</v>
      </c>
      <c r="H1058" s="589">
        <v>25</v>
      </c>
      <c r="I1058" s="583">
        <v>25</v>
      </c>
      <c r="J1058" s="589"/>
      <c r="K1058" s="589" t="s">
        <v>1071</v>
      </c>
      <c r="L1058" s="806">
        <v>2</v>
      </c>
      <c r="M1058" s="806">
        <v>8</v>
      </c>
      <c r="N1058" s="807">
        <v>41548</v>
      </c>
    </row>
    <row r="1059" spans="1:14">
      <c r="A1059" s="589" t="s">
        <v>1835</v>
      </c>
      <c r="B1059" s="583">
        <v>9</v>
      </c>
      <c r="C1059" s="243">
        <v>41542</v>
      </c>
      <c r="D1059" s="243">
        <v>41542</v>
      </c>
      <c r="E1059" s="584" t="s">
        <v>206</v>
      </c>
      <c r="F1059" s="589" t="s">
        <v>1392</v>
      </c>
      <c r="G1059" s="805" t="s">
        <v>996</v>
      </c>
      <c r="H1059" s="589">
        <v>384</v>
      </c>
      <c r="I1059" s="583">
        <v>384</v>
      </c>
      <c r="J1059" s="589"/>
      <c r="K1059" s="637" t="s">
        <v>1071</v>
      </c>
      <c r="L1059" s="806">
        <v>6</v>
      </c>
      <c r="M1059" s="806">
        <v>42</v>
      </c>
      <c r="N1059" s="807">
        <v>41548</v>
      </c>
    </row>
    <row r="1060" spans="1:14">
      <c r="A1060" s="589" t="s">
        <v>1835</v>
      </c>
      <c r="B1060" s="583">
        <v>9</v>
      </c>
      <c r="C1060" s="243">
        <v>41542</v>
      </c>
      <c r="D1060" s="243">
        <v>41542</v>
      </c>
      <c r="E1060" s="589" t="s">
        <v>185</v>
      </c>
      <c r="F1060" s="589" t="s">
        <v>1392</v>
      </c>
      <c r="G1060" s="589" t="s">
        <v>1483</v>
      </c>
      <c r="H1060" s="589">
        <v>159</v>
      </c>
      <c r="I1060" s="583">
        <v>159</v>
      </c>
      <c r="J1060" s="589"/>
      <c r="K1060" s="589" t="s">
        <v>1071</v>
      </c>
      <c r="L1060" s="806">
        <v>2</v>
      </c>
      <c r="M1060" s="806">
        <v>8</v>
      </c>
      <c r="N1060" s="807">
        <v>41544</v>
      </c>
    </row>
    <row r="1061" spans="1:14">
      <c r="A1061" s="589" t="s">
        <v>1835</v>
      </c>
      <c r="B1061" s="583">
        <v>9</v>
      </c>
      <c r="C1061" s="243">
        <v>41542</v>
      </c>
      <c r="D1061" s="243">
        <v>41542</v>
      </c>
      <c r="E1061" s="589" t="s">
        <v>245</v>
      </c>
      <c r="F1061" s="589" t="s">
        <v>1392</v>
      </c>
      <c r="G1061" s="589" t="s">
        <v>991</v>
      </c>
      <c r="H1061" s="589">
        <v>21</v>
      </c>
      <c r="I1061" s="583">
        <v>21</v>
      </c>
      <c r="J1061" s="589" t="s">
        <v>1419</v>
      </c>
      <c r="K1061" s="637" t="s">
        <v>1071</v>
      </c>
      <c r="L1061" s="809">
        <v>5</v>
      </c>
      <c r="M1061" s="809">
        <v>35</v>
      </c>
      <c r="N1061" s="807">
        <v>41550</v>
      </c>
    </row>
    <row r="1062" spans="1:14">
      <c r="A1062" s="589" t="s">
        <v>1835</v>
      </c>
      <c r="B1062" s="583">
        <v>9</v>
      </c>
      <c r="C1062" s="243">
        <v>41542</v>
      </c>
      <c r="D1062" s="243">
        <v>41542</v>
      </c>
      <c r="E1062" s="589" t="s">
        <v>179</v>
      </c>
      <c r="F1062" s="589" t="s">
        <v>1392</v>
      </c>
      <c r="G1062" s="805" t="s">
        <v>1000</v>
      </c>
      <c r="H1062" s="589">
        <v>25</v>
      </c>
      <c r="I1062" s="583">
        <v>25</v>
      </c>
      <c r="J1062" s="589"/>
      <c r="K1062" s="589" t="s">
        <v>1071</v>
      </c>
      <c r="L1062" s="806">
        <v>2</v>
      </c>
      <c r="M1062" s="806">
        <v>8</v>
      </c>
      <c r="N1062" s="807">
        <v>41548</v>
      </c>
    </row>
    <row r="1063" spans="1:14">
      <c r="A1063" s="804" t="s">
        <v>1836</v>
      </c>
      <c r="B1063" s="583">
        <v>12</v>
      </c>
      <c r="C1063" s="243">
        <v>41542</v>
      </c>
      <c r="D1063" s="243">
        <v>41542</v>
      </c>
      <c r="E1063" s="584" t="s">
        <v>206</v>
      </c>
      <c r="F1063" s="589" t="s">
        <v>1392</v>
      </c>
      <c r="G1063" s="805" t="s">
        <v>996</v>
      </c>
      <c r="H1063" s="589">
        <v>410</v>
      </c>
      <c r="I1063" s="583">
        <v>410</v>
      </c>
      <c r="J1063" s="589"/>
      <c r="K1063" s="637" t="s">
        <v>1071</v>
      </c>
      <c r="L1063" s="806">
        <v>6</v>
      </c>
      <c r="M1063" s="806">
        <v>42</v>
      </c>
      <c r="N1063" s="807">
        <v>41548</v>
      </c>
    </row>
    <row r="1064" spans="1:14">
      <c r="A1064" s="804" t="s">
        <v>1836</v>
      </c>
      <c r="B1064" s="583">
        <v>12</v>
      </c>
      <c r="C1064" s="243">
        <v>41542</v>
      </c>
      <c r="D1064" s="243">
        <v>41542</v>
      </c>
      <c r="E1064" s="589" t="s">
        <v>185</v>
      </c>
      <c r="F1064" s="589" t="s">
        <v>1392</v>
      </c>
      <c r="G1064" s="589" t="s">
        <v>1483</v>
      </c>
      <c r="H1064" s="589">
        <v>179</v>
      </c>
      <c r="I1064" s="583">
        <v>179</v>
      </c>
      <c r="J1064" s="589"/>
      <c r="K1064" s="589" t="s">
        <v>1071</v>
      </c>
      <c r="L1064" s="806">
        <v>2</v>
      </c>
      <c r="M1064" s="806">
        <v>8</v>
      </c>
      <c r="N1064" s="807">
        <v>41544</v>
      </c>
    </row>
    <row r="1065" spans="1:14">
      <c r="A1065" s="804" t="s">
        <v>1836</v>
      </c>
      <c r="B1065" s="583">
        <v>12</v>
      </c>
      <c r="C1065" s="243">
        <v>41542</v>
      </c>
      <c r="D1065" s="243">
        <v>41542</v>
      </c>
      <c r="E1065" s="589" t="s">
        <v>245</v>
      </c>
      <c r="F1065" s="589" t="s">
        <v>1392</v>
      </c>
      <c r="G1065" s="589" t="s">
        <v>991</v>
      </c>
      <c r="H1065" s="589">
        <v>16</v>
      </c>
      <c r="I1065" s="583">
        <v>16</v>
      </c>
      <c r="J1065" s="589" t="s">
        <v>1419</v>
      </c>
      <c r="K1065" s="637" t="s">
        <v>1071</v>
      </c>
      <c r="L1065" s="809">
        <v>5</v>
      </c>
      <c r="M1065" s="809">
        <v>35</v>
      </c>
      <c r="N1065" s="807">
        <v>41550</v>
      </c>
    </row>
    <row r="1066" spans="1:14">
      <c r="A1066" s="804" t="s">
        <v>1836</v>
      </c>
      <c r="B1066" s="583">
        <v>12</v>
      </c>
      <c r="C1066" s="243">
        <v>41542</v>
      </c>
      <c r="D1066" s="243">
        <v>41542</v>
      </c>
      <c r="E1066" s="589" t="s">
        <v>179</v>
      </c>
      <c r="F1066" s="589" t="s">
        <v>1392</v>
      </c>
      <c r="G1066" s="805" t="s">
        <v>1000</v>
      </c>
      <c r="H1066" s="589">
        <v>29</v>
      </c>
      <c r="I1066" s="583">
        <v>29</v>
      </c>
      <c r="J1066" s="589"/>
      <c r="K1066" s="589" t="s">
        <v>1071</v>
      </c>
      <c r="L1066" s="806">
        <v>2</v>
      </c>
      <c r="M1066" s="806">
        <v>8</v>
      </c>
      <c r="N1066" s="807">
        <v>41548</v>
      </c>
    </row>
    <row r="1067" spans="1:14">
      <c r="A1067" s="804" t="s">
        <v>1837</v>
      </c>
      <c r="B1067" s="583" t="s">
        <v>440</v>
      </c>
      <c r="C1067" s="243">
        <v>41542</v>
      </c>
      <c r="D1067" s="243">
        <v>41542</v>
      </c>
      <c r="E1067" s="584" t="s">
        <v>206</v>
      </c>
      <c r="F1067" s="589" t="s">
        <v>1392</v>
      </c>
      <c r="G1067" s="805" t="s">
        <v>996</v>
      </c>
      <c r="H1067" s="589">
        <v>454</v>
      </c>
      <c r="I1067" s="583">
        <v>454</v>
      </c>
      <c r="J1067" s="589"/>
      <c r="K1067" s="637" t="s">
        <v>1071</v>
      </c>
      <c r="L1067" s="806">
        <v>6</v>
      </c>
      <c r="M1067" s="806">
        <v>42</v>
      </c>
      <c r="N1067" s="807">
        <v>41548</v>
      </c>
    </row>
    <row r="1068" spans="1:14">
      <c r="A1068" s="804" t="s">
        <v>1837</v>
      </c>
      <c r="B1068" s="585" t="s">
        <v>440</v>
      </c>
      <c r="C1068" s="243">
        <v>41542</v>
      </c>
      <c r="D1068" s="243">
        <v>41542</v>
      </c>
      <c r="E1068" s="589" t="s">
        <v>185</v>
      </c>
      <c r="F1068" s="589" t="s">
        <v>1392</v>
      </c>
      <c r="G1068" s="589" t="s">
        <v>1483</v>
      </c>
      <c r="H1068" s="589">
        <v>178</v>
      </c>
      <c r="I1068" s="583">
        <v>178</v>
      </c>
      <c r="J1068" s="589"/>
      <c r="K1068" s="637" t="s">
        <v>1071</v>
      </c>
      <c r="L1068" s="806">
        <v>2</v>
      </c>
      <c r="M1068" s="806">
        <v>8</v>
      </c>
      <c r="N1068" s="807">
        <v>41544</v>
      </c>
    </row>
    <row r="1069" spans="1:14">
      <c r="A1069" s="804" t="s">
        <v>1837</v>
      </c>
      <c r="B1069" s="585" t="s">
        <v>440</v>
      </c>
      <c r="C1069" s="243">
        <v>41542</v>
      </c>
      <c r="D1069" s="243">
        <v>41542</v>
      </c>
      <c r="E1069" s="589" t="s">
        <v>245</v>
      </c>
      <c r="F1069" s="589" t="s">
        <v>1392</v>
      </c>
      <c r="G1069" s="589" t="s">
        <v>991</v>
      </c>
      <c r="H1069" s="589">
        <v>18</v>
      </c>
      <c r="I1069" s="583">
        <v>18</v>
      </c>
      <c r="J1069" s="589" t="s">
        <v>1419</v>
      </c>
      <c r="K1069" s="589" t="s">
        <v>1071</v>
      </c>
      <c r="L1069" s="809">
        <v>5</v>
      </c>
      <c r="M1069" s="809">
        <v>35</v>
      </c>
      <c r="N1069" s="807">
        <v>41550</v>
      </c>
    </row>
    <row r="1070" spans="1:14">
      <c r="A1070" s="804" t="s">
        <v>1837</v>
      </c>
      <c r="B1070" s="585" t="s">
        <v>440</v>
      </c>
      <c r="C1070" s="243">
        <v>41542</v>
      </c>
      <c r="D1070" s="243">
        <v>41542</v>
      </c>
      <c r="E1070" s="589" t="s">
        <v>179</v>
      </c>
      <c r="F1070" s="589" t="s">
        <v>1392</v>
      </c>
      <c r="G1070" s="805" t="s">
        <v>1000</v>
      </c>
      <c r="H1070" s="589">
        <v>28</v>
      </c>
      <c r="I1070" s="583">
        <v>28</v>
      </c>
      <c r="J1070" s="589"/>
      <c r="K1070" s="589" t="s">
        <v>1071</v>
      </c>
      <c r="L1070" s="806">
        <v>2</v>
      </c>
      <c r="M1070" s="806">
        <v>8</v>
      </c>
      <c r="N1070" s="807">
        <v>41548</v>
      </c>
    </row>
    <row r="1071" spans="1:14">
      <c r="A1071" s="804" t="s">
        <v>1680</v>
      </c>
      <c r="B1071" s="583" t="s">
        <v>1137</v>
      </c>
      <c r="C1071" s="243">
        <v>41542</v>
      </c>
      <c r="D1071" s="243">
        <v>41542</v>
      </c>
      <c r="E1071" s="584" t="s">
        <v>206</v>
      </c>
      <c r="F1071" s="589" t="s">
        <v>1392</v>
      </c>
      <c r="G1071" s="805" t="s">
        <v>996</v>
      </c>
      <c r="H1071" s="589">
        <v>456</v>
      </c>
      <c r="I1071" s="583">
        <v>456</v>
      </c>
      <c r="J1071" s="589"/>
      <c r="K1071" s="637" t="s">
        <v>1071</v>
      </c>
      <c r="L1071" s="806">
        <v>6</v>
      </c>
      <c r="M1071" s="806">
        <v>42</v>
      </c>
      <c r="N1071" s="807">
        <v>41548</v>
      </c>
    </row>
    <row r="1072" spans="1:14">
      <c r="A1072" s="804" t="s">
        <v>1680</v>
      </c>
      <c r="B1072" s="583" t="s">
        <v>1137</v>
      </c>
      <c r="C1072" s="243">
        <v>41542</v>
      </c>
      <c r="D1072" s="243">
        <v>41542</v>
      </c>
      <c r="E1072" s="589" t="s">
        <v>185</v>
      </c>
      <c r="F1072" s="589" t="s">
        <v>1392</v>
      </c>
      <c r="G1072" s="589" t="s">
        <v>1483</v>
      </c>
      <c r="H1072" s="589">
        <v>185</v>
      </c>
      <c r="I1072" s="583">
        <v>185</v>
      </c>
      <c r="J1072" s="589"/>
      <c r="K1072" s="589" t="s">
        <v>1071</v>
      </c>
      <c r="L1072" s="806">
        <v>2</v>
      </c>
      <c r="M1072" s="806">
        <v>8</v>
      </c>
      <c r="N1072" s="807">
        <v>41544</v>
      </c>
    </row>
    <row r="1073" spans="1:14">
      <c r="A1073" s="804" t="s">
        <v>1680</v>
      </c>
      <c r="B1073" s="583" t="s">
        <v>1137</v>
      </c>
      <c r="C1073" s="243">
        <v>41542</v>
      </c>
      <c r="D1073" s="243">
        <v>41542</v>
      </c>
      <c r="E1073" s="589" t="s">
        <v>245</v>
      </c>
      <c r="F1073" s="589" t="s">
        <v>1392</v>
      </c>
      <c r="G1073" s="589" t="s">
        <v>991</v>
      </c>
      <c r="H1073" s="589">
        <v>10</v>
      </c>
      <c r="I1073" s="583">
        <v>10</v>
      </c>
      <c r="J1073" s="589" t="s">
        <v>1419</v>
      </c>
      <c r="K1073" s="589" t="s">
        <v>1071</v>
      </c>
      <c r="L1073" s="809">
        <v>5</v>
      </c>
      <c r="M1073" s="809">
        <v>35</v>
      </c>
      <c r="N1073" s="807">
        <v>41550</v>
      </c>
    </row>
    <row r="1074" spans="1:14">
      <c r="A1074" s="804" t="s">
        <v>1680</v>
      </c>
      <c r="B1074" s="583" t="s">
        <v>1137</v>
      </c>
      <c r="C1074" s="243">
        <v>41542</v>
      </c>
      <c r="D1074" s="243">
        <v>41542</v>
      </c>
      <c r="E1074" s="589" t="s">
        <v>179</v>
      </c>
      <c r="F1074" s="589" t="s">
        <v>1392</v>
      </c>
      <c r="G1074" s="805" t="s">
        <v>1000</v>
      </c>
      <c r="H1074" s="589">
        <v>29</v>
      </c>
      <c r="I1074" s="583">
        <v>29</v>
      </c>
      <c r="J1074" s="589"/>
      <c r="K1074" s="589" t="s">
        <v>1071</v>
      </c>
      <c r="L1074" s="806">
        <v>2</v>
      </c>
      <c r="M1074" s="806">
        <v>8</v>
      </c>
      <c r="N1074" s="807">
        <v>41548</v>
      </c>
    </row>
    <row r="1075" spans="1:14">
      <c r="A1075" s="804" t="s">
        <v>1681</v>
      </c>
      <c r="B1075" s="583">
        <v>34</v>
      </c>
      <c r="C1075" s="243">
        <v>41542</v>
      </c>
      <c r="D1075" s="243">
        <v>41542</v>
      </c>
      <c r="E1075" s="584" t="s">
        <v>206</v>
      </c>
      <c r="F1075" s="589" t="s">
        <v>1392</v>
      </c>
      <c r="G1075" s="805" t="s">
        <v>996</v>
      </c>
      <c r="H1075" s="589">
        <v>1938</v>
      </c>
      <c r="I1075" s="583">
        <v>1938</v>
      </c>
      <c r="J1075" s="589"/>
      <c r="K1075" s="637" t="s">
        <v>1071</v>
      </c>
      <c r="L1075" s="806">
        <v>6</v>
      </c>
      <c r="M1075" s="806">
        <v>42</v>
      </c>
      <c r="N1075" s="807">
        <v>41548</v>
      </c>
    </row>
    <row r="1076" spans="1:14">
      <c r="A1076" s="804" t="s">
        <v>1681</v>
      </c>
      <c r="B1076" s="583">
        <v>34</v>
      </c>
      <c r="C1076" s="243">
        <v>41542</v>
      </c>
      <c r="D1076" s="243">
        <v>41542</v>
      </c>
      <c r="E1076" s="589" t="s">
        <v>185</v>
      </c>
      <c r="F1076" s="589" t="s">
        <v>1392</v>
      </c>
      <c r="G1076" s="589" t="s">
        <v>1483</v>
      </c>
      <c r="H1076" s="589">
        <v>1415</v>
      </c>
      <c r="I1076" s="583">
        <v>1415</v>
      </c>
      <c r="J1076" s="589"/>
      <c r="K1076" s="589" t="s">
        <v>1071</v>
      </c>
      <c r="L1076" s="806">
        <v>2</v>
      </c>
      <c r="M1076" s="806">
        <v>8</v>
      </c>
      <c r="N1076" s="807">
        <v>41544</v>
      </c>
    </row>
    <row r="1077" spans="1:14">
      <c r="A1077" s="804" t="s">
        <v>1681</v>
      </c>
      <c r="B1077" s="583">
        <v>34</v>
      </c>
      <c r="C1077" s="243">
        <v>41542</v>
      </c>
      <c r="D1077" s="243">
        <v>41542</v>
      </c>
      <c r="E1077" s="589" t="s">
        <v>245</v>
      </c>
      <c r="F1077" s="589" t="s">
        <v>1392</v>
      </c>
      <c r="G1077" s="589" t="s">
        <v>991</v>
      </c>
      <c r="H1077" s="589">
        <v>13</v>
      </c>
      <c r="I1077" s="583">
        <v>13</v>
      </c>
      <c r="J1077" s="589" t="s">
        <v>1419</v>
      </c>
      <c r="K1077" s="637" t="s">
        <v>1071</v>
      </c>
      <c r="L1077" s="809">
        <v>5</v>
      </c>
      <c r="M1077" s="809">
        <v>35</v>
      </c>
      <c r="N1077" s="807">
        <v>41550</v>
      </c>
    </row>
    <row r="1078" spans="1:14">
      <c r="A1078" s="804" t="s">
        <v>1681</v>
      </c>
      <c r="B1078" s="583">
        <v>34</v>
      </c>
      <c r="C1078" s="243">
        <v>41542</v>
      </c>
      <c r="D1078" s="243">
        <v>41542</v>
      </c>
      <c r="E1078" s="589" t="s">
        <v>179</v>
      </c>
      <c r="F1078" s="589" t="s">
        <v>1392</v>
      </c>
      <c r="G1078" s="805" t="s">
        <v>1000</v>
      </c>
      <c r="H1078" s="589">
        <v>30</v>
      </c>
      <c r="I1078" s="583">
        <v>30</v>
      </c>
      <c r="J1078" s="589"/>
      <c r="K1078" s="589" t="s">
        <v>1071</v>
      </c>
      <c r="L1078" s="806">
        <v>2</v>
      </c>
      <c r="M1078" s="806">
        <v>8</v>
      </c>
      <c r="N1078" s="807">
        <v>41548</v>
      </c>
    </row>
    <row r="1079" spans="1:14">
      <c r="A1079" s="804" t="s">
        <v>1682</v>
      </c>
      <c r="B1079" s="583">
        <v>18</v>
      </c>
      <c r="C1079" s="243">
        <v>41542</v>
      </c>
      <c r="D1079" s="243">
        <v>41542</v>
      </c>
      <c r="E1079" s="584" t="s">
        <v>206</v>
      </c>
      <c r="F1079" s="589" t="s">
        <v>1392</v>
      </c>
      <c r="G1079" s="805" t="s">
        <v>996</v>
      </c>
      <c r="H1079" s="589">
        <v>555</v>
      </c>
      <c r="I1079" s="583">
        <v>555</v>
      </c>
      <c r="J1079" s="589"/>
      <c r="K1079" s="637" t="s">
        <v>1071</v>
      </c>
      <c r="L1079" s="806">
        <v>6</v>
      </c>
      <c r="M1079" s="806">
        <v>42</v>
      </c>
      <c r="N1079" s="807">
        <v>41548</v>
      </c>
    </row>
    <row r="1080" spans="1:14">
      <c r="A1080" s="804" t="s">
        <v>1682</v>
      </c>
      <c r="B1080" s="583">
        <v>18</v>
      </c>
      <c r="C1080" s="243">
        <v>41542</v>
      </c>
      <c r="D1080" s="243">
        <v>41542</v>
      </c>
      <c r="E1080" s="589" t="s">
        <v>185</v>
      </c>
      <c r="F1080" s="589" t="s">
        <v>1392</v>
      </c>
      <c r="G1080" s="589" t="s">
        <v>1483</v>
      </c>
      <c r="H1080" s="589">
        <v>17</v>
      </c>
      <c r="I1080" s="583">
        <v>17</v>
      </c>
      <c r="J1080" s="589"/>
      <c r="K1080" s="589" t="s">
        <v>1071</v>
      </c>
      <c r="L1080" s="806">
        <v>2</v>
      </c>
      <c r="M1080" s="806">
        <v>8</v>
      </c>
      <c r="N1080" s="807">
        <v>41544</v>
      </c>
    </row>
    <row r="1081" spans="1:14">
      <c r="A1081" s="804" t="s">
        <v>1682</v>
      </c>
      <c r="B1081" s="583">
        <v>18</v>
      </c>
      <c r="C1081" s="243">
        <v>41542</v>
      </c>
      <c r="D1081" s="243">
        <v>41542</v>
      </c>
      <c r="E1081" s="589" t="s">
        <v>245</v>
      </c>
      <c r="F1081" s="589" t="s">
        <v>1392</v>
      </c>
      <c r="G1081" s="589" t="s">
        <v>991</v>
      </c>
      <c r="H1081" s="589">
        <v>14</v>
      </c>
      <c r="I1081" s="583">
        <v>14</v>
      </c>
      <c r="J1081" s="589" t="s">
        <v>1419</v>
      </c>
      <c r="K1081" s="637" t="s">
        <v>1071</v>
      </c>
      <c r="L1081" s="809">
        <v>5</v>
      </c>
      <c r="M1081" s="809">
        <v>35</v>
      </c>
      <c r="N1081" s="807">
        <v>41550</v>
      </c>
    </row>
    <row r="1082" spans="1:14">
      <c r="A1082" s="804" t="s">
        <v>1682</v>
      </c>
      <c r="B1082" s="583">
        <v>18</v>
      </c>
      <c r="C1082" s="243">
        <v>41542</v>
      </c>
      <c r="D1082" s="243">
        <v>41542</v>
      </c>
      <c r="E1082" s="589" t="s">
        <v>179</v>
      </c>
      <c r="F1082" s="589" t="s">
        <v>1392</v>
      </c>
      <c r="G1082" s="805" t="s">
        <v>1000</v>
      </c>
      <c r="H1082" s="589">
        <v>18</v>
      </c>
      <c r="I1082" s="583">
        <v>18</v>
      </c>
      <c r="J1082" s="589"/>
      <c r="K1082" s="589" t="s">
        <v>1071</v>
      </c>
      <c r="L1082" s="806">
        <v>2</v>
      </c>
      <c r="M1082" s="806">
        <v>8</v>
      </c>
      <c r="N1082" s="807">
        <v>41548</v>
      </c>
    </row>
    <row r="1083" spans="1:14">
      <c r="A1083" s="804" t="s">
        <v>1683</v>
      </c>
      <c r="B1083" s="583">
        <v>19</v>
      </c>
      <c r="C1083" s="243">
        <v>41542</v>
      </c>
      <c r="D1083" s="243">
        <v>41542</v>
      </c>
      <c r="E1083" s="584" t="s">
        <v>206</v>
      </c>
      <c r="F1083" s="589" t="s">
        <v>1392</v>
      </c>
      <c r="G1083" s="805" t="s">
        <v>996</v>
      </c>
      <c r="H1083" s="589">
        <v>692</v>
      </c>
      <c r="I1083" s="583">
        <v>692</v>
      </c>
      <c r="J1083" s="589"/>
      <c r="K1083" s="637" t="s">
        <v>1071</v>
      </c>
      <c r="L1083" s="806">
        <v>6</v>
      </c>
      <c r="M1083" s="806">
        <v>42</v>
      </c>
      <c r="N1083" s="807">
        <v>41548</v>
      </c>
    </row>
    <row r="1084" spans="1:14">
      <c r="A1084" s="804" t="s">
        <v>1683</v>
      </c>
      <c r="B1084" s="583">
        <v>19</v>
      </c>
      <c r="C1084" s="243">
        <v>41542</v>
      </c>
      <c r="D1084" s="243">
        <v>41542</v>
      </c>
      <c r="E1084" s="589" t="s">
        <v>185</v>
      </c>
      <c r="F1084" s="589" t="s">
        <v>1392</v>
      </c>
      <c r="G1084" s="589" t="s">
        <v>1483</v>
      </c>
      <c r="H1084" s="589">
        <v>245</v>
      </c>
      <c r="I1084" s="583">
        <v>245</v>
      </c>
      <c r="J1084" s="589"/>
      <c r="K1084" s="589" t="s">
        <v>1071</v>
      </c>
      <c r="L1084" s="806">
        <v>2</v>
      </c>
      <c r="M1084" s="806">
        <v>8</v>
      </c>
      <c r="N1084" s="807">
        <v>41544</v>
      </c>
    </row>
    <row r="1085" spans="1:14">
      <c r="A1085" s="804" t="s">
        <v>1683</v>
      </c>
      <c r="B1085" s="583">
        <v>19</v>
      </c>
      <c r="C1085" s="243">
        <v>41542</v>
      </c>
      <c r="D1085" s="243">
        <v>41542</v>
      </c>
      <c r="E1085" s="589" t="s">
        <v>245</v>
      </c>
      <c r="F1085" s="589" t="s">
        <v>1392</v>
      </c>
      <c r="G1085" s="589" t="s">
        <v>991</v>
      </c>
      <c r="H1085" s="589">
        <v>12</v>
      </c>
      <c r="I1085" s="583">
        <v>12</v>
      </c>
      <c r="J1085" s="589" t="s">
        <v>1419</v>
      </c>
      <c r="K1085" s="637" t="s">
        <v>1071</v>
      </c>
      <c r="L1085" s="809">
        <v>5</v>
      </c>
      <c r="M1085" s="809">
        <v>35</v>
      </c>
      <c r="N1085" s="807">
        <v>41550</v>
      </c>
    </row>
    <row r="1086" spans="1:14">
      <c r="A1086" s="804" t="s">
        <v>1683</v>
      </c>
      <c r="B1086" s="583">
        <v>19</v>
      </c>
      <c r="C1086" s="243">
        <v>41542</v>
      </c>
      <c r="D1086" s="243">
        <v>41542</v>
      </c>
      <c r="E1086" s="589" t="s">
        <v>179</v>
      </c>
      <c r="F1086" s="589" t="s">
        <v>1392</v>
      </c>
      <c r="G1086" s="805" t="s">
        <v>1000</v>
      </c>
      <c r="H1086" s="589">
        <v>34</v>
      </c>
      <c r="I1086" s="583">
        <v>34</v>
      </c>
      <c r="J1086" s="589"/>
      <c r="K1086" s="589" t="s">
        <v>1071</v>
      </c>
      <c r="L1086" s="806">
        <v>2</v>
      </c>
      <c r="M1086" s="806">
        <v>8</v>
      </c>
      <c r="N1086" s="807">
        <v>41548</v>
      </c>
    </row>
    <row r="1087" spans="1:14">
      <c r="A1087" s="804" t="s">
        <v>1684</v>
      </c>
      <c r="B1087" s="583">
        <v>58</v>
      </c>
      <c r="C1087" s="243">
        <v>41542</v>
      </c>
      <c r="D1087" s="243">
        <v>41542</v>
      </c>
      <c r="E1087" s="584" t="s">
        <v>206</v>
      </c>
      <c r="F1087" s="589" t="s">
        <v>1392</v>
      </c>
      <c r="G1087" s="805" t="s">
        <v>996</v>
      </c>
      <c r="H1087" s="589">
        <v>274</v>
      </c>
      <c r="I1087" s="583">
        <v>274</v>
      </c>
      <c r="J1087" s="589"/>
      <c r="K1087" s="637" t="s">
        <v>1071</v>
      </c>
      <c r="L1087" s="806">
        <v>6</v>
      </c>
      <c r="M1087" s="806">
        <v>42</v>
      </c>
      <c r="N1087" s="807">
        <v>41548</v>
      </c>
    </row>
    <row r="1088" spans="1:14">
      <c r="A1088" s="804" t="s">
        <v>1684</v>
      </c>
      <c r="B1088" s="583">
        <v>58</v>
      </c>
      <c r="C1088" s="243">
        <v>41542</v>
      </c>
      <c r="D1088" s="243">
        <v>41542</v>
      </c>
      <c r="E1088" s="589" t="s">
        <v>185</v>
      </c>
      <c r="F1088" s="589" t="s">
        <v>1392</v>
      </c>
      <c r="G1088" s="589" t="s">
        <v>1483</v>
      </c>
      <c r="H1088" s="589">
        <v>121</v>
      </c>
      <c r="I1088" s="583">
        <v>121</v>
      </c>
      <c r="J1088" s="589"/>
      <c r="K1088" s="589" t="s">
        <v>1071</v>
      </c>
      <c r="L1088" s="806">
        <v>2</v>
      </c>
      <c r="M1088" s="806">
        <v>8</v>
      </c>
      <c r="N1088" s="807">
        <v>41544</v>
      </c>
    </row>
    <row r="1089" spans="1:14">
      <c r="A1089" s="804" t="s">
        <v>1684</v>
      </c>
      <c r="B1089" s="583">
        <v>58</v>
      </c>
      <c r="C1089" s="243">
        <v>41542</v>
      </c>
      <c r="D1089" s="243">
        <v>41542</v>
      </c>
      <c r="E1089" s="589" t="s">
        <v>245</v>
      </c>
      <c r="F1089" s="589" t="s">
        <v>1392</v>
      </c>
      <c r="G1089" s="589" t="s">
        <v>991</v>
      </c>
      <c r="H1089" s="589"/>
      <c r="I1089" s="583"/>
      <c r="J1089" s="589" t="s">
        <v>1395</v>
      </c>
      <c r="K1089" s="637" t="s">
        <v>1071</v>
      </c>
      <c r="L1089" s="809">
        <v>5</v>
      </c>
      <c r="M1089" s="809">
        <v>35</v>
      </c>
      <c r="N1089" s="807">
        <v>41550</v>
      </c>
    </row>
    <row r="1090" spans="1:14">
      <c r="A1090" s="804" t="s">
        <v>1684</v>
      </c>
      <c r="B1090" s="583">
        <v>58</v>
      </c>
      <c r="C1090" s="243">
        <v>41542</v>
      </c>
      <c r="D1090" s="243">
        <v>41542</v>
      </c>
      <c r="E1090" s="589" t="s">
        <v>179</v>
      </c>
      <c r="F1090" s="589" t="s">
        <v>1392</v>
      </c>
      <c r="G1090" s="805" t="s">
        <v>1000</v>
      </c>
      <c r="H1090" s="589">
        <v>16</v>
      </c>
      <c r="I1090" s="583">
        <v>16</v>
      </c>
      <c r="J1090" s="589"/>
      <c r="K1090" s="589" t="s">
        <v>1071</v>
      </c>
      <c r="L1090" s="806">
        <v>2</v>
      </c>
      <c r="M1090" s="806">
        <v>8</v>
      </c>
      <c r="N1090" s="807">
        <v>41548</v>
      </c>
    </row>
    <row r="1091" spans="1:14">
      <c r="A1091" s="804" t="s">
        <v>1685</v>
      </c>
      <c r="B1091" s="583" t="s">
        <v>1136</v>
      </c>
      <c r="C1091" s="243">
        <v>41542</v>
      </c>
      <c r="D1091" s="243">
        <v>41542</v>
      </c>
      <c r="E1091" s="584" t="s">
        <v>206</v>
      </c>
      <c r="F1091" s="589" t="s">
        <v>1392</v>
      </c>
      <c r="G1091" s="805" t="s">
        <v>996</v>
      </c>
      <c r="H1091" s="589">
        <v>323</v>
      </c>
      <c r="I1091" s="583">
        <v>323</v>
      </c>
      <c r="J1091" s="589"/>
      <c r="K1091" s="637" t="s">
        <v>1071</v>
      </c>
      <c r="L1091" s="806">
        <v>6</v>
      </c>
      <c r="M1091" s="806">
        <v>42</v>
      </c>
      <c r="N1091" s="807">
        <v>41548</v>
      </c>
    </row>
    <row r="1092" spans="1:14">
      <c r="A1092" s="804" t="s">
        <v>1685</v>
      </c>
      <c r="B1092" s="583" t="s">
        <v>1136</v>
      </c>
      <c r="C1092" s="243">
        <v>41542</v>
      </c>
      <c r="D1092" s="243">
        <v>41542</v>
      </c>
      <c r="E1092" s="589" t="s">
        <v>185</v>
      </c>
      <c r="F1092" s="589" t="s">
        <v>1392</v>
      </c>
      <c r="G1092" s="589" t="s">
        <v>1483</v>
      </c>
      <c r="H1092" s="589">
        <v>94</v>
      </c>
      <c r="I1092" s="583">
        <v>94</v>
      </c>
      <c r="J1092" s="589"/>
      <c r="K1092" s="589" t="s">
        <v>1071</v>
      </c>
      <c r="L1092" s="806">
        <v>2</v>
      </c>
      <c r="M1092" s="806">
        <v>8</v>
      </c>
      <c r="N1092" s="807">
        <v>41544</v>
      </c>
    </row>
    <row r="1093" spans="1:14">
      <c r="A1093" s="804" t="s">
        <v>1685</v>
      </c>
      <c r="B1093" s="583" t="s">
        <v>1136</v>
      </c>
      <c r="C1093" s="243">
        <v>41542</v>
      </c>
      <c r="D1093" s="243">
        <v>41542</v>
      </c>
      <c r="E1093" s="589" t="s">
        <v>245</v>
      </c>
      <c r="F1093" s="589" t="s">
        <v>1392</v>
      </c>
      <c r="G1093" s="589" t="s">
        <v>991</v>
      </c>
      <c r="H1093" s="589">
        <v>9</v>
      </c>
      <c r="I1093" s="583">
        <v>9</v>
      </c>
      <c r="J1093" s="589" t="s">
        <v>1419</v>
      </c>
      <c r="K1093" s="637" t="s">
        <v>1071</v>
      </c>
      <c r="L1093" s="809">
        <v>5</v>
      </c>
      <c r="M1093" s="809">
        <v>35</v>
      </c>
      <c r="N1093" s="807">
        <v>41550</v>
      </c>
    </row>
    <row r="1094" spans="1:14">
      <c r="A1094" s="804" t="s">
        <v>1685</v>
      </c>
      <c r="B1094" s="583" t="s">
        <v>1136</v>
      </c>
      <c r="C1094" s="243">
        <v>41542</v>
      </c>
      <c r="D1094" s="243">
        <v>41542</v>
      </c>
      <c r="E1094" s="589" t="s">
        <v>179</v>
      </c>
      <c r="F1094" s="589" t="s">
        <v>1392</v>
      </c>
      <c r="G1094" s="805" t="s">
        <v>1000</v>
      </c>
      <c r="H1094" s="589">
        <v>20</v>
      </c>
      <c r="I1094" s="583">
        <v>20</v>
      </c>
      <c r="J1094" s="589"/>
      <c r="K1094" s="589" t="s">
        <v>1071</v>
      </c>
      <c r="L1094" s="806">
        <v>2</v>
      </c>
      <c r="M1094" s="806">
        <v>8</v>
      </c>
      <c r="N1094" s="807">
        <v>41548</v>
      </c>
    </row>
    <row r="1095" spans="1:14">
      <c r="A1095" s="804" t="s">
        <v>1686</v>
      </c>
      <c r="B1095" s="583" t="s">
        <v>1135</v>
      </c>
      <c r="C1095" s="243">
        <v>41542</v>
      </c>
      <c r="D1095" s="243">
        <v>41542</v>
      </c>
      <c r="E1095" s="584" t="s">
        <v>206</v>
      </c>
      <c r="F1095" s="589" t="s">
        <v>1392</v>
      </c>
      <c r="G1095" s="805" t="s">
        <v>996</v>
      </c>
      <c r="H1095" s="589">
        <v>414</v>
      </c>
      <c r="I1095" s="583">
        <v>414</v>
      </c>
      <c r="J1095" s="589"/>
      <c r="K1095" s="637" t="s">
        <v>1071</v>
      </c>
      <c r="L1095" s="806">
        <v>6</v>
      </c>
      <c r="M1095" s="806">
        <v>42</v>
      </c>
      <c r="N1095" s="807">
        <v>41548</v>
      </c>
    </row>
    <row r="1096" spans="1:14">
      <c r="A1096" s="804" t="s">
        <v>1686</v>
      </c>
      <c r="B1096" s="583" t="s">
        <v>1135</v>
      </c>
      <c r="C1096" s="243">
        <v>41542</v>
      </c>
      <c r="D1096" s="243">
        <v>41542</v>
      </c>
      <c r="E1096" s="589" t="s">
        <v>185</v>
      </c>
      <c r="F1096" s="589" t="s">
        <v>1392</v>
      </c>
      <c r="G1096" s="589" t="s">
        <v>1483</v>
      </c>
      <c r="H1096" s="589">
        <v>122</v>
      </c>
      <c r="I1096" s="583">
        <v>122</v>
      </c>
      <c r="J1096" s="589"/>
      <c r="K1096" s="589" t="s">
        <v>1071</v>
      </c>
      <c r="L1096" s="806">
        <v>2</v>
      </c>
      <c r="M1096" s="806">
        <v>8</v>
      </c>
      <c r="N1096" s="807">
        <v>41544</v>
      </c>
    </row>
    <row r="1097" spans="1:14">
      <c r="A1097" s="804" t="s">
        <v>1686</v>
      </c>
      <c r="B1097" s="583" t="s">
        <v>1135</v>
      </c>
      <c r="C1097" s="243">
        <v>41542</v>
      </c>
      <c r="D1097" s="243">
        <v>41542</v>
      </c>
      <c r="E1097" s="589" t="s">
        <v>245</v>
      </c>
      <c r="F1097" s="589" t="s">
        <v>1392</v>
      </c>
      <c r="G1097" s="589" t="s">
        <v>991</v>
      </c>
      <c r="H1097" s="589">
        <v>19</v>
      </c>
      <c r="I1097" s="583">
        <v>19</v>
      </c>
      <c r="J1097" s="589" t="s">
        <v>1419</v>
      </c>
      <c r="K1097" s="637" t="s">
        <v>1071</v>
      </c>
      <c r="L1097" s="809">
        <v>5</v>
      </c>
      <c r="M1097" s="809">
        <v>35</v>
      </c>
      <c r="N1097" s="807">
        <v>41550</v>
      </c>
    </row>
    <row r="1098" spans="1:14">
      <c r="A1098" s="804" t="s">
        <v>1686</v>
      </c>
      <c r="B1098" s="583" t="s">
        <v>1135</v>
      </c>
      <c r="C1098" s="243">
        <v>41542</v>
      </c>
      <c r="D1098" s="243">
        <v>41542</v>
      </c>
      <c r="E1098" s="589" t="s">
        <v>179</v>
      </c>
      <c r="F1098" s="589" t="s">
        <v>1392</v>
      </c>
      <c r="G1098" s="805" t="s">
        <v>1000</v>
      </c>
      <c r="H1098" s="589">
        <v>26</v>
      </c>
      <c r="I1098" s="583">
        <v>26</v>
      </c>
      <c r="J1098" s="589"/>
      <c r="K1098" s="589" t="s">
        <v>1071</v>
      </c>
      <c r="L1098" s="806">
        <v>2</v>
      </c>
      <c r="M1098" s="806">
        <v>8</v>
      </c>
      <c r="N1098" s="807">
        <v>41548</v>
      </c>
    </row>
    <row r="1099" spans="1:14">
      <c r="A1099" s="804" t="s">
        <v>1687</v>
      </c>
      <c r="B1099" s="583">
        <v>25</v>
      </c>
      <c r="C1099" s="243">
        <v>41542</v>
      </c>
      <c r="D1099" s="243">
        <v>41542</v>
      </c>
      <c r="E1099" s="584" t="s">
        <v>206</v>
      </c>
      <c r="F1099" s="589" t="s">
        <v>1392</v>
      </c>
      <c r="G1099" s="805" t="s">
        <v>996</v>
      </c>
      <c r="H1099" s="589">
        <v>260</v>
      </c>
      <c r="I1099" s="583">
        <v>260</v>
      </c>
      <c r="J1099" s="589"/>
      <c r="K1099" s="637" t="s">
        <v>1071</v>
      </c>
      <c r="L1099" s="806">
        <v>6</v>
      </c>
      <c r="M1099" s="806">
        <v>42</v>
      </c>
      <c r="N1099" s="807">
        <v>41548</v>
      </c>
    </row>
    <row r="1100" spans="1:14">
      <c r="A1100" s="804" t="s">
        <v>1687</v>
      </c>
      <c r="B1100" s="583">
        <v>25</v>
      </c>
      <c r="C1100" s="243">
        <v>41542</v>
      </c>
      <c r="D1100" s="243">
        <v>41542</v>
      </c>
      <c r="E1100" s="589" t="s">
        <v>185</v>
      </c>
      <c r="F1100" s="589" t="s">
        <v>1392</v>
      </c>
      <c r="G1100" s="589" t="s">
        <v>1483</v>
      </c>
      <c r="H1100" s="589">
        <v>37</v>
      </c>
      <c r="I1100" s="583">
        <v>37</v>
      </c>
      <c r="J1100" s="589"/>
      <c r="K1100" s="589" t="s">
        <v>1071</v>
      </c>
      <c r="L1100" s="806">
        <v>2</v>
      </c>
      <c r="M1100" s="806">
        <v>8</v>
      </c>
      <c r="N1100" s="807">
        <v>41544</v>
      </c>
    </row>
    <row r="1101" spans="1:14">
      <c r="A1101" s="804" t="s">
        <v>1687</v>
      </c>
      <c r="B1101" s="583">
        <v>25</v>
      </c>
      <c r="C1101" s="243">
        <v>41542</v>
      </c>
      <c r="D1101" s="243">
        <v>41542</v>
      </c>
      <c r="E1101" s="589" t="s">
        <v>245</v>
      </c>
      <c r="F1101" s="589" t="s">
        <v>1392</v>
      </c>
      <c r="G1101" s="589" t="s">
        <v>991</v>
      </c>
      <c r="H1101" s="589">
        <v>16</v>
      </c>
      <c r="I1101" s="583">
        <v>16</v>
      </c>
      <c r="J1101" s="589" t="s">
        <v>1419</v>
      </c>
      <c r="K1101" s="637" t="s">
        <v>1071</v>
      </c>
      <c r="L1101" s="809">
        <v>5</v>
      </c>
      <c r="M1101" s="809">
        <v>35</v>
      </c>
      <c r="N1101" s="807">
        <v>41550</v>
      </c>
    </row>
    <row r="1102" spans="1:14">
      <c r="A1102" s="804" t="s">
        <v>1687</v>
      </c>
      <c r="B1102" s="583">
        <v>25</v>
      </c>
      <c r="C1102" s="243">
        <v>41542</v>
      </c>
      <c r="D1102" s="243">
        <v>41542</v>
      </c>
      <c r="E1102" s="589" t="s">
        <v>179</v>
      </c>
      <c r="F1102" s="589" t="s">
        <v>1392</v>
      </c>
      <c r="G1102" s="805" t="s">
        <v>1000</v>
      </c>
      <c r="H1102" s="589">
        <v>23</v>
      </c>
      <c r="I1102" s="583">
        <v>23</v>
      </c>
      <c r="J1102" s="589"/>
      <c r="K1102" s="589" t="s">
        <v>1071</v>
      </c>
      <c r="L1102" s="806">
        <v>2</v>
      </c>
      <c r="M1102" s="806">
        <v>8</v>
      </c>
      <c r="N1102" s="807">
        <v>41548</v>
      </c>
    </row>
    <row r="1103" spans="1:14">
      <c r="A1103" s="804" t="s">
        <v>1688</v>
      </c>
      <c r="B1103" s="583">
        <v>35</v>
      </c>
      <c r="C1103" s="243">
        <v>41542</v>
      </c>
      <c r="D1103" s="243">
        <v>41542</v>
      </c>
      <c r="E1103" s="584" t="s">
        <v>206</v>
      </c>
      <c r="F1103" s="589" t="s">
        <v>1392</v>
      </c>
      <c r="G1103" s="805" t="s">
        <v>996</v>
      </c>
      <c r="H1103" s="589">
        <v>385</v>
      </c>
      <c r="I1103" s="583">
        <v>385</v>
      </c>
      <c r="J1103" s="589"/>
      <c r="K1103" s="637" t="s">
        <v>1071</v>
      </c>
      <c r="L1103" s="806">
        <v>6</v>
      </c>
      <c r="M1103" s="806">
        <v>42</v>
      </c>
      <c r="N1103" s="807">
        <v>41548</v>
      </c>
    </row>
    <row r="1104" spans="1:14">
      <c r="A1104" s="804" t="s">
        <v>1688</v>
      </c>
      <c r="B1104" s="583">
        <v>35</v>
      </c>
      <c r="C1104" s="243">
        <v>41542</v>
      </c>
      <c r="D1104" s="243">
        <v>41542</v>
      </c>
      <c r="E1104" s="589" t="s">
        <v>185</v>
      </c>
      <c r="F1104" s="589" t="s">
        <v>1392</v>
      </c>
      <c r="G1104" s="589" t="s">
        <v>1483</v>
      </c>
      <c r="H1104" s="589">
        <v>221</v>
      </c>
      <c r="I1104" s="583">
        <v>221</v>
      </c>
      <c r="J1104" s="589"/>
      <c r="K1104" s="589" t="s">
        <v>1071</v>
      </c>
      <c r="L1104" s="806">
        <v>2</v>
      </c>
      <c r="M1104" s="806">
        <v>8</v>
      </c>
      <c r="N1104" s="807">
        <v>41544</v>
      </c>
    </row>
    <row r="1105" spans="1:14">
      <c r="A1105" s="804" t="s">
        <v>1688</v>
      </c>
      <c r="B1105" s="583">
        <v>35</v>
      </c>
      <c r="C1105" s="243">
        <v>41542</v>
      </c>
      <c r="D1105" s="243">
        <v>41542</v>
      </c>
      <c r="E1105" s="589" t="s">
        <v>245</v>
      </c>
      <c r="F1105" s="589" t="s">
        <v>1392</v>
      </c>
      <c r="G1105" s="589" t="s">
        <v>991</v>
      </c>
      <c r="H1105" s="589">
        <v>12</v>
      </c>
      <c r="I1105" s="583">
        <v>12</v>
      </c>
      <c r="J1105" s="589" t="s">
        <v>1419</v>
      </c>
      <c r="K1105" s="637" t="s">
        <v>1071</v>
      </c>
      <c r="L1105" s="809">
        <v>5</v>
      </c>
      <c r="M1105" s="809">
        <v>35</v>
      </c>
      <c r="N1105" s="807">
        <v>41550</v>
      </c>
    </row>
    <row r="1106" spans="1:14">
      <c r="A1106" s="804" t="s">
        <v>1688</v>
      </c>
      <c r="B1106" s="583">
        <v>35</v>
      </c>
      <c r="C1106" s="243">
        <v>41542</v>
      </c>
      <c r="D1106" s="243">
        <v>41542</v>
      </c>
      <c r="E1106" s="589" t="s">
        <v>179</v>
      </c>
      <c r="F1106" s="589" t="s">
        <v>1392</v>
      </c>
      <c r="G1106" s="805" t="s">
        <v>1000</v>
      </c>
      <c r="H1106" s="589">
        <v>26</v>
      </c>
      <c r="I1106" s="583">
        <v>26</v>
      </c>
      <c r="J1106" s="589"/>
      <c r="K1106" s="589" t="s">
        <v>1071</v>
      </c>
      <c r="L1106" s="806">
        <v>2</v>
      </c>
      <c r="M1106" s="806">
        <v>8</v>
      </c>
      <c r="N1106" s="807">
        <v>41548</v>
      </c>
    </row>
    <row r="1107" spans="1:14">
      <c r="A1107" s="804" t="s">
        <v>1689</v>
      </c>
      <c r="B1107" s="583">
        <v>50</v>
      </c>
      <c r="C1107" s="243">
        <v>41542</v>
      </c>
      <c r="D1107" s="243">
        <v>41542</v>
      </c>
      <c r="E1107" s="584" t="s">
        <v>206</v>
      </c>
      <c r="F1107" s="589" t="s">
        <v>1392</v>
      </c>
      <c r="G1107" s="805" t="s">
        <v>996</v>
      </c>
      <c r="H1107" s="589">
        <v>615</v>
      </c>
      <c r="I1107" s="583">
        <v>615</v>
      </c>
      <c r="J1107" s="589"/>
      <c r="K1107" s="637" t="s">
        <v>1071</v>
      </c>
      <c r="L1107" s="806">
        <v>6</v>
      </c>
      <c r="M1107" s="806">
        <v>42</v>
      </c>
      <c r="N1107" s="807">
        <v>41548</v>
      </c>
    </row>
    <row r="1108" spans="1:14">
      <c r="A1108" s="804" t="s">
        <v>1689</v>
      </c>
      <c r="B1108" s="583">
        <v>50</v>
      </c>
      <c r="C1108" s="243">
        <v>41542</v>
      </c>
      <c r="D1108" s="243">
        <v>41542</v>
      </c>
      <c r="E1108" s="589" t="s">
        <v>185</v>
      </c>
      <c r="F1108" s="589" t="s">
        <v>1392</v>
      </c>
      <c r="G1108" s="589" t="s">
        <v>1483</v>
      </c>
      <c r="H1108" s="589">
        <v>375</v>
      </c>
      <c r="I1108" s="583">
        <v>375</v>
      </c>
      <c r="J1108" s="589"/>
      <c r="K1108" s="589" t="s">
        <v>1071</v>
      </c>
      <c r="L1108" s="806">
        <v>2</v>
      </c>
      <c r="M1108" s="806">
        <v>8</v>
      </c>
      <c r="N1108" s="807">
        <v>41544</v>
      </c>
    </row>
    <row r="1109" spans="1:14">
      <c r="A1109" s="804" t="s">
        <v>1689</v>
      </c>
      <c r="B1109" s="583">
        <v>50</v>
      </c>
      <c r="C1109" s="243">
        <v>41542</v>
      </c>
      <c r="D1109" s="243">
        <v>41542</v>
      </c>
      <c r="E1109" s="589" t="s">
        <v>245</v>
      </c>
      <c r="F1109" s="589" t="s">
        <v>1392</v>
      </c>
      <c r="G1109" s="589" t="s">
        <v>991</v>
      </c>
      <c r="H1109" s="589">
        <v>21</v>
      </c>
      <c r="I1109" s="583">
        <v>21</v>
      </c>
      <c r="J1109" s="589" t="s">
        <v>1419</v>
      </c>
      <c r="K1109" s="637" t="s">
        <v>1071</v>
      </c>
      <c r="L1109" s="809">
        <v>5</v>
      </c>
      <c r="M1109" s="809">
        <v>35</v>
      </c>
      <c r="N1109" s="807">
        <v>41550</v>
      </c>
    </row>
    <row r="1110" spans="1:14">
      <c r="A1110" s="804" t="s">
        <v>1689</v>
      </c>
      <c r="B1110" s="583">
        <v>50</v>
      </c>
      <c r="C1110" s="243">
        <v>41542</v>
      </c>
      <c r="D1110" s="243">
        <v>41542</v>
      </c>
      <c r="E1110" s="589" t="s">
        <v>179</v>
      </c>
      <c r="F1110" s="589" t="s">
        <v>1392</v>
      </c>
      <c r="G1110" s="805" t="s">
        <v>1000</v>
      </c>
      <c r="H1110" s="589">
        <v>48</v>
      </c>
      <c r="I1110" s="583">
        <v>48</v>
      </c>
      <c r="J1110" s="589"/>
      <c r="K1110" s="589" t="s">
        <v>1071</v>
      </c>
      <c r="L1110" s="806">
        <v>2</v>
      </c>
      <c r="M1110" s="806">
        <v>8</v>
      </c>
      <c r="N1110" s="807">
        <v>41548</v>
      </c>
    </row>
    <row r="1112" spans="1:14">
      <c r="A1112" s="804" t="s">
        <v>1690</v>
      </c>
      <c r="B1112" s="583" t="s">
        <v>1095</v>
      </c>
      <c r="C1112" s="243">
        <v>41526</v>
      </c>
      <c r="D1112" s="243">
        <v>41526</v>
      </c>
      <c r="E1112" s="584" t="s">
        <v>206</v>
      </c>
      <c r="F1112" s="589" t="s">
        <v>1392</v>
      </c>
      <c r="G1112" s="805" t="s">
        <v>996</v>
      </c>
      <c r="H1112" s="589">
        <v>962</v>
      </c>
      <c r="I1112" s="583"/>
      <c r="J1112" s="589"/>
      <c r="K1112" s="637" t="s">
        <v>1071</v>
      </c>
      <c r="L1112" s="806">
        <v>6</v>
      </c>
      <c r="M1112" s="806">
        <v>42</v>
      </c>
      <c r="N1112" s="807">
        <v>41529</v>
      </c>
    </row>
    <row r="1113" spans="1:14">
      <c r="A1113" s="688" t="s">
        <v>1690</v>
      </c>
      <c r="B1113" s="583" t="s">
        <v>1095</v>
      </c>
      <c r="C1113" s="243">
        <v>41526</v>
      </c>
      <c r="D1113" s="243">
        <v>41526</v>
      </c>
      <c r="E1113" s="589" t="s">
        <v>185</v>
      </c>
      <c r="F1113" s="589" t="s">
        <v>1392</v>
      </c>
      <c r="G1113" s="589" t="s">
        <v>1483</v>
      </c>
      <c r="H1113" s="589">
        <v>851</v>
      </c>
      <c r="I1113" s="583"/>
      <c r="J1113" s="589"/>
      <c r="K1113" s="589" t="s">
        <v>1071</v>
      </c>
      <c r="L1113" s="806">
        <v>2</v>
      </c>
      <c r="M1113" s="806">
        <v>8</v>
      </c>
      <c r="N1113" s="807">
        <v>41527</v>
      </c>
    </row>
    <row r="1114" spans="1:14">
      <c r="A1114" s="688" t="s">
        <v>1690</v>
      </c>
      <c r="B1114" s="583" t="s">
        <v>1095</v>
      </c>
      <c r="C1114" s="243">
        <v>41526</v>
      </c>
      <c r="D1114" s="243">
        <v>41526</v>
      </c>
      <c r="E1114" s="589" t="s">
        <v>245</v>
      </c>
      <c r="F1114" s="589" t="s">
        <v>1392</v>
      </c>
      <c r="G1114" s="589" t="s">
        <v>991</v>
      </c>
      <c r="H1114" s="589">
        <v>53</v>
      </c>
      <c r="I1114" s="808"/>
      <c r="J1114" s="589"/>
      <c r="K1114" s="637" t="s">
        <v>1071</v>
      </c>
      <c r="L1114" s="809">
        <v>5</v>
      </c>
      <c r="M1114" s="809">
        <v>35</v>
      </c>
      <c r="N1114" s="807">
        <v>41527</v>
      </c>
    </row>
    <row r="1115" spans="1:14">
      <c r="A1115" s="688" t="s">
        <v>1690</v>
      </c>
      <c r="B1115" s="583" t="s">
        <v>1095</v>
      </c>
      <c r="C1115" s="243">
        <v>41526</v>
      </c>
      <c r="D1115" s="243">
        <v>41526</v>
      </c>
      <c r="E1115" s="589" t="s">
        <v>179</v>
      </c>
      <c r="F1115" s="589" t="s">
        <v>1392</v>
      </c>
      <c r="G1115" s="805" t="s">
        <v>1000</v>
      </c>
      <c r="H1115" s="589">
        <v>11</v>
      </c>
      <c r="I1115" s="583"/>
      <c r="J1115" s="589"/>
      <c r="K1115" s="589" t="s">
        <v>1071</v>
      </c>
      <c r="L1115" s="806">
        <v>2</v>
      </c>
      <c r="M1115" s="806">
        <v>8</v>
      </c>
      <c r="N1115" s="807">
        <v>41529</v>
      </c>
    </row>
    <row r="1116" spans="1:14">
      <c r="A1116" s="589" t="s">
        <v>1690</v>
      </c>
      <c r="B1116" s="583" t="s">
        <v>1095</v>
      </c>
      <c r="C1116" s="243">
        <v>41526</v>
      </c>
      <c r="D1116" s="243">
        <v>41526</v>
      </c>
      <c r="E1116" s="590" t="s">
        <v>180</v>
      </c>
      <c r="F1116" s="589" t="s">
        <v>1392</v>
      </c>
      <c r="G1116" s="805" t="s">
        <v>1000</v>
      </c>
      <c r="H1116" s="591"/>
      <c r="I1116" s="590"/>
      <c r="J1116" s="637" t="s">
        <v>1395</v>
      </c>
      <c r="K1116" s="589" t="s">
        <v>1071</v>
      </c>
      <c r="L1116" s="810">
        <v>2</v>
      </c>
      <c r="M1116" s="810">
        <v>8</v>
      </c>
      <c r="N1116" s="807">
        <v>41529</v>
      </c>
    </row>
    <row r="1117" spans="1:14">
      <c r="A1117" s="688" t="s">
        <v>1690</v>
      </c>
      <c r="B1117" s="583" t="s">
        <v>1095</v>
      </c>
      <c r="C1117" s="243">
        <v>41526</v>
      </c>
      <c r="D1117" s="243">
        <v>41526</v>
      </c>
      <c r="E1117" s="589" t="s">
        <v>184</v>
      </c>
      <c r="F1117" s="589" t="s">
        <v>1392</v>
      </c>
      <c r="G1117" s="589" t="s">
        <v>1471</v>
      </c>
      <c r="H1117" s="592">
        <v>20.2</v>
      </c>
      <c r="I1117" s="811"/>
      <c r="J1117" s="589"/>
      <c r="K1117" s="589" t="s">
        <v>1096</v>
      </c>
      <c r="L1117" s="806">
        <v>4</v>
      </c>
      <c r="M1117" s="806"/>
      <c r="N1117" s="807">
        <v>41536</v>
      </c>
    </row>
    <row r="1118" spans="1:14">
      <c r="A1118" s="804" t="s">
        <v>1691</v>
      </c>
      <c r="B1118" s="583" t="s">
        <v>1097</v>
      </c>
      <c r="C1118" s="243">
        <v>41526</v>
      </c>
      <c r="D1118" s="243">
        <v>41526</v>
      </c>
      <c r="E1118" s="584" t="s">
        <v>206</v>
      </c>
      <c r="F1118" s="589" t="s">
        <v>1392</v>
      </c>
      <c r="G1118" s="805" t="s">
        <v>996</v>
      </c>
      <c r="H1118" s="589">
        <v>592</v>
      </c>
      <c r="I1118" s="583"/>
      <c r="J1118" s="589"/>
      <c r="K1118" s="637" t="s">
        <v>1071</v>
      </c>
      <c r="L1118" s="806">
        <v>6</v>
      </c>
      <c r="M1118" s="806">
        <v>42</v>
      </c>
      <c r="N1118" s="807">
        <v>41529</v>
      </c>
    </row>
    <row r="1119" spans="1:14">
      <c r="A1119" s="688" t="s">
        <v>1691</v>
      </c>
      <c r="B1119" s="583" t="s">
        <v>1097</v>
      </c>
      <c r="C1119" s="243">
        <v>41526</v>
      </c>
      <c r="D1119" s="243">
        <v>41526</v>
      </c>
      <c r="E1119" s="589" t="s">
        <v>185</v>
      </c>
      <c r="F1119" s="589" t="s">
        <v>1392</v>
      </c>
      <c r="G1119" s="589" t="s">
        <v>1483</v>
      </c>
      <c r="H1119" s="589">
        <v>415</v>
      </c>
      <c r="I1119" s="583"/>
      <c r="J1119" s="589"/>
      <c r="K1119" s="589" t="s">
        <v>1071</v>
      </c>
      <c r="L1119" s="806">
        <v>2</v>
      </c>
      <c r="M1119" s="806">
        <v>8</v>
      </c>
      <c r="N1119" s="807">
        <v>41527</v>
      </c>
    </row>
    <row r="1120" spans="1:14">
      <c r="A1120" s="688" t="s">
        <v>1691</v>
      </c>
      <c r="B1120" s="583" t="s">
        <v>1097</v>
      </c>
      <c r="C1120" s="243">
        <v>41526</v>
      </c>
      <c r="D1120" s="243">
        <v>41526</v>
      </c>
      <c r="E1120" s="589" t="s">
        <v>245</v>
      </c>
      <c r="F1120" s="589" t="s">
        <v>1392</v>
      </c>
      <c r="G1120" s="589" t="s">
        <v>991</v>
      </c>
      <c r="H1120" s="589">
        <v>43</v>
      </c>
      <c r="I1120" s="808"/>
      <c r="J1120" s="688"/>
      <c r="K1120" s="637" t="s">
        <v>1071</v>
      </c>
      <c r="L1120" s="809">
        <v>5</v>
      </c>
      <c r="M1120" s="809">
        <v>35</v>
      </c>
      <c r="N1120" s="807">
        <v>41527</v>
      </c>
    </row>
    <row r="1121" spans="1:14">
      <c r="A1121" s="688" t="s">
        <v>1691</v>
      </c>
      <c r="B1121" s="583" t="s">
        <v>1097</v>
      </c>
      <c r="C1121" s="243">
        <v>41526</v>
      </c>
      <c r="D1121" s="243">
        <v>41526</v>
      </c>
      <c r="E1121" s="589" t="s">
        <v>179</v>
      </c>
      <c r="F1121" s="589" t="s">
        <v>1392</v>
      </c>
      <c r="G1121" s="805" t="s">
        <v>1000</v>
      </c>
      <c r="H1121" s="589">
        <v>49</v>
      </c>
      <c r="I1121" s="583"/>
      <c r="J1121" s="589"/>
      <c r="K1121" s="589" t="s">
        <v>1071</v>
      </c>
      <c r="L1121" s="806">
        <v>2</v>
      </c>
      <c r="M1121" s="806">
        <v>8</v>
      </c>
      <c r="N1121" s="807">
        <v>41529</v>
      </c>
    </row>
    <row r="1122" spans="1:14">
      <c r="A1122" s="589" t="s">
        <v>1691</v>
      </c>
      <c r="B1122" s="583" t="s">
        <v>1097</v>
      </c>
      <c r="C1122" s="243">
        <v>41526</v>
      </c>
      <c r="D1122" s="243">
        <v>41526</v>
      </c>
      <c r="E1122" s="590" t="s">
        <v>180</v>
      </c>
      <c r="F1122" s="589" t="s">
        <v>1392</v>
      </c>
      <c r="G1122" s="805" t="s">
        <v>1000</v>
      </c>
      <c r="H1122" s="591">
        <v>15</v>
      </c>
      <c r="I1122" s="590"/>
      <c r="J1122" s="637"/>
      <c r="K1122" s="589" t="s">
        <v>1071</v>
      </c>
      <c r="L1122" s="810">
        <v>2</v>
      </c>
      <c r="M1122" s="810">
        <v>8</v>
      </c>
      <c r="N1122" s="807">
        <v>41529</v>
      </c>
    </row>
    <row r="1123" spans="1:14">
      <c r="A1123" s="688" t="s">
        <v>1691</v>
      </c>
      <c r="B1123" s="583" t="s">
        <v>1097</v>
      </c>
      <c r="C1123" s="243">
        <v>41526</v>
      </c>
      <c r="D1123" s="243">
        <v>41526</v>
      </c>
      <c r="E1123" s="589" t="s">
        <v>184</v>
      </c>
      <c r="F1123" s="589" t="s">
        <v>1392</v>
      </c>
      <c r="G1123" s="589" t="s">
        <v>1471</v>
      </c>
      <c r="H1123" s="592">
        <v>13</v>
      </c>
      <c r="I1123" s="811"/>
      <c r="J1123" s="589"/>
      <c r="K1123" s="589" t="s">
        <v>1096</v>
      </c>
      <c r="L1123" s="806">
        <v>4</v>
      </c>
      <c r="M1123" s="806"/>
      <c r="N1123" s="807">
        <v>41536</v>
      </c>
    </row>
    <row r="1124" spans="1:14">
      <c r="A1124" s="589" t="s">
        <v>1692</v>
      </c>
      <c r="B1124" s="583">
        <v>45</v>
      </c>
      <c r="C1124" s="243">
        <v>41526</v>
      </c>
      <c r="D1124" s="243">
        <v>41526</v>
      </c>
      <c r="E1124" s="584" t="s">
        <v>206</v>
      </c>
      <c r="F1124" s="589" t="s">
        <v>1392</v>
      </c>
      <c r="G1124" s="805" t="s">
        <v>996</v>
      </c>
      <c r="H1124" s="589">
        <v>607</v>
      </c>
      <c r="I1124" s="583"/>
      <c r="J1124" s="589"/>
      <c r="K1124" s="637" t="s">
        <v>1071</v>
      </c>
      <c r="L1124" s="806">
        <v>6</v>
      </c>
      <c r="M1124" s="806">
        <v>42</v>
      </c>
      <c r="N1124" s="807">
        <v>41529</v>
      </c>
    </row>
    <row r="1125" spans="1:14">
      <c r="A1125" s="804" t="s">
        <v>1692</v>
      </c>
      <c r="B1125" s="583">
        <v>45</v>
      </c>
      <c r="C1125" s="243">
        <v>41526</v>
      </c>
      <c r="D1125" s="243">
        <v>41526</v>
      </c>
      <c r="E1125" s="589" t="s">
        <v>185</v>
      </c>
      <c r="F1125" s="589" t="s">
        <v>1392</v>
      </c>
      <c r="G1125" s="589" t="s">
        <v>1483</v>
      </c>
      <c r="H1125" s="589">
        <v>80</v>
      </c>
      <c r="I1125" s="583"/>
      <c r="J1125" s="589"/>
      <c r="K1125" s="589" t="s">
        <v>1071</v>
      </c>
      <c r="L1125" s="806">
        <v>2</v>
      </c>
      <c r="M1125" s="806">
        <v>8</v>
      </c>
      <c r="N1125" s="807">
        <v>41527</v>
      </c>
    </row>
    <row r="1126" spans="1:14">
      <c r="A1126" s="804" t="s">
        <v>1692</v>
      </c>
      <c r="B1126" s="583">
        <v>45</v>
      </c>
      <c r="C1126" s="243">
        <v>41526</v>
      </c>
      <c r="D1126" s="243">
        <v>41526</v>
      </c>
      <c r="E1126" s="589" t="s">
        <v>245</v>
      </c>
      <c r="F1126" s="589" t="s">
        <v>1392</v>
      </c>
      <c r="G1126" s="589" t="s">
        <v>991</v>
      </c>
      <c r="H1126" s="589">
        <v>66</v>
      </c>
      <c r="I1126" s="808"/>
      <c r="J1126" s="589"/>
      <c r="K1126" s="637" t="s">
        <v>1071</v>
      </c>
      <c r="L1126" s="809">
        <v>5</v>
      </c>
      <c r="M1126" s="809">
        <v>35</v>
      </c>
      <c r="N1126" s="807">
        <v>41527</v>
      </c>
    </row>
    <row r="1127" spans="1:14">
      <c r="A1127" s="804" t="s">
        <v>1692</v>
      </c>
      <c r="B1127" s="583">
        <v>45</v>
      </c>
      <c r="C1127" s="243">
        <v>41526</v>
      </c>
      <c r="D1127" s="243">
        <v>41526</v>
      </c>
      <c r="E1127" s="589" t="s">
        <v>179</v>
      </c>
      <c r="F1127" s="589" t="s">
        <v>1392</v>
      </c>
      <c r="G1127" s="805" t="s">
        <v>1000</v>
      </c>
      <c r="H1127" s="589">
        <v>120</v>
      </c>
      <c r="I1127" s="583"/>
      <c r="J1127" s="589"/>
      <c r="K1127" s="589" t="s">
        <v>1071</v>
      </c>
      <c r="L1127" s="806">
        <v>2</v>
      </c>
      <c r="M1127" s="806">
        <v>8</v>
      </c>
      <c r="N1127" s="807">
        <v>41529</v>
      </c>
    </row>
    <row r="1128" spans="1:14">
      <c r="A1128" s="589" t="s">
        <v>1692</v>
      </c>
      <c r="B1128" s="583">
        <v>45</v>
      </c>
      <c r="C1128" s="243">
        <v>41526</v>
      </c>
      <c r="D1128" s="243">
        <v>41526</v>
      </c>
      <c r="E1128" s="590" t="s">
        <v>180</v>
      </c>
      <c r="F1128" s="589" t="s">
        <v>1392</v>
      </c>
      <c r="G1128" s="805" t="s">
        <v>1000</v>
      </c>
      <c r="H1128" s="591">
        <v>51</v>
      </c>
      <c r="I1128" s="590"/>
      <c r="J1128" s="637"/>
      <c r="K1128" s="589" t="s">
        <v>1071</v>
      </c>
      <c r="L1128" s="810">
        <v>2</v>
      </c>
      <c r="M1128" s="810">
        <v>8</v>
      </c>
      <c r="N1128" s="807">
        <v>41529</v>
      </c>
    </row>
    <row r="1129" spans="1:14">
      <c r="A1129" s="804" t="s">
        <v>1692</v>
      </c>
      <c r="B1129" s="583">
        <v>45</v>
      </c>
      <c r="C1129" s="243">
        <v>41526</v>
      </c>
      <c r="D1129" s="243">
        <v>41526</v>
      </c>
      <c r="E1129" s="589" t="s">
        <v>184</v>
      </c>
      <c r="F1129" s="589" t="s">
        <v>1392</v>
      </c>
      <c r="G1129" s="589" t="s">
        <v>1471</v>
      </c>
      <c r="H1129" s="592">
        <v>18</v>
      </c>
      <c r="I1129" s="811"/>
      <c r="J1129" s="589"/>
      <c r="K1129" s="589" t="s">
        <v>1096</v>
      </c>
      <c r="L1129" s="806">
        <v>4</v>
      </c>
      <c r="M1129" s="806"/>
      <c r="N1129" s="807">
        <v>41536</v>
      </c>
    </row>
    <row r="1130" spans="1:14">
      <c r="A1130" s="804" t="s">
        <v>1693</v>
      </c>
      <c r="B1130" s="585" t="s">
        <v>1098</v>
      </c>
      <c r="C1130" s="243">
        <v>41526</v>
      </c>
      <c r="D1130" s="243">
        <v>41526</v>
      </c>
      <c r="E1130" s="584" t="s">
        <v>206</v>
      </c>
      <c r="F1130" s="589" t="s">
        <v>1392</v>
      </c>
      <c r="G1130" s="805" t="s">
        <v>996</v>
      </c>
      <c r="H1130" s="589">
        <v>864</v>
      </c>
      <c r="I1130" s="583"/>
      <c r="J1130" s="589"/>
      <c r="K1130" s="637" t="s">
        <v>1071</v>
      </c>
      <c r="L1130" s="806">
        <v>6</v>
      </c>
      <c r="M1130" s="806">
        <v>42</v>
      </c>
      <c r="N1130" s="807">
        <v>41529</v>
      </c>
    </row>
    <row r="1131" spans="1:14">
      <c r="A1131" s="589" t="s">
        <v>1693</v>
      </c>
      <c r="B1131" s="585" t="s">
        <v>1098</v>
      </c>
      <c r="C1131" s="243">
        <v>41526</v>
      </c>
      <c r="D1131" s="243">
        <v>41526</v>
      </c>
      <c r="E1131" s="589" t="s">
        <v>185</v>
      </c>
      <c r="F1131" s="589" t="s">
        <v>1392</v>
      </c>
      <c r="G1131" s="589" t="s">
        <v>1483</v>
      </c>
      <c r="H1131" s="589">
        <v>75</v>
      </c>
      <c r="I1131" s="583"/>
      <c r="J1131" s="589"/>
      <c r="K1131" s="589" t="s">
        <v>1071</v>
      </c>
      <c r="L1131" s="806">
        <v>2</v>
      </c>
      <c r="M1131" s="806">
        <v>8</v>
      </c>
      <c r="N1131" s="807">
        <v>41527</v>
      </c>
    </row>
    <row r="1132" spans="1:14">
      <c r="A1132" s="688" t="s">
        <v>1693</v>
      </c>
      <c r="B1132" s="585" t="s">
        <v>1098</v>
      </c>
      <c r="C1132" s="243">
        <v>41526</v>
      </c>
      <c r="D1132" s="243">
        <v>41526</v>
      </c>
      <c r="E1132" s="589" t="s">
        <v>245</v>
      </c>
      <c r="F1132" s="589" t="s">
        <v>1392</v>
      </c>
      <c r="G1132" s="589" t="s">
        <v>991</v>
      </c>
      <c r="H1132" s="589">
        <v>57</v>
      </c>
      <c r="I1132" s="808"/>
      <c r="J1132" s="589"/>
      <c r="K1132" s="637" t="s">
        <v>1071</v>
      </c>
      <c r="L1132" s="809">
        <v>5</v>
      </c>
      <c r="M1132" s="809">
        <v>35</v>
      </c>
      <c r="N1132" s="807">
        <v>41527</v>
      </c>
    </row>
    <row r="1133" spans="1:14">
      <c r="A1133" s="589" t="s">
        <v>1693</v>
      </c>
      <c r="B1133" s="585" t="s">
        <v>1098</v>
      </c>
      <c r="C1133" s="243">
        <v>41526</v>
      </c>
      <c r="D1133" s="243">
        <v>41526</v>
      </c>
      <c r="E1133" s="589" t="s">
        <v>179</v>
      </c>
      <c r="F1133" s="589" t="s">
        <v>1392</v>
      </c>
      <c r="G1133" s="805" t="s">
        <v>1000</v>
      </c>
      <c r="H1133" s="589">
        <v>138</v>
      </c>
      <c r="I1133" s="583"/>
      <c r="J1133" s="589"/>
      <c r="K1133" s="589" t="s">
        <v>1071</v>
      </c>
      <c r="L1133" s="806">
        <v>2</v>
      </c>
      <c r="M1133" s="806">
        <v>8</v>
      </c>
      <c r="N1133" s="807">
        <v>41529</v>
      </c>
    </row>
    <row r="1134" spans="1:14">
      <c r="A1134" s="589" t="s">
        <v>1693</v>
      </c>
      <c r="B1134" s="585" t="s">
        <v>1098</v>
      </c>
      <c r="C1134" s="243">
        <v>41526</v>
      </c>
      <c r="D1134" s="243">
        <v>41526</v>
      </c>
      <c r="E1134" s="590" t="s">
        <v>180</v>
      </c>
      <c r="F1134" s="589" t="s">
        <v>1392</v>
      </c>
      <c r="G1134" s="805" t="s">
        <v>1000</v>
      </c>
      <c r="H1134" s="591">
        <v>60</v>
      </c>
      <c r="I1134" s="590"/>
      <c r="J1134" s="637"/>
      <c r="K1134" s="589" t="s">
        <v>1071</v>
      </c>
      <c r="L1134" s="810">
        <v>2</v>
      </c>
      <c r="M1134" s="810">
        <v>8</v>
      </c>
      <c r="N1134" s="807">
        <v>41529</v>
      </c>
    </row>
    <row r="1135" spans="1:14">
      <c r="A1135" s="589" t="s">
        <v>1693</v>
      </c>
      <c r="B1135" s="585" t="s">
        <v>1098</v>
      </c>
      <c r="C1135" s="243">
        <v>41526</v>
      </c>
      <c r="D1135" s="243">
        <v>41526</v>
      </c>
      <c r="E1135" s="589" t="s">
        <v>184</v>
      </c>
      <c r="F1135" s="589" t="s">
        <v>1392</v>
      </c>
      <c r="G1135" s="589" t="s">
        <v>1471</v>
      </c>
      <c r="H1135" s="592">
        <v>14.8</v>
      </c>
      <c r="I1135" s="811"/>
      <c r="J1135" s="589"/>
      <c r="K1135" s="589" t="s">
        <v>1096</v>
      </c>
      <c r="L1135" s="806">
        <v>4</v>
      </c>
      <c r="M1135" s="806"/>
      <c r="N1135" s="807">
        <v>41536</v>
      </c>
    </row>
    <row r="1136" spans="1:14">
      <c r="A1136" s="804" t="s">
        <v>1693</v>
      </c>
      <c r="B1136" s="583" t="s">
        <v>1098</v>
      </c>
      <c r="C1136" s="243">
        <v>41526</v>
      </c>
      <c r="D1136" s="243">
        <v>41526</v>
      </c>
      <c r="E1136" s="584" t="s">
        <v>181</v>
      </c>
      <c r="F1136" s="804" t="s">
        <v>1392</v>
      </c>
      <c r="G1136" s="812" t="s">
        <v>1402</v>
      </c>
      <c r="H1136" s="332">
        <v>56</v>
      </c>
      <c r="I1136" s="813"/>
      <c r="J1136" s="814"/>
      <c r="K1136" s="589" t="s">
        <v>1071</v>
      </c>
      <c r="L1136" s="810">
        <v>0.1</v>
      </c>
      <c r="M1136" s="810"/>
      <c r="N1136" s="807">
        <v>41534</v>
      </c>
    </row>
    <row r="1137" spans="1:14">
      <c r="A1137" s="804" t="s">
        <v>1693</v>
      </c>
      <c r="B1137" s="583" t="s">
        <v>1098</v>
      </c>
      <c r="C1137" s="243">
        <v>41526</v>
      </c>
      <c r="D1137" s="243">
        <v>41526</v>
      </c>
      <c r="E1137" s="584" t="s">
        <v>181</v>
      </c>
      <c r="F1137" s="804" t="s">
        <v>1392</v>
      </c>
      <c r="G1137" s="812" t="s">
        <v>1402</v>
      </c>
      <c r="H1137" s="332">
        <v>52.5</v>
      </c>
      <c r="I1137" s="813"/>
      <c r="J1137" s="814"/>
      <c r="K1137" s="589" t="s">
        <v>1071</v>
      </c>
      <c r="L1137" s="810">
        <v>0.1</v>
      </c>
      <c r="M1137" s="810"/>
      <c r="N1137" s="807">
        <v>41534</v>
      </c>
    </row>
    <row r="1138" spans="1:14">
      <c r="A1138" s="589" t="s">
        <v>1694</v>
      </c>
      <c r="B1138" s="583" t="s">
        <v>1099</v>
      </c>
      <c r="C1138" s="243">
        <v>41526</v>
      </c>
      <c r="D1138" s="243">
        <v>41526</v>
      </c>
      <c r="E1138" s="584" t="s">
        <v>206</v>
      </c>
      <c r="F1138" s="589" t="s">
        <v>1392</v>
      </c>
      <c r="G1138" s="805" t="s">
        <v>996</v>
      </c>
      <c r="H1138" s="589">
        <v>453</v>
      </c>
      <c r="I1138" s="583"/>
      <c r="J1138" s="589"/>
      <c r="K1138" s="637" t="s">
        <v>1071</v>
      </c>
      <c r="L1138" s="806">
        <v>6</v>
      </c>
      <c r="M1138" s="806">
        <v>42</v>
      </c>
      <c r="N1138" s="807">
        <v>41529</v>
      </c>
    </row>
    <row r="1139" spans="1:14">
      <c r="A1139" s="589" t="s">
        <v>1694</v>
      </c>
      <c r="B1139" s="583" t="s">
        <v>1099</v>
      </c>
      <c r="C1139" s="243">
        <v>41526</v>
      </c>
      <c r="D1139" s="243">
        <v>41526</v>
      </c>
      <c r="E1139" s="589" t="s">
        <v>185</v>
      </c>
      <c r="F1139" s="589" t="s">
        <v>1392</v>
      </c>
      <c r="G1139" s="589" t="s">
        <v>1483</v>
      </c>
      <c r="H1139" s="589">
        <v>88</v>
      </c>
      <c r="I1139" s="583"/>
      <c r="J1139" s="589"/>
      <c r="K1139" s="589" t="s">
        <v>1071</v>
      </c>
      <c r="L1139" s="806">
        <v>2</v>
      </c>
      <c r="M1139" s="806">
        <v>8</v>
      </c>
      <c r="N1139" s="807">
        <v>41527</v>
      </c>
    </row>
    <row r="1140" spans="1:14">
      <c r="A1140" s="688" t="s">
        <v>1694</v>
      </c>
      <c r="B1140" s="583" t="s">
        <v>1099</v>
      </c>
      <c r="C1140" s="243">
        <v>41526</v>
      </c>
      <c r="D1140" s="243">
        <v>41526</v>
      </c>
      <c r="E1140" s="589" t="s">
        <v>245</v>
      </c>
      <c r="F1140" s="589" t="s">
        <v>1392</v>
      </c>
      <c r="G1140" s="589" t="s">
        <v>991</v>
      </c>
      <c r="H1140" s="589">
        <v>115</v>
      </c>
      <c r="I1140" s="808"/>
      <c r="J1140" s="589"/>
      <c r="K1140" s="637" t="s">
        <v>1071</v>
      </c>
      <c r="L1140" s="809">
        <v>5</v>
      </c>
      <c r="M1140" s="809">
        <v>35</v>
      </c>
      <c r="N1140" s="807">
        <v>41527</v>
      </c>
    </row>
    <row r="1141" spans="1:14">
      <c r="A1141" s="589" t="s">
        <v>1694</v>
      </c>
      <c r="B1141" s="583" t="s">
        <v>1099</v>
      </c>
      <c r="C1141" s="243">
        <v>41526</v>
      </c>
      <c r="D1141" s="243">
        <v>41526</v>
      </c>
      <c r="E1141" s="589" t="s">
        <v>179</v>
      </c>
      <c r="F1141" s="589" t="s">
        <v>1392</v>
      </c>
      <c r="G1141" s="805" t="s">
        <v>1000</v>
      </c>
      <c r="H1141" s="589">
        <v>112</v>
      </c>
      <c r="I1141" s="583"/>
      <c r="J1141" s="589"/>
      <c r="K1141" s="589" t="s">
        <v>1071</v>
      </c>
      <c r="L1141" s="806">
        <v>2</v>
      </c>
      <c r="M1141" s="806">
        <v>8</v>
      </c>
      <c r="N1141" s="807">
        <v>41529</v>
      </c>
    </row>
    <row r="1142" spans="1:14">
      <c r="A1142" s="589" t="s">
        <v>1694</v>
      </c>
      <c r="B1142" s="583" t="s">
        <v>1099</v>
      </c>
      <c r="C1142" s="243">
        <v>41526</v>
      </c>
      <c r="D1142" s="243">
        <v>41526</v>
      </c>
      <c r="E1142" s="590" t="s">
        <v>180</v>
      </c>
      <c r="F1142" s="589" t="s">
        <v>1392</v>
      </c>
      <c r="G1142" s="805" t="s">
        <v>1000</v>
      </c>
      <c r="H1142" s="591">
        <v>48</v>
      </c>
      <c r="I1142" s="590"/>
      <c r="J1142" s="637"/>
      <c r="K1142" s="589" t="s">
        <v>1071</v>
      </c>
      <c r="L1142" s="810">
        <v>2</v>
      </c>
      <c r="M1142" s="810">
        <v>8</v>
      </c>
      <c r="N1142" s="807">
        <v>41529</v>
      </c>
    </row>
    <row r="1143" spans="1:14">
      <c r="A1143" s="589" t="s">
        <v>1694</v>
      </c>
      <c r="B1143" s="583" t="s">
        <v>1099</v>
      </c>
      <c r="C1143" s="243">
        <v>41526</v>
      </c>
      <c r="D1143" s="243">
        <v>41526</v>
      </c>
      <c r="E1143" s="589" t="s">
        <v>184</v>
      </c>
      <c r="F1143" s="589" t="s">
        <v>1392</v>
      </c>
      <c r="G1143" s="589" t="s">
        <v>1471</v>
      </c>
      <c r="H1143" s="592">
        <v>23</v>
      </c>
      <c r="I1143" s="811"/>
      <c r="J1143" s="589"/>
      <c r="K1143" s="589" t="s">
        <v>1096</v>
      </c>
      <c r="L1143" s="806">
        <v>4</v>
      </c>
      <c r="M1143" s="806"/>
      <c r="N1143" s="807">
        <v>41536</v>
      </c>
    </row>
    <row r="1145" spans="1:14">
      <c r="A1145" s="804" t="s">
        <v>1695</v>
      </c>
      <c r="B1145" s="583">
        <v>36</v>
      </c>
      <c r="C1145" s="243">
        <v>41543</v>
      </c>
      <c r="D1145" s="243">
        <v>41543</v>
      </c>
      <c r="E1145" s="584" t="s">
        <v>206</v>
      </c>
      <c r="F1145" s="589" t="s">
        <v>1392</v>
      </c>
      <c r="G1145" s="805" t="s">
        <v>996</v>
      </c>
      <c r="H1145" s="589">
        <v>345</v>
      </c>
      <c r="I1145" s="583">
        <v>345</v>
      </c>
      <c r="J1145" s="589"/>
      <c r="K1145" s="637" t="s">
        <v>1071</v>
      </c>
      <c r="L1145" s="806">
        <v>6</v>
      </c>
      <c r="M1145" s="806">
        <v>42</v>
      </c>
      <c r="N1145" s="807">
        <v>41551</v>
      </c>
    </row>
    <row r="1146" spans="1:14">
      <c r="A1146" s="688" t="s">
        <v>1695</v>
      </c>
      <c r="B1146" s="583">
        <v>36</v>
      </c>
      <c r="C1146" s="243">
        <v>41543</v>
      </c>
      <c r="D1146" s="243">
        <v>41543</v>
      </c>
      <c r="E1146" s="589" t="s">
        <v>185</v>
      </c>
      <c r="F1146" s="589" t="s">
        <v>1392</v>
      </c>
      <c r="G1146" s="589" t="s">
        <v>1483</v>
      </c>
      <c r="H1146" s="589">
        <v>165</v>
      </c>
      <c r="I1146" s="583">
        <v>165</v>
      </c>
      <c r="J1146" s="589"/>
      <c r="K1146" s="589" t="s">
        <v>1071</v>
      </c>
      <c r="L1146" s="806">
        <v>2</v>
      </c>
      <c r="M1146" s="806">
        <v>8</v>
      </c>
      <c r="N1146" s="807">
        <v>41544</v>
      </c>
    </row>
    <row r="1147" spans="1:14">
      <c r="A1147" s="688" t="s">
        <v>1695</v>
      </c>
      <c r="B1147" s="583">
        <v>36</v>
      </c>
      <c r="C1147" s="243">
        <v>41543</v>
      </c>
      <c r="D1147" s="243">
        <v>41543</v>
      </c>
      <c r="E1147" s="589" t="s">
        <v>245</v>
      </c>
      <c r="F1147" s="589" t="s">
        <v>1392</v>
      </c>
      <c r="G1147" s="589" t="s">
        <v>991</v>
      </c>
      <c r="H1147" s="589">
        <v>16</v>
      </c>
      <c r="I1147" s="808" t="s">
        <v>1411</v>
      </c>
      <c r="J1147" s="589" t="s">
        <v>1419</v>
      </c>
      <c r="K1147" s="637" t="s">
        <v>1071</v>
      </c>
      <c r="L1147" s="809">
        <v>5</v>
      </c>
      <c r="M1147" s="809">
        <v>35</v>
      </c>
      <c r="N1147" s="807">
        <v>41550</v>
      </c>
    </row>
    <row r="1148" spans="1:14">
      <c r="A1148" s="688" t="s">
        <v>1695</v>
      </c>
      <c r="B1148" s="583">
        <v>36</v>
      </c>
      <c r="C1148" s="243">
        <v>41543</v>
      </c>
      <c r="D1148" s="243">
        <v>41543</v>
      </c>
      <c r="E1148" s="589" t="s">
        <v>179</v>
      </c>
      <c r="F1148" s="589" t="s">
        <v>1392</v>
      </c>
      <c r="G1148" s="805" t="s">
        <v>1000</v>
      </c>
      <c r="H1148" s="589">
        <v>6</v>
      </c>
      <c r="I1148" s="583">
        <v>6</v>
      </c>
      <c r="J1148" s="589" t="s">
        <v>1419</v>
      </c>
      <c r="K1148" s="589" t="s">
        <v>1071</v>
      </c>
      <c r="L1148" s="806">
        <v>2</v>
      </c>
      <c r="M1148" s="806">
        <v>8</v>
      </c>
      <c r="N1148" s="807">
        <v>41551</v>
      </c>
    </row>
    <row r="1149" spans="1:14">
      <c r="A1149" s="804" t="s">
        <v>1696</v>
      </c>
      <c r="B1149" s="583">
        <v>37</v>
      </c>
      <c r="C1149" s="243">
        <v>41543</v>
      </c>
      <c r="D1149" s="243">
        <v>41543</v>
      </c>
      <c r="E1149" s="584" t="s">
        <v>206</v>
      </c>
      <c r="F1149" s="589" t="s">
        <v>1392</v>
      </c>
      <c r="G1149" s="805" t="s">
        <v>996</v>
      </c>
      <c r="H1149" s="589">
        <v>338</v>
      </c>
      <c r="I1149" s="583">
        <v>338</v>
      </c>
      <c r="J1149" s="589"/>
      <c r="K1149" s="637" t="s">
        <v>1071</v>
      </c>
      <c r="L1149" s="806">
        <v>6</v>
      </c>
      <c r="M1149" s="806">
        <v>42</v>
      </c>
      <c r="N1149" s="807">
        <v>41551</v>
      </c>
    </row>
    <row r="1150" spans="1:14">
      <c r="A1150" s="688" t="s">
        <v>1696</v>
      </c>
      <c r="B1150" s="583">
        <v>37</v>
      </c>
      <c r="C1150" s="243">
        <v>41543</v>
      </c>
      <c r="D1150" s="243">
        <v>41543</v>
      </c>
      <c r="E1150" s="589" t="s">
        <v>185</v>
      </c>
      <c r="F1150" s="589" t="s">
        <v>1392</v>
      </c>
      <c r="G1150" s="589" t="s">
        <v>1483</v>
      </c>
      <c r="H1150" s="589">
        <v>169</v>
      </c>
      <c r="I1150" s="583">
        <v>169</v>
      </c>
      <c r="J1150" s="589"/>
      <c r="K1150" s="589" t="s">
        <v>1071</v>
      </c>
      <c r="L1150" s="806">
        <v>2</v>
      </c>
      <c r="M1150" s="806">
        <v>8</v>
      </c>
      <c r="N1150" s="807">
        <v>41544</v>
      </c>
    </row>
    <row r="1151" spans="1:14">
      <c r="A1151" s="688" t="s">
        <v>1696</v>
      </c>
      <c r="B1151" s="583">
        <v>37</v>
      </c>
      <c r="C1151" s="243">
        <v>41543</v>
      </c>
      <c r="D1151" s="243">
        <v>41543</v>
      </c>
      <c r="E1151" s="589" t="s">
        <v>245</v>
      </c>
      <c r="F1151" s="589" t="s">
        <v>1392</v>
      </c>
      <c r="G1151" s="589" t="s">
        <v>991</v>
      </c>
      <c r="H1151" s="589">
        <v>15</v>
      </c>
      <c r="I1151" s="808" t="s">
        <v>1697</v>
      </c>
      <c r="J1151" s="589" t="s">
        <v>1419</v>
      </c>
      <c r="K1151" s="637" t="s">
        <v>1071</v>
      </c>
      <c r="L1151" s="809">
        <v>5</v>
      </c>
      <c r="M1151" s="809">
        <v>35</v>
      </c>
      <c r="N1151" s="807">
        <v>41550</v>
      </c>
    </row>
    <row r="1152" spans="1:14">
      <c r="A1152" s="688" t="s">
        <v>1696</v>
      </c>
      <c r="B1152" s="583">
        <v>37</v>
      </c>
      <c r="C1152" s="243">
        <v>41543</v>
      </c>
      <c r="D1152" s="243">
        <v>41543</v>
      </c>
      <c r="E1152" s="589" t="s">
        <v>179</v>
      </c>
      <c r="F1152" s="589" t="s">
        <v>1392</v>
      </c>
      <c r="G1152" s="805" t="s">
        <v>1000</v>
      </c>
      <c r="H1152" s="589">
        <v>6</v>
      </c>
      <c r="I1152" s="583">
        <v>6</v>
      </c>
      <c r="J1152" s="589" t="s">
        <v>1419</v>
      </c>
      <c r="K1152" s="589" t="s">
        <v>1071</v>
      </c>
      <c r="L1152" s="806">
        <v>2</v>
      </c>
      <c r="M1152" s="806">
        <v>8</v>
      </c>
      <c r="N1152" s="807">
        <v>41551</v>
      </c>
    </row>
    <row r="1153" spans="1:14">
      <c r="A1153" s="589" t="s">
        <v>1698</v>
      </c>
      <c r="B1153" s="583">
        <v>63</v>
      </c>
      <c r="C1153" s="243">
        <v>41543</v>
      </c>
      <c r="D1153" s="243">
        <v>41543</v>
      </c>
      <c r="E1153" s="584" t="s">
        <v>206</v>
      </c>
      <c r="F1153" s="589" t="s">
        <v>1392</v>
      </c>
      <c r="G1153" s="805" t="s">
        <v>996</v>
      </c>
      <c r="H1153" s="589">
        <v>925</v>
      </c>
      <c r="I1153" s="583">
        <v>925</v>
      </c>
      <c r="J1153" s="589"/>
      <c r="K1153" s="637" t="s">
        <v>1071</v>
      </c>
      <c r="L1153" s="806">
        <v>6</v>
      </c>
      <c r="M1153" s="806">
        <v>42</v>
      </c>
      <c r="N1153" s="807">
        <v>41551</v>
      </c>
    </row>
    <row r="1154" spans="1:14">
      <c r="A1154" s="804" t="s">
        <v>1698</v>
      </c>
      <c r="B1154" s="583">
        <v>63</v>
      </c>
      <c r="C1154" s="243">
        <v>41543</v>
      </c>
      <c r="D1154" s="243">
        <v>41543</v>
      </c>
      <c r="E1154" s="589" t="s">
        <v>185</v>
      </c>
      <c r="F1154" s="589" t="s">
        <v>1392</v>
      </c>
      <c r="G1154" s="589" t="s">
        <v>1483</v>
      </c>
      <c r="H1154" s="589"/>
      <c r="I1154" s="583"/>
      <c r="J1154" s="589" t="s">
        <v>1395</v>
      </c>
      <c r="K1154" s="589" t="s">
        <v>1071</v>
      </c>
      <c r="L1154" s="806">
        <v>2</v>
      </c>
      <c r="M1154" s="806">
        <v>8</v>
      </c>
      <c r="N1154" s="807">
        <v>41544</v>
      </c>
    </row>
    <row r="1155" spans="1:14">
      <c r="A1155" s="804" t="s">
        <v>1698</v>
      </c>
      <c r="B1155" s="583">
        <v>63</v>
      </c>
      <c r="C1155" s="243">
        <v>41543</v>
      </c>
      <c r="D1155" s="243">
        <v>41543</v>
      </c>
      <c r="E1155" s="589" t="s">
        <v>245</v>
      </c>
      <c r="F1155" s="589" t="s">
        <v>1392</v>
      </c>
      <c r="G1155" s="589" t="s">
        <v>991</v>
      </c>
      <c r="H1155" s="589">
        <v>32</v>
      </c>
      <c r="I1155" s="808" t="s">
        <v>1546</v>
      </c>
      <c r="J1155" s="589" t="s">
        <v>1419</v>
      </c>
      <c r="K1155" s="637" t="s">
        <v>1071</v>
      </c>
      <c r="L1155" s="809">
        <v>5</v>
      </c>
      <c r="M1155" s="809">
        <v>35</v>
      </c>
      <c r="N1155" s="807">
        <v>41550</v>
      </c>
    </row>
    <row r="1156" spans="1:14">
      <c r="A1156" s="804" t="s">
        <v>1698</v>
      </c>
      <c r="B1156" s="583">
        <v>63</v>
      </c>
      <c r="C1156" s="243">
        <v>41543</v>
      </c>
      <c r="D1156" s="243">
        <v>41543</v>
      </c>
      <c r="E1156" s="589" t="s">
        <v>179</v>
      </c>
      <c r="F1156" s="589" t="s">
        <v>1392</v>
      </c>
      <c r="G1156" s="805" t="s">
        <v>1000</v>
      </c>
      <c r="H1156" s="589">
        <v>1087</v>
      </c>
      <c r="I1156" s="583">
        <v>1087</v>
      </c>
      <c r="J1156" s="589"/>
      <c r="K1156" s="589" t="s">
        <v>1071</v>
      </c>
      <c r="L1156" s="806">
        <v>2</v>
      </c>
      <c r="M1156" s="806">
        <v>8</v>
      </c>
      <c r="N1156" s="807">
        <v>41551</v>
      </c>
    </row>
    <row r="1157" spans="1:14">
      <c r="A1157" s="804" t="s">
        <v>1698</v>
      </c>
      <c r="B1157" s="583">
        <v>63</v>
      </c>
      <c r="C1157" s="243">
        <v>41543</v>
      </c>
      <c r="D1157" s="243">
        <v>41543</v>
      </c>
      <c r="E1157" s="590" t="s">
        <v>180</v>
      </c>
      <c r="F1157" s="589" t="s">
        <v>1392</v>
      </c>
      <c r="G1157" s="805" t="s">
        <v>1000</v>
      </c>
      <c r="H1157" s="688">
        <v>22</v>
      </c>
      <c r="I1157" s="825">
        <v>22</v>
      </c>
      <c r="J1157" s="814"/>
      <c r="K1157" s="637" t="s">
        <v>1071</v>
      </c>
      <c r="L1157" s="810">
        <v>2</v>
      </c>
      <c r="M1157" s="810">
        <v>8</v>
      </c>
      <c r="N1157" s="807">
        <v>41551</v>
      </c>
    </row>
    <row r="1158" spans="1:14">
      <c r="A1158" s="804" t="s">
        <v>1698</v>
      </c>
      <c r="B1158" s="583">
        <v>63</v>
      </c>
      <c r="C1158" s="243">
        <v>41543</v>
      </c>
      <c r="D1158" s="243">
        <v>41543</v>
      </c>
      <c r="E1158" s="584" t="s">
        <v>1660</v>
      </c>
      <c r="F1158" s="589" t="s">
        <v>1392</v>
      </c>
      <c r="G1158" s="805" t="s">
        <v>998</v>
      </c>
      <c r="H1158" s="688">
        <v>29</v>
      </c>
      <c r="I1158" s="825">
        <v>29</v>
      </c>
      <c r="J1158" s="637"/>
      <c r="K1158" s="637" t="s">
        <v>1071</v>
      </c>
      <c r="L1158" s="810">
        <v>2</v>
      </c>
      <c r="M1158" s="810">
        <v>8</v>
      </c>
      <c r="N1158" s="807">
        <v>41544</v>
      </c>
    </row>
    <row r="1159" spans="1:14">
      <c r="A1159" s="804" t="s">
        <v>1699</v>
      </c>
      <c r="B1159" s="585">
        <v>65</v>
      </c>
      <c r="C1159" s="243">
        <v>41543</v>
      </c>
      <c r="D1159" s="243">
        <v>41543</v>
      </c>
      <c r="E1159" s="584" t="s">
        <v>206</v>
      </c>
      <c r="F1159" s="589" t="s">
        <v>1392</v>
      </c>
      <c r="G1159" s="805" t="s">
        <v>996</v>
      </c>
      <c r="H1159" s="589">
        <v>283</v>
      </c>
      <c r="I1159" s="583">
        <v>283</v>
      </c>
      <c r="J1159" s="589"/>
      <c r="K1159" s="637" t="s">
        <v>1071</v>
      </c>
      <c r="L1159" s="806">
        <v>6</v>
      </c>
      <c r="M1159" s="806">
        <v>42</v>
      </c>
      <c r="N1159" s="807">
        <v>41551</v>
      </c>
    </row>
    <row r="1160" spans="1:14">
      <c r="A1160" s="589" t="s">
        <v>1699</v>
      </c>
      <c r="B1160" s="585">
        <v>65</v>
      </c>
      <c r="C1160" s="243">
        <v>41543</v>
      </c>
      <c r="D1160" s="243">
        <v>41543</v>
      </c>
      <c r="E1160" s="589" t="s">
        <v>185</v>
      </c>
      <c r="F1160" s="589" t="s">
        <v>1392</v>
      </c>
      <c r="G1160" s="589" t="s">
        <v>1483</v>
      </c>
      <c r="H1160" s="589">
        <v>167</v>
      </c>
      <c r="I1160" s="583">
        <v>167</v>
      </c>
      <c r="J1160" s="589"/>
      <c r="K1160" s="589" t="s">
        <v>1071</v>
      </c>
      <c r="L1160" s="806">
        <v>2</v>
      </c>
      <c r="M1160" s="806">
        <v>8</v>
      </c>
      <c r="N1160" s="807">
        <v>41544</v>
      </c>
    </row>
    <row r="1161" spans="1:14">
      <c r="A1161" s="589" t="s">
        <v>1699</v>
      </c>
      <c r="B1161" s="585">
        <v>65</v>
      </c>
      <c r="C1161" s="243">
        <v>41543</v>
      </c>
      <c r="D1161" s="243">
        <v>41543</v>
      </c>
      <c r="E1161" s="589" t="s">
        <v>245</v>
      </c>
      <c r="F1161" s="589" t="s">
        <v>1392</v>
      </c>
      <c r="G1161" s="589" t="s">
        <v>991</v>
      </c>
      <c r="H1161" s="589">
        <v>14</v>
      </c>
      <c r="I1161" s="808" t="s">
        <v>1466</v>
      </c>
      <c r="J1161" s="589" t="s">
        <v>1419</v>
      </c>
      <c r="K1161" s="637" t="s">
        <v>1071</v>
      </c>
      <c r="L1161" s="809">
        <v>5</v>
      </c>
      <c r="M1161" s="809">
        <v>35</v>
      </c>
      <c r="N1161" s="807">
        <v>41550</v>
      </c>
    </row>
    <row r="1162" spans="1:14">
      <c r="A1162" s="589" t="s">
        <v>1699</v>
      </c>
      <c r="B1162" s="585">
        <v>65</v>
      </c>
      <c r="C1162" s="243">
        <v>41543</v>
      </c>
      <c r="D1162" s="243">
        <v>41543</v>
      </c>
      <c r="E1162" s="589" t="s">
        <v>179</v>
      </c>
      <c r="F1162" s="589" t="s">
        <v>1392</v>
      </c>
      <c r="G1162" s="805" t="s">
        <v>1000</v>
      </c>
      <c r="H1162" s="589">
        <v>8</v>
      </c>
      <c r="I1162" s="583">
        <v>8</v>
      </c>
      <c r="J1162" s="589" t="s">
        <v>1419</v>
      </c>
      <c r="K1162" s="589" t="s">
        <v>1071</v>
      </c>
      <c r="L1162" s="806">
        <v>2</v>
      </c>
      <c r="M1162" s="806">
        <v>8</v>
      </c>
      <c r="N1162" s="807">
        <v>41551</v>
      </c>
    </row>
    <row r="1163" spans="1:14">
      <c r="A1163" s="804" t="s">
        <v>1700</v>
      </c>
      <c r="B1163" s="583" t="s">
        <v>1049</v>
      </c>
      <c r="C1163" s="243">
        <v>41543</v>
      </c>
      <c r="D1163" s="243">
        <v>41543</v>
      </c>
      <c r="E1163" s="584" t="s">
        <v>206</v>
      </c>
      <c r="F1163" s="589" t="s">
        <v>1392</v>
      </c>
      <c r="G1163" s="805" t="s">
        <v>996</v>
      </c>
      <c r="H1163" s="589">
        <v>5355</v>
      </c>
      <c r="I1163" s="583">
        <v>5355</v>
      </c>
      <c r="J1163" s="589"/>
      <c r="K1163" s="637" t="s">
        <v>1071</v>
      </c>
      <c r="L1163" s="806">
        <v>6</v>
      </c>
      <c r="M1163" s="806">
        <v>42</v>
      </c>
      <c r="N1163" s="807">
        <v>41551</v>
      </c>
    </row>
    <row r="1164" spans="1:14">
      <c r="A1164" s="804" t="s">
        <v>1700</v>
      </c>
      <c r="B1164" s="583" t="s">
        <v>1049</v>
      </c>
      <c r="C1164" s="243">
        <v>41543</v>
      </c>
      <c r="D1164" s="243">
        <v>41543</v>
      </c>
      <c r="E1164" s="589" t="s">
        <v>185</v>
      </c>
      <c r="F1164" s="589" t="s">
        <v>1392</v>
      </c>
      <c r="G1164" s="589" t="s">
        <v>1483</v>
      </c>
      <c r="H1164" s="589">
        <v>3588</v>
      </c>
      <c r="I1164" s="583">
        <v>3588</v>
      </c>
      <c r="J1164" s="589"/>
      <c r="K1164" s="589" t="s">
        <v>1071</v>
      </c>
      <c r="L1164" s="806">
        <v>2</v>
      </c>
      <c r="M1164" s="806">
        <v>8</v>
      </c>
      <c r="N1164" s="807">
        <v>41544</v>
      </c>
    </row>
    <row r="1165" spans="1:14">
      <c r="A1165" s="804" t="s">
        <v>1700</v>
      </c>
      <c r="B1165" s="583" t="s">
        <v>1049</v>
      </c>
      <c r="C1165" s="243">
        <v>41543</v>
      </c>
      <c r="D1165" s="243">
        <v>41543</v>
      </c>
      <c r="E1165" s="589" t="s">
        <v>245</v>
      </c>
      <c r="F1165" s="589" t="s">
        <v>1392</v>
      </c>
      <c r="G1165" s="589" t="s">
        <v>991</v>
      </c>
      <c r="H1165" s="589">
        <v>217</v>
      </c>
      <c r="I1165" s="808" t="s">
        <v>1701</v>
      </c>
      <c r="J1165" s="688"/>
      <c r="K1165" s="637" t="s">
        <v>1071</v>
      </c>
      <c r="L1165" s="809">
        <v>5</v>
      </c>
      <c r="M1165" s="809">
        <v>35</v>
      </c>
      <c r="N1165" s="807">
        <v>41550</v>
      </c>
    </row>
    <row r="1166" spans="1:14">
      <c r="A1166" s="804" t="s">
        <v>1700</v>
      </c>
      <c r="B1166" s="583" t="s">
        <v>1049</v>
      </c>
      <c r="C1166" s="243">
        <v>41543</v>
      </c>
      <c r="D1166" s="243">
        <v>41543</v>
      </c>
      <c r="E1166" s="589" t="s">
        <v>179</v>
      </c>
      <c r="F1166" s="589" t="s">
        <v>1392</v>
      </c>
      <c r="G1166" s="805" t="s">
        <v>1000</v>
      </c>
      <c r="H1166" s="589">
        <v>67</v>
      </c>
      <c r="I1166" s="583">
        <v>67</v>
      </c>
      <c r="J1166" s="589"/>
      <c r="K1166" s="589" t="s">
        <v>1071</v>
      </c>
      <c r="L1166" s="806">
        <v>2</v>
      </c>
      <c r="M1166" s="806">
        <v>8</v>
      </c>
      <c r="N1166" s="807">
        <v>41551</v>
      </c>
    </row>
    <row r="1167" spans="1:14">
      <c r="A1167" s="804" t="s">
        <v>1702</v>
      </c>
      <c r="B1167" s="583" t="s">
        <v>1074</v>
      </c>
      <c r="C1167" s="243">
        <v>41543</v>
      </c>
      <c r="D1167" s="243">
        <v>41543</v>
      </c>
      <c r="E1167" s="584" t="s">
        <v>206</v>
      </c>
      <c r="F1167" s="589" t="s">
        <v>1392</v>
      </c>
      <c r="G1167" s="805" t="s">
        <v>996</v>
      </c>
      <c r="H1167" s="589">
        <v>5288</v>
      </c>
      <c r="I1167" s="583">
        <v>5288</v>
      </c>
      <c r="J1167" s="589"/>
      <c r="K1167" s="637" t="s">
        <v>1071</v>
      </c>
      <c r="L1167" s="806">
        <v>6</v>
      </c>
      <c r="M1167" s="806">
        <v>42</v>
      </c>
      <c r="N1167" s="807">
        <v>41551</v>
      </c>
    </row>
    <row r="1168" spans="1:14">
      <c r="A1168" s="804" t="s">
        <v>1702</v>
      </c>
      <c r="B1168" s="583" t="s">
        <v>1074</v>
      </c>
      <c r="C1168" s="243">
        <v>41543</v>
      </c>
      <c r="D1168" s="243">
        <v>41543</v>
      </c>
      <c r="E1168" s="589" t="s">
        <v>185</v>
      </c>
      <c r="F1168" s="589" t="s">
        <v>1392</v>
      </c>
      <c r="G1168" s="589" t="s">
        <v>1483</v>
      </c>
      <c r="H1168" s="589">
        <v>2770</v>
      </c>
      <c r="I1168" s="583">
        <v>2770</v>
      </c>
      <c r="J1168" s="589"/>
      <c r="K1168" s="589" t="s">
        <v>1071</v>
      </c>
      <c r="L1168" s="806">
        <v>2</v>
      </c>
      <c r="M1168" s="806">
        <v>8</v>
      </c>
      <c r="N1168" s="807">
        <v>41544</v>
      </c>
    </row>
    <row r="1169" spans="1:14">
      <c r="A1169" s="804" t="s">
        <v>1702</v>
      </c>
      <c r="B1169" s="583" t="s">
        <v>1074</v>
      </c>
      <c r="C1169" s="243">
        <v>41543</v>
      </c>
      <c r="D1169" s="243">
        <v>41543</v>
      </c>
      <c r="E1169" s="589" t="s">
        <v>245</v>
      </c>
      <c r="F1169" s="589" t="s">
        <v>1392</v>
      </c>
      <c r="G1169" s="589" t="s">
        <v>991</v>
      </c>
      <c r="H1169" s="589">
        <v>745</v>
      </c>
      <c r="I1169" s="808" t="s">
        <v>1703</v>
      </c>
      <c r="J1169" s="589"/>
      <c r="K1169" s="637" t="s">
        <v>1071</v>
      </c>
      <c r="L1169" s="809">
        <v>5</v>
      </c>
      <c r="M1169" s="809">
        <v>35</v>
      </c>
      <c r="N1169" s="807">
        <v>41550</v>
      </c>
    </row>
    <row r="1170" spans="1:14">
      <c r="A1170" s="804" t="s">
        <v>1702</v>
      </c>
      <c r="B1170" s="583" t="s">
        <v>1074</v>
      </c>
      <c r="C1170" s="243">
        <v>41543</v>
      </c>
      <c r="D1170" s="243">
        <v>41543</v>
      </c>
      <c r="E1170" s="589" t="s">
        <v>179</v>
      </c>
      <c r="F1170" s="589" t="s">
        <v>1392</v>
      </c>
      <c r="G1170" s="805" t="s">
        <v>1000</v>
      </c>
      <c r="H1170" s="589">
        <v>116</v>
      </c>
      <c r="I1170" s="583">
        <v>116</v>
      </c>
      <c r="J1170" s="589"/>
      <c r="K1170" s="589" t="s">
        <v>1071</v>
      </c>
      <c r="L1170" s="806">
        <v>2</v>
      </c>
      <c r="M1170" s="806">
        <v>8</v>
      </c>
      <c r="N1170" s="807">
        <v>41551</v>
      </c>
    </row>
    <row r="1171" spans="1:14">
      <c r="A1171" s="589" t="s">
        <v>1704</v>
      </c>
      <c r="B1171" s="583" t="s">
        <v>1075</v>
      </c>
      <c r="C1171" s="243">
        <v>41543</v>
      </c>
      <c r="D1171" s="243">
        <v>41543</v>
      </c>
      <c r="E1171" s="584" t="s">
        <v>206</v>
      </c>
      <c r="F1171" s="589" t="s">
        <v>1392</v>
      </c>
      <c r="G1171" s="805" t="s">
        <v>996</v>
      </c>
      <c r="H1171" s="589">
        <v>11867</v>
      </c>
      <c r="I1171" s="583">
        <v>11867</v>
      </c>
      <c r="J1171" s="589"/>
      <c r="K1171" s="637" t="s">
        <v>1071</v>
      </c>
      <c r="L1171" s="806">
        <v>6</v>
      </c>
      <c r="M1171" s="806">
        <v>42</v>
      </c>
      <c r="N1171" s="807">
        <v>41551</v>
      </c>
    </row>
    <row r="1172" spans="1:14">
      <c r="A1172" s="589" t="s">
        <v>1704</v>
      </c>
      <c r="B1172" s="583" t="s">
        <v>1075</v>
      </c>
      <c r="C1172" s="243">
        <v>41543</v>
      </c>
      <c r="D1172" s="243">
        <v>41543</v>
      </c>
      <c r="E1172" s="589" t="s">
        <v>185</v>
      </c>
      <c r="F1172" s="589" t="s">
        <v>1392</v>
      </c>
      <c r="G1172" s="589" t="s">
        <v>1483</v>
      </c>
      <c r="H1172" s="589">
        <v>7568</v>
      </c>
      <c r="I1172" s="583">
        <v>7568</v>
      </c>
      <c r="J1172" s="589"/>
      <c r="K1172" s="589" t="s">
        <v>1071</v>
      </c>
      <c r="L1172" s="806">
        <v>2</v>
      </c>
      <c r="M1172" s="806">
        <v>8</v>
      </c>
      <c r="N1172" s="807">
        <v>41544</v>
      </c>
    </row>
    <row r="1173" spans="1:14">
      <c r="A1173" s="589" t="s">
        <v>1704</v>
      </c>
      <c r="B1173" s="583" t="s">
        <v>1075</v>
      </c>
      <c r="C1173" s="243">
        <v>41543</v>
      </c>
      <c r="D1173" s="243">
        <v>41543</v>
      </c>
      <c r="E1173" s="589" t="s">
        <v>245</v>
      </c>
      <c r="F1173" s="589" t="s">
        <v>1392</v>
      </c>
      <c r="G1173" s="589" t="s">
        <v>991</v>
      </c>
      <c r="H1173" s="589">
        <v>995</v>
      </c>
      <c r="I1173" s="808" t="s">
        <v>1705</v>
      </c>
      <c r="J1173" s="589"/>
      <c r="K1173" s="637" t="s">
        <v>1071</v>
      </c>
      <c r="L1173" s="809">
        <v>5</v>
      </c>
      <c r="M1173" s="809">
        <v>35</v>
      </c>
      <c r="N1173" s="807">
        <v>41550</v>
      </c>
    </row>
    <row r="1174" spans="1:14">
      <c r="A1174" s="589" t="s">
        <v>1704</v>
      </c>
      <c r="B1174" s="583" t="s">
        <v>1075</v>
      </c>
      <c r="C1174" s="243">
        <v>41543</v>
      </c>
      <c r="D1174" s="243">
        <v>41543</v>
      </c>
      <c r="E1174" s="589" t="s">
        <v>179</v>
      </c>
      <c r="F1174" s="589" t="s">
        <v>1392</v>
      </c>
      <c r="G1174" s="805" t="s">
        <v>1000</v>
      </c>
      <c r="H1174" s="589">
        <v>340</v>
      </c>
      <c r="I1174" s="583">
        <v>340</v>
      </c>
      <c r="J1174" s="589"/>
      <c r="K1174" s="589" t="s">
        <v>1071</v>
      </c>
      <c r="L1174" s="806">
        <v>2</v>
      </c>
      <c r="M1174" s="806">
        <v>8</v>
      </c>
      <c r="N1174" s="807">
        <v>41551</v>
      </c>
    </row>
    <row r="1175" spans="1:14">
      <c r="A1175" s="804" t="s">
        <v>1706</v>
      </c>
      <c r="B1175" s="585" t="s">
        <v>404</v>
      </c>
      <c r="C1175" s="243">
        <v>41543</v>
      </c>
      <c r="D1175" s="243">
        <v>41543</v>
      </c>
      <c r="E1175" s="584" t="s">
        <v>206</v>
      </c>
      <c r="F1175" s="589" t="s">
        <v>1392</v>
      </c>
      <c r="G1175" s="805" t="s">
        <v>996</v>
      </c>
      <c r="H1175" s="589">
        <v>13758</v>
      </c>
      <c r="I1175" s="583">
        <v>13758</v>
      </c>
      <c r="J1175" s="589"/>
      <c r="K1175" s="637" t="s">
        <v>1071</v>
      </c>
      <c r="L1175" s="806">
        <v>6</v>
      </c>
      <c r="M1175" s="806">
        <v>42</v>
      </c>
      <c r="N1175" s="807">
        <v>41551</v>
      </c>
    </row>
    <row r="1176" spans="1:14">
      <c r="A1176" s="804" t="s">
        <v>1706</v>
      </c>
      <c r="B1176" s="585" t="s">
        <v>404</v>
      </c>
      <c r="C1176" s="243">
        <v>41543</v>
      </c>
      <c r="D1176" s="243">
        <v>41543</v>
      </c>
      <c r="E1176" s="589" t="s">
        <v>185</v>
      </c>
      <c r="F1176" s="589" t="s">
        <v>1392</v>
      </c>
      <c r="G1176" s="589" t="s">
        <v>1483</v>
      </c>
      <c r="H1176" s="589">
        <v>6616</v>
      </c>
      <c r="I1176" s="583">
        <v>6616</v>
      </c>
      <c r="J1176" s="589"/>
      <c r="K1176" s="589" t="s">
        <v>1071</v>
      </c>
      <c r="L1176" s="806">
        <v>2</v>
      </c>
      <c r="M1176" s="806">
        <v>8</v>
      </c>
      <c r="N1176" s="807">
        <v>41544</v>
      </c>
    </row>
    <row r="1177" spans="1:14">
      <c r="A1177" s="804" t="s">
        <v>1706</v>
      </c>
      <c r="B1177" s="585" t="s">
        <v>404</v>
      </c>
      <c r="C1177" s="243">
        <v>41543</v>
      </c>
      <c r="D1177" s="243">
        <v>41543</v>
      </c>
      <c r="E1177" s="589" t="s">
        <v>245</v>
      </c>
      <c r="F1177" s="589" t="s">
        <v>1392</v>
      </c>
      <c r="G1177" s="589" t="s">
        <v>991</v>
      </c>
      <c r="H1177" s="589">
        <v>50</v>
      </c>
      <c r="I1177" s="808" t="s">
        <v>1511</v>
      </c>
      <c r="J1177" s="589"/>
      <c r="K1177" s="637" t="s">
        <v>1071</v>
      </c>
      <c r="L1177" s="809">
        <v>5</v>
      </c>
      <c r="M1177" s="809">
        <v>35</v>
      </c>
      <c r="N1177" s="807">
        <v>41550</v>
      </c>
    </row>
    <row r="1178" spans="1:14">
      <c r="A1178" s="804" t="s">
        <v>1706</v>
      </c>
      <c r="B1178" s="585" t="s">
        <v>404</v>
      </c>
      <c r="C1178" s="243">
        <v>41543</v>
      </c>
      <c r="D1178" s="243">
        <v>41543</v>
      </c>
      <c r="E1178" s="589" t="s">
        <v>179</v>
      </c>
      <c r="F1178" s="589" t="s">
        <v>1392</v>
      </c>
      <c r="G1178" s="805" t="s">
        <v>1000</v>
      </c>
      <c r="H1178" s="589">
        <v>218</v>
      </c>
      <c r="I1178" s="583">
        <v>218</v>
      </c>
      <c r="J1178" s="589"/>
      <c r="K1178" s="589" t="s">
        <v>1071</v>
      </c>
      <c r="L1178" s="806">
        <v>2</v>
      </c>
      <c r="M1178" s="806">
        <v>8</v>
      </c>
      <c r="N1178" s="807">
        <v>41551</v>
      </c>
    </row>
    <row r="1179" spans="1:14">
      <c r="A1179" s="804" t="s">
        <v>1707</v>
      </c>
      <c r="B1179" s="583" t="s">
        <v>1076</v>
      </c>
      <c r="C1179" s="243">
        <v>41543</v>
      </c>
      <c r="D1179" s="243">
        <v>41543</v>
      </c>
      <c r="E1179" s="584" t="s">
        <v>206</v>
      </c>
      <c r="F1179" s="589" t="s">
        <v>1392</v>
      </c>
      <c r="G1179" s="805" t="s">
        <v>996</v>
      </c>
      <c r="H1179" s="589">
        <v>25009</v>
      </c>
      <c r="I1179" s="583">
        <v>25009</v>
      </c>
      <c r="J1179" s="589"/>
      <c r="K1179" s="637" t="s">
        <v>1071</v>
      </c>
      <c r="L1179" s="806">
        <v>6</v>
      </c>
      <c r="M1179" s="806">
        <v>42</v>
      </c>
      <c r="N1179" s="807">
        <v>41551</v>
      </c>
    </row>
    <row r="1180" spans="1:14">
      <c r="A1180" s="804" t="s">
        <v>1707</v>
      </c>
      <c r="B1180" s="583" t="s">
        <v>1076</v>
      </c>
      <c r="C1180" s="243">
        <v>41543</v>
      </c>
      <c r="D1180" s="243">
        <v>41543</v>
      </c>
      <c r="E1180" s="589" t="s">
        <v>185</v>
      </c>
      <c r="F1180" s="589" t="s">
        <v>1392</v>
      </c>
      <c r="G1180" s="589" t="s">
        <v>1483</v>
      </c>
      <c r="H1180" s="589">
        <v>16539</v>
      </c>
      <c r="I1180" s="583">
        <v>16539</v>
      </c>
      <c r="J1180" s="589"/>
      <c r="K1180" s="589" t="s">
        <v>1071</v>
      </c>
      <c r="L1180" s="806">
        <v>2</v>
      </c>
      <c r="M1180" s="806">
        <v>8</v>
      </c>
      <c r="N1180" s="807">
        <v>41544</v>
      </c>
    </row>
    <row r="1181" spans="1:14">
      <c r="A1181" s="804" t="s">
        <v>1707</v>
      </c>
      <c r="B1181" s="583" t="s">
        <v>1076</v>
      </c>
      <c r="C1181" s="243">
        <v>41543</v>
      </c>
      <c r="D1181" s="243">
        <v>41543</v>
      </c>
      <c r="E1181" s="589" t="s">
        <v>245</v>
      </c>
      <c r="F1181" s="589" t="s">
        <v>1392</v>
      </c>
      <c r="G1181" s="589" t="s">
        <v>991</v>
      </c>
      <c r="H1181" s="589">
        <v>168</v>
      </c>
      <c r="I1181" s="808" t="s">
        <v>1708</v>
      </c>
      <c r="J1181" s="589"/>
      <c r="K1181" s="637" t="s">
        <v>1071</v>
      </c>
      <c r="L1181" s="809">
        <v>5</v>
      </c>
      <c r="M1181" s="809">
        <v>35</v>
      </c>
      <c r="N1181" s="807">
        <v>41550</v>
      </c>
    </row>
    <row r="1182" spans="1:14">
      <c r="A1182" s="804" t="s">
        <v>1707</v>
      </c>
      <c r="B1182" s="583" t="s">
        <v>1076</v>
      </c>
      <c r="C1182" s="243">
        <v>41543</v>
      </c>
      <c r="D1182" s="243">
        <v>41543</v>
      </c>
      <c r="E1182" s="589" t="s">
        <v>179</v>
      </c>
      <c r="F1182" s="589" t="s">
        <v>1392</v>
      </c>
      <c r="G1182" s="805" t="s">
        <v>1000</v>
      </c>
      <c r="H1182" s="589">
        <v>405</v>
      </c>
      <c r="I1182" s="583">
        <v>405</v>
      </c>
      <c r="J1182" s="589"/>
      <c r="K1182" s="589" t="s">
        <v>1071</v>
      </c>
      <c r="L1182" s="806">
        <v>2</v>
      </c>
      <c r="M1182" s="806">
        <v>8</v>
      </c>
      <c r="N1182" s="807">
        <v>41551</v>
      </c>
    </row>
    <row r="1183" spans="1:14">
      <c r="A1183" s="589" t="s">
        <v>1709</v>
      </c>
      <c r="B1183" s="583" t="s">
        <v>1508</v>
      </c>
      <c r="C1183" s="243">
        <v>41543</v>
      </c>
      <c r="D1183" s="243">
        <v>41543</v>
      </c>
      <c r="E1183" s="584" t="s">
        <v>206</v>
      </c>
      <c r="F1183" s="589" t="s">
        <v>1392</v>
      </c>
      <c r="G1183" s="805" t="s">
        <v>996</v>
      </c>
      <c r="H1183" s="589">
        <v>2117</v>
      </c>
      <c r="I1183" s="583">
        <v>2117</v>
      </c>
      <c r="J1183" s="589"/>
      <c r="K1183" s="637" t="s">
        <v>1071</v>
      </c>
      <c r="L1183" s="806">
        <v>6</v>
      </c>
      <c r="M1183" s="806">
        <v>42</v>
      </c>
      <c r="N1183" s="807">
        <v>41551</v>
      </c>
    </row>
    <row r="1184" spans="1:14">
      <c r="A1184" s="589" t="s">
        <v>1709</v>
      </c>
      <c r="B1184" s="583" t="s">
        <v>1508</v>
      </c>
      <c r="C1184" s="243">
        <v>41543</v>
      </c>
      <c r="D1184" s="243">
        <v>41543</v>
      </c>
      <c r="E1184" s="589" t="s">
        <v>185</v>
      </c>
      <c r="F1184" s="589" t="s">
        <v>1392</v>
      </c>
      <c r="G1184" s="589" t="s">
        <v>1483</v>
      </c>
      <c r="H1184" s="589">
        <v>1093</v>
      </c>
      <c r="I1184" s="583">
        <v>1093</v>
      </c>
      <c r="J1184" s="589"/>
      <c r="K1184" s="589" t="s">
        <v>1071</v>
      </c>
      <c r="L1184" s="806">
        <v>2</v>
      </c>
      <c r="M1184" s="806">
        <v>8</v>
      </c>
      <c r="N1184" s="807">
        <v>41544</v>
      </c>
    </row>
    <row r="1185" spans="1:14">
      <c r="A1185" s="589" t="s">
        <v>1709</v>
      </c>
      <c r="B1185" s="583" t="s">
        <v>1508</v>
      </c>
      <c r="C1185" s="243">
        <v>41543</v>
      </c>
      <c r="D1185" s="243">
        <v>41543</v>
      </c>
      <c r="E1185" s="589" t="s">
        <v>245</v>
      </c>
      <c r="F1185" s="589" t="s">
        <v>1392</v>
      </c>
      <c r="G1185" s="589" t="s">
        <v>991</v>
      </c>
      <c r="H1185" s="589">
        <v>114</v>
      </c>
      <c r="I1185" s="808" t="s">
        <v>1710</v>
      </c>
      <c r="J1185" s="589"/>
      <c r="K1185" s="637" t="s">
        <v>1071</v>
      </c>
      <c r="L1185" s="809">
        <v>5</v>
      </c>
      <c r="M1185" s="809">
        <v>35</v>
      </c>
      <c r="N1185" s="807">
        <v>41550</v>
      </c>
    </row>
    <row r="1186" spans="1:14">
      <c r="A1186" s="589" t="s">
        <v>1709</v>
      </c>
      <c r="B1186" s="583" t="s">
        <v>1508</v>
      </c>
      <c r="C1186" s="243">
        <v>41543</v>
      </c>
      <c r="D1186" s="243">
        <v>41543</v>
      </c>
      <c r="E1186" s="589" t="s">
        <v>179</v>
      </c>
      <c r="F1186" s="589" t="s">
        <v>1392</v>
      </c>
      <c r="G1186" s="805" t="s">
        <v>1000</v>
      </c>
      <c r="H1186" s="589">
        <v>44</v>
      </c>
      <c r="I1186" s="583">
        <v>44</v>
      </c>
      <c r="J1186" s="589"/>
      <c r="K1186" s="589" t="s">
        <v>1071</v>
      </c>
      <c r="L1186" s="806">
        <v>2</v>
      </c>
      <c r="M1186" s="806">
        <v>8</v>
      </c>
      <c r="N1186" s="807">
        <v>41551</v>
      </c>
    </row>
    <row r="1188" spans="1:14">
      <c r="A1188" s="804" t="s">
        <v>1711</v>
      </c>
      <c r="B1188" s="585" t="s">
        <v>1098</v>
      </c>
      <c r="C1188" s="243">
        <v>41558</v>
      </c>
      <c r="D1188" s="243">
        <v>41558</v>
      </c>
      <c r="E1188" s="584" t="s">
        <v>206</v>
      </c>
      <c r="F1188" s="589" t="s">
        <v>1392</v>
      </c>
      <c r="G1188" s="805" t="s">
        <v>996</v>
      </c>
      <c r="H1188" s="589">
        <v>715</v>
      </c>
      <c r="I1188" s="583">
        <v>715</v>
      </c>
      <c r="J1188" s="589"/>
      <c r="K1188" s="637" t="s">
        <v>1071</v>
      </c>
      <c r="L1188" s="806">
        <v>6</v>
      </c>
      <c r="M1188" s="806">
        <v>42</v>
      </c>
      <c r="N1188" s="807">
        <v>41565</v>
      </c>
    </row>
    <row r="1189" spans="1:14">
      <c r="A1189" s="804" t="s">
        <v>1711</v>
      </c>
      <c r="B1189" s="585" t="s">
        <v>1098</v>
      </c>
      <c r="C1189" s="243">
        <v>41558</v>
      </c>
      <c r="D1189" s="243">
        <v>41558</v>
      </c>
      <c r="E1189" s="589" t="s">
        <v>185</v>
      </c>
      <c r="F1189" s="589" t="s">
        <v>1392</v>
      </c>
      <c r="G1189" s="589" t="s">
        <v>1483</v>
      </c>
      <c r="H1189" s="589">
        <v>173</v>
      </c>
      <c r="I1189" s="583">
        <v>173</v>
      </c>
      <c r="J1189" s="589"/>
      <c r="K1189" s="589" t="s">
        <v>1071</v>
      </c>
      <c r="L1189" s="806">
        <v>2</v>
      </c>
      <c r="M1189" s="806">
        <v>8</v>
      </c>
      <c r="N1189" s="807">
        <v>41564</v>
      </c>
    </row>
    <row r="1190" spans="1:14">
      <c r="A1190" s="804" t="s">
        <v>1711</v>
      </c>
      <c r="B1190" s="585" t="s">
        <v>1098</v>
      </c>
      <c r="C1190" s="243">
        <v>41558</v>
      </c>
      <c r="D1190" s="243">
        <v>41558</v>
      </c>
      <c r="E1190" s="589" t="s">
        <v>245</v>
      </c>
      <c r="F1190" s="589" t="s">
        <v>1392</v>
      </c>
      <c r="G1190" s="589" t="s">
        <v>991</v>
      </c>
      <c r="H1190" s="589">
        <v>34</v>
      </c>
      <c r="I1190" s="808" t="s">
        <v>1521</v>
      </c>
      <c r="J1190" s="589"/>
      <c r="K1190" s="637" t="s">
        <v>1071</v>
      </c>
      <c r="L1190" s="809">
        <v>5</v>
      </c>
      <c r="M1190" s="809">
        <v>35</v>
      </c>
      <c r="N1190" s="807">
        <v>41575</v>
      </c>
    </row>
    <row r="1191" spans="1:14">
      <c r="A1191" s="804" t="s">
        <v>1711</v>
      </c>
      <c r="B1191" s="585" t="s">
        <v>1098</v>
      </c>
      <c r="C1191" s="243">
        <v>41558</v>
      </c>
      <c r="D1191" s="243">
        <v>41558</v>
      </c>
      <c r="E1191" s="589" t="s">
        <v>179</v>
      </c>
      <c r="F1191" s="589" t="s">
        <v>1392</v>
      </c>
      <c r="G1191" s="805" t="s">
        <v>1000</v>
      </c>
      <c r="H1191" s="589">
        <v>53</v>
      </c>
      <c r="I1191" s="583">
        <v>53</v>
      </c>
      <c r="J1191" s="589"/>
      <c r="K1191" s="589" t="s">
        <v>1071</v>
      </c>
      <c r="L1191" s="806">
        <v>2</v>
      </c>
      <c r="M1191" s="806">
        <v>8</v>
      </c>
      <c r="N1191" s="807">
        <v>41565</v>
      </c>
    </row>
    <row r="1192" spans="1:14">
      <c r="A1192" s="804" t="s">
        <v>1711</v>
      </c>
      <c r="B1192" s="585" t="s">
        <v>1098</v>
      </c>
      <c r="C1192" s="243">
        <v>41558</v>
      </c>
      <c r="D1192" s="243">
        <v>41558</v>
      </c>
      <c r="E1192" s="590" t="s">
        <v>180</v>
      </c>
      <c r="F1192" s="589" t="s">
        <v>1392</v>
      </c>
      <c r="G1192" s="805" t="s">
        <v>1000</v>
      </c>
      <c r="H1192" s="591">
        <v>26</v>
      </c>
      <c r="I1192" s="590">
        <v>26</v>
      </c>
      <c r="J1192" s="637"/>
      <c r="K1192" s="589" t="s">
        <v>1071</v>
      </c>
      <c r="L1192" s="810">
        <v>2</v>
      </c>
      <c r="M1192" s="810">
        <v>8</v>
      </c>
      <c r="N1192" s="807">
        <v>41565</v>
      </c>
    </row>
    <row r="1193" spans="1:14">
      <c r="A1193" s="804" t="s">
        <v>1711</v>
      </c>
      <c r="B1193" s="585" t="s">
        <v>1098</v>
      </c>
      <c r="C1193" s="243">
        <v>41558</v>
      </c>
      <c r="D1193" s="243">
        <v>41558</v>
      </c>
      <c r="E1193" s="589" t="s">
        <v>184</v>
      </c>
      <c r="F1193" s="589" t="s">
        <v>1392</v>
      </c>
      <c r="G1193" s="589" t="s">
        <v>1471</v>
      </c>
      <c r="H1193" s="592">
        <v>10.199999999999999</v>
      </c>
      <c r="I1193" s="811">
        <v>10.199999999999999</v>
      </c>
      <c r="J1193" s="589"/>
      <c r="K1193" s="589" t="s">
        <v>1096</v>
      </c>
      <c r="L1193" s="806">
        <v>4</v>
      </c>
      <c r="M1193" s="806"/>
      <c r="N1193" s="807">
        <v>41561</v>
      </c>
    </row>
    <row r="1194" spans="1:14">
      <c r="A1194" s="804" t="s">
        <v>1711</v>
      </c>
      <c r="B1194" s="585" t="s">
        <v>1098</v>
      </c>
      <c r="C1194" s="243">
        <v>41558</v>
      </c>
      <c r="D1194" s="243">
        <v>41558</v>
      </c>
      <c r="E1194" s="584" t="s">
        <v>181</v>
      </c>
      <c r="F1194" s="804" t="s">
        <v>1392</v>
      </c>
      <c r="G1194" s="812" t="s">
        <v>1402</v>
      </c>
      <c r="H1194" s="332">
        <v>12.4</v>
      </c>
      <c r="I1194" s="813">
        <v>12.4</v>
      </c>
      <c r="J1194" s="814"/>
      <c r="K1194" s="589" t="s">
        <v>1071</v>
      </c>
      <c r="L1194" s="810">
        <v>0.1</v>
      </c>
      <c r="M1194" s="810"/>
      <c r="N1194" s="807">
        <v>41561</v>
      </c>
    </row>
    <row r="1195" spans="1:14">
      <c r="A1195" s="804" t="s">
        <v>1711</v>
      </c>
      <c r="B1195" s="585" t="s">
        <v>1098</v>
      </c>
      <c r="C1195" s="243">
        <v>41558</v>
      </c>
      <c r="D1195" s="243">
        <v>41558</v>
      </c>
      <c r="E1195" s="584" t="s">
        <v>181</v>
      </c>
      <c r="F1195" s="804" t="s">
        <v>1392</v>
      </c>
      <c r="G1195" s="812" t="s">
        <v>1402</v>
      </c>
      <c r="H1195" s="332">
        <v>12.1</v>
      </c>
      <c r="I1195" s="813">
        <v>12.1</v>
      </c>
      <c r="J1195" s="814"/>
      <c r="K1195" s="589" t="s">
        <v>1071</v>
      </c>
      <c r="L1195" s="810">
        <v>0.1</v>
      </c>
      <c r="M1195" s="810"/>
      <c r="N1195" s="807">
        <v>41561</v>
      </c>
    </row>
    <row r="1196" spans="1:14">
      <c r="A1196" s="804" t="s">
        <v>1712</v>
      </c>
      <c r="B1196" s="585" t="s">
        <v>1099</v>
      </c>
      <c r="C1196" s="243">
        <v>41558</v>
      </c>
      <c r="D1196" s="243">
        <v>41558</v>
      </c>
      <c r="E1196" s="584" t="s">
        <v>206</v>
      </c>
      <c r="F1196" s="589" t="s">
        <v>1392</v>
      </c>
      <c r="G1196" s="805" t="s">
        <v>996</v>
      </c>
      <c r="H1196" s="589">
        <v>757</v>
      </c>
      <c r="I1196" s="583">
        <v>757</v>
      </c>
      <c r="J1196" s="589"/>
      <c r="K1196" s="637" t="s">
        <v>1071</v>
      </c>
      <c r="L1196" s="806">
        <v>6</v>
      </c>
      <c r="M1196" s="806">
        <v>42</v>
      </c>
      <c r="N1196" s="807">
        <v>41565</v>
      </c>
    </row>
    <row r="1197" spans="1:14">
      <c r="A1197" s="804" t="s">
        <v>1712</v>
      </c>
      <c r="B1197" s="585" t="s">
        <v>1099</v>
      </c>
      <c r="C1197" s="243">
        <v>41558</v>
      </c>
      <c r="D1197" s="243">
        <v>41558</v>
      </c>
      <c r="E1197" s="589" t="s">
        <v>185</v>
      </c>
      <c r="F1197" s="589" t="s">
        <v>1392</v>
      </c>
      <c r="G1197" s="589" t="s">
        <v>1483</v>
      </c>
      <c r="H1197" s="589">
        <v>169</v>
      </c>
      <c r="I1197" s="583">
        <v>169</v>
      </c>
      <c r="J1197" s="589"/>
      <c r="K1197" s="589" t="s">
        <v>1071</v>
      </c>
      <c r="L1197" s="806">
        <v>2</v>
      </c>
      <c r="M1197" s="806">
        <v>8</v>
      </c>
      <c r="N1197" s="807">
        <v>41564</v>
      </c>
    </row>
    <row r="1198" spans="1:14">
      <c r="A1198" s="804" t="s">
        <v>1712</v>
      </c>
      <c r="B1198" s="585" t="s">
        <v>1099</v>
      </c>
      <c r="C1198" s="243">
        <v>41558</v>
      </c>
      <c r="D1198" s="243">
        <v>41558</v>
      </c>
      <c r="E1198" s="589" t="s">
        <v>245</v>
      </c>
      <c r="F1198" s="589" t="s">
        <v>1392</v>
      </c>
      <c r="G1198" s="589" t="s">
        <v>991</v>
      </c>
      <c r="H1198" s="589">
        <v>42</v>
      </c>
      <c r="I1198" s="808" t="s">
        <v>1606</v>
      </c>
      <c r="J1198" s="589"/>
      <c r="K1198" s="637" t="s">
        <v>1071</v>
      </c>
      <c r="L1198" s="809">
        <v>5</v>
      </c>
      <c r="M1198" s="809">
        <v>35</v>
      </c>
      <c r="N1198" s="807">
        <v>41575</v>
      </c>
    </row>
    <row r="1199" spans="1:14">
      <c r="A1199" s="804" t="s">
        <v>1712</v>
      </c>
      <c r="B1199" s="585" t="s">
        <v>1099</v>
      </c>
      <c r="C1199" s="243">
        <v>41558</v>
      </c>
      <c r="D1199" s="243">
        <v>41558</v>
      </c>
      <c r="E1199" s="589" t="s">
        <v>179</v>
      </c>
      <c r="F1199" s="589" t="s">
        <v>1392</v>
      </c>
      <c r="G1199" s="805" t="s">
        <v>1000</v>
      </c>
      <c r="H1199" s="589">
        <v>132</v>
      </c>
      <c r="I1199" s="583">
        <v>132</v>
      </c>
      <c r="J1199" s="589"/>
      <c r="K1199" s="589" t="s">
        <v>1071</v>
      </c>
      <c r="L1199" s="806">
        <v>2</v>
      </c>
      <c r="M1199" s="806">
        <v>8</v>
      </c>
      <c r="N1199" s="807">
        <v>41565</v>
      </c>
    </row>
    <row r="1200" spans="1:14">
      <c r="A1200" s="804" t="s">
        <v>1712</v>
      </c>
      <c r="B1200" s="585" t="s">
        <v>1099</v>
      </c>
      <c r="C1200" s="243">
        <v>41558</v>
      </c>
      <c r="D1200" s="243">
        <v>41558</v>
      </c>
      <c r="E1200" s="590" t="s">
        <v>180</v>
      </c>
      <c r="F1200" s="589" t="s">
        <v>1392</v>
      </c>
      <c r="G1200" s="805" t="s">
        <v>1000</v>
      </c>
      <c r="H1200" s="591">
        <v>16</v>
      </c>
      <c r="I1200" s="590">
        <v>16</v>
      </c>
      <c r="J1200" s="637"/>
      <c r="K1200" s="589" t="s">
        <v>1071</v>
      </c>
      <c r="L1200" s="810">
        <v>2</v>
      </c>
      <c r="M1200" s="810">
        <v>8</v>
      </c>
      <c r="N1200" s="807">
        <v>41565</v>
      </c>
    </row>
    <row r="1201" spans="1:14">
      <c r="A1201" s="804" t="s">
        <v>1712</v>
      </c>
      <c r="B1201" s="585" t="s">
        <v>1099</v>
      </c>
      <c r="C1201" s="243">
        <v>41558</v>
      </c>
      <c r="D1201" s="243">
        <v>41558</v>
      </c>
      <c r="E1201" s="589" t="s">
        <v>184</v>
      </c>
      <c r="F1201" s="589" t="s">
        <v>1392</v>
      </c>
      <c r="G1201" s="589" t="s">
        <v>1471</v>
      </c>
      <c r="H1201" s="592">
        <v>7.7</v>
      </c>
      <c r="I1201" s="811">
        <v>7.7</v>
      </c>
      <c r="J1201" s="589"/>
      <c r="K1201" s="589" t="s">
        <v>1096</v>
      </c>
      <c r="L1201" s="806">
        <v>4</v>
      </c>
      <c r="M1201" s="806"/>
      <c r="N1201" s="807">
        <v>41561</v>
      </c>
    </row>
    <row r="1202" spans="1:14">
      <c r="A1202" s="804" t="s">
        <v>1713</v>
      </c>
      <c r="B1202" s="585" t="s">
        <v>1100</v>
      </c>
      <c r="C1202" s="243">
        <v>41558</v>
      </c>
      <c r="D1202" s="243">
        <v>41558</v>
      </c>
      <c r="E1202" s="584" t="s">
        <v>206</v>
      </c>
      <c r="F1202" s="589" t="s">
        <v>1392</v>
      </c>
      <c r="G1202" s="805" t="s">
        <v>996</v>
      </c>
      <c r="H1202" s="589">
        <v>723</v>
      </c>
      <c r="I1202" s="583">
        <v>723</v>
      </c>
      <c r="J1202" s="589"/>
      <c r="K1202" s="637" t="s">
        <v>1071</v>
      </c>
      <c r="L1202" s="806">
        <v>6</v>
      </c>
      <c r="M1202" s="806">
        <v>42</v>
      </c>
      <c r="N1202" s="807">
        <v>41565</v>
      </c>
    </row>
    <row r="1203" spans="1:14">
      <c r="A1203" s="804" t="s">
        <v>1713</v>
      </c>
      <c r="B1203" s="585" t="s">
        <v>1100</v>
      </c>
      <c r="C1203" s="243">
        <v>41558</v>
      </c>
      <c r="D1203" s="243">
        <v>41558</v>
      </c>
      <c r="E1203" s="589" t="s">
        <v>185</v>
      </c>
      <c r="F1203" s="589" t="s">
        <v>1392</v>
      </c>
      <c r="G1203" s="589" t="s">
        <v>1483</v>
      </c>
      <c r="H1203" s="589">
        <v>168</v>
      </c>
      <c r="I1203" s="583">
        <v>168</v>
      </c>
      <c r="J1203" s="589"/>
      <c r="K1203" s="589" t="s">
        <v>1071</v>
      </c>
      <c r="L1203" s="806">
        <v>2</v>
      </c>
      <c r="M1203" s="806">
        <v>8</v>
      </c>
      <c r="N1203" s="807">
        <v>41564</v>
      </c>
    </row>
    <row r="1204" spans="1:14">
      <c r="A1204" s="804" t="s">
        <v>1713</v>
      </c>
      <c r="B1204" s="585" t="s">
        <v>1100</v>
      </c>
      <c r="C1204" s="243">
        <v>41558</v>
      </c>
      <c r="D1204" s="243">
        <v>41558</v>
      </c>
      <c r="E1204" s="589" t="s">
        <v>245</v>
      </c>
      <c r="F1204" s="589" t="s">
        <v>1392</v>
      </c>
      <c r="G1204" s="589" t="s">
        <v>991</v>
      </c>
      <c r="H1204" s="589">
        <v>34</v>
      </c>
      <c r="I1204" s="808" t="s">
        <v>1521</v>
      </c>
      <c r="J1204" s="589"/>
      <c r="K1204" s="637" t="s">
        <v>1071</v>
      </c>
      <c r="L1204" s="809">
        <v>5</v>
      </c>
      <c r="M1204" s="809">
        <v>35</v>
      </c>
      <c r="N1204" s="807">
        <v>41575</v>
      </c>
    </row>
    <row r="1205" spans="1:14">
      <c r="A1205" s="804" t="s">
        <v>1713</v>
      </c>
      <c r="B1205" s="585" t="s">
        <v>1100</v>
      </c>
      <c r="C1205" s="243">
        <v>41558</v>
      </c>
      <c r="D1205" s="243">
        <v>41558</v>
      </c>
      <c r="E1205" s="589" t="s">
        <v>179</v>
      </c>
      <c r="F1205" s="589" t="s">
        <v>1392</v>
      </c>
      <c r="G1205" s="805" t="s">
        <v>1000</v>
      </c>
      <c r="H1205" s="589">
        <v>52</v>
      </c>
      <c r="I1205" s="583">
        <v>52</v>
      </c>
      <c r="J1205" s="589"/>
      <c r="K1205" s="589" t="s">
        <v>1071</v>
      </c>
      <c r="L1205" s="806">
        <v>2</v>
      </c>
      <c r="M1205" s="806">
        <v>8</v>
      </c>
      <c r="N1205" s="807">
        <v>41565</v>
      </c>
    </row>
    <row r="1206" spans="1:14">
      <c r="A1206" s="804" t="s">
        <v>1713</v>
      </c>
      <c r="B1206" s="585" t="s">
        <v>1100</v>
      </c>
      <c r="C1206" s="243">
        <v>41558</v>
      </c>
      <c r="D1206" s="243">
        <v>41558</v>
      </c>
      <c r="E1206" s="590" t="s">
        <v>180</v>
      </c>
      <c r="F1206" s="589" t="s">
        <v>1392</v>
      </c>
      <c r="G1206" s="805" t="s">
        <v>1000</v>
      </c>
      <c r="H1206" s="591">
        <v>16</v>
      </c>
      <c r="I1206" s="590">
        <v>16</v>
      </c>
      <c r="J1206" s="637"/>
      <c r="K1206" s="589" t="s">
        <v>1071</v>
      </c>
      <c r="L1206" s="810">
        <v>2</v>
      </c>
      <c r="M1206" s="810">
        <v>8</v>
      </c>
      <c r="N1206" s="807">
        <v>41565</v>
      </c>
    </row>
    <row r="1207" spans="1:14">
      <c r="A1207" s="804" t="s">
        <v>1713</v>
      </c>
      <c r="B1207" s="585" t="s">
        <v>1100</v>
      </c>
      <c r="C1207" s="243">
        <v>41558</v>
      </c>
      <c r="D1207" s="243">
        <v>41558</v>
      </c>
      <c r="E1207" s="589" t="s">
        <v>184</v>
      </c>
      <c r="F1207" s="589" t="s">
        <v>1392</v>
      </c>
      <c r="G1207" s="589" t="s">
        <v>1471</v>
      </c>
      <c r="H1207" s="592">
        <v>39.799999999999997</v>
      </c>
      <c r="I1207" s="811">
        <v>39.799999999999997</v>
      </c>
      <c r="J1207" s="589"/>
      <c r="K1207" s="589" t="s">
        <v>1096</v>
      </c>
      <c r="L1207" s="806">
        <v>4</v>
      </c>
      <c r="M1207" s="806"/>
      <c r="N1207" s="807">
        <v>41561</v>
      </c>
    </row>
    <row r="1209" spans="1:14">
      <c r="A1209" s="804" t="s">
        <v>1714</v>
      </c>
      <c r="B1209" s="583" t="s">
        <v>1095</v>
      </c>
      <c r="C1209" s="243">
        <v>41568</v>
      </c>
      <c r="D1209" s="243">
        <v>41568</v>
      </c>
      <c r="E1209" s="584" t="s">
        <v>206</v>
      </c>
      <c r="F1209" s="589" t="s">
        <v>1392</v>
      </c>
      <c r="G1209" s="805" t="s">
        <v>996</v>
      </c>
      <c r="H1209" s="589">
        <v>367</v>
      </c>
      <c r="I1209" s="583">
        <v>367</v>
      </c>
      <c r="J1209" s="589"/>
      <c r="K1209" s="637" t="s">
        <v>1071</v>
      </c>
      <c r="L1209" s="806">
        <v>6</v>
      </c>
      <c r="M1209" s="806">
        <v>42</v>
      </c>
      <c r="N1209" s="807">
        <v>41584</v>
      </c>
    </row>
    <row r="1210" spans="1:14">
      <c r="A1210" s="688" t="s">
        <v>1714</v>
      </c>
      <c r="B1210" s="583" t="s">
        <v>1095</v>
      </c>
      <c r="C1210" s="243">
        <v>41568</v>
      </c>
      <c r="D1210" s="243">
        <v>41568</v>
      </c>
      <c r="E1210" s="589" t="s">
        <v>185</v>
      </c>
      <c r="F1210" s="589" t="s">
        <v>1392</v>
      </c>
      <c r="G1210" s="589" t="s">
        <v>1483</v>
      </c>
      <c r="H1210" s="589">
        <v>108</v>
      </c>
      <c r="I1210" s="583">
        <v>108</v>
      </c>
      <c r="J1210" s="589"/>
      <c r="K1210" s="589" t="s">
        <v>1071</v>
      </c>
      <c r="L1210" s="806">
        <v>2</v>
      </c>
      <c r="M1210" s="806">
        <v>8</v>
      </c>
      <c r="N1210" s="807">
        <v>41572</v>
      </c>
    </row>
    <row r="1211" spans="1:14">
      <c r="A1211" s="688" t="s">
        <v>1714</v>
      </c>
      <c r="B1211" s="583" t="s">
        <v>1095</v>
      </c>
      <c r="C1211" s="243">
        <v>41568</v>
      </c>
      <c r="D1211" s="243">
        <v>41568</v>
      </c>
      <c r="E1211" s="589" t="s">
        <v>245</v>
      </c>
      <c r="F1211" s="589" t="s">
        <v>1392</v>
      </c>
      <c r="G1211" s="589" t="s">
        <v>991</v>
      </c>
      <c r="H1211" s="589"/>
      <c r="I1211" s="808"/>
      <c r="J1211" s="589" t="s">
        <v>1395</v>
      </c>
      <c r="K1211" s="637" t="s">
        <v>1071</v>
      </c>
      <c r="L1211" s="809">
        <v>5</v>
      </c>
      <c r="M1211" s="809">
        <v>35</v>
      </c>
      <c r="N1211" s="807">
        <v>41575</v>
      </c>
    </row>
    <row r="1212" spans="1:14">
      <c r="A1212" s="688" t="s">
        <v>1714</v>
      </c>
      <c r="B1212" s="583" t="s">
        <v>1095</v>
      </c>
      <c r="C1212" s="243">
        <v>41568</v>
      </c>
      <c r="D1212" s="243">
        <v>41568</v>
      </c>
      <c r="E1212" s="589" t="s">
        <v>179</v>
      </c>
      <c r="F1212" s="589" t="s">
        <v>1392</v>
      </c>
      <c r="G1212" s="805" t="s">
        <v>1000</v>
      </c>
      <c r="H1212" s="589"/>
      <c r="I1212" s="583"/>
      <c r="J1212" s="589" t="s">
        <v>1395</v>
      </c>
      <c r="K1212" s="589" t="s">
        <v>1071</v>
      </c>
      <c r="L1212" s="806">
        <v>2</v>
      </c>
      <c r="M1212" s="806">
        <v>8</v>
      </c>
      <c r="N1212" s="807">
        <v>41584</v>
      </c>
    </row>
    <row r="1213" spans="1:14">
      <c r="A1213" s="589" t="s">
        <v>1714</v>
      </c>
      <c r="B1213" s="583" t="s">
        <v>1095</v>
      </c>
      <c r="C1213" s="243">
        <v>41568</v>
      </c>
      <c r="D1213" s="243">
        <v>41568</v>
      </c>
      <c r="E1213" s="590" t="s">
        <v>180</v>
      </c>
      <c r="F1213" s="589" t="s">
        <v>1392</v>
      </c>
      <c r="G1213" s="805" t="s">
        <v>1000</v>
      </c>
      <c r="H1213" s="591"/>
      <c r="I1213" s="590"/>
      <c r="J1213" s="637" t="s">
        <v>1395</v>
      </c>
      <c r="K1213" s="589" t="s">
        <v>1071</v>
      </c>
      <c r="L1213" s="810">
        <v>2</v>
      </c>
      <c r="M1213" s="810">
        <v>8</v>
      </c>
      <c r="N1213" s="807">
        <v>41584</v>
      </c>
    </row>
    <row r="1214" spans="1:14">
      <c r="A1214" s="688" t="s">
        <v>1714</v>
      </c>
      <c r="B1214" s="583" t="s">
        <v>1095</v>
      </c>
      <c r="C1214" s="243">
        <v>41568</v>
      </c>
      <c r="D1214" s="243">
        <v>41568</v>
      </c>
      <c r="E1214" s="589" t="s">
        <v>184</v>
      </c>
      <c r="F1214" s="589" t="s">
        <v>1392</v>
      </c>
      <c r="G1214" s="589" t="s">
        <v>1471</v>
      </c>
      <c r="H1214" s="592"/>
      <c r="I1214" s="811"/>
      <c r="J1214" s="589" t="s">
        <v>1395</v>
      </c>
      <c r="K1214" s="589" t="s">
        <v>1096</v>
      </c>
      <c r="L1214" s="806">
        <v>4</v>
      </c>
      <c r="M1214" s="806"/>
      <c r="N1214" s="807">
        <v>41576</v>
      </c>
    </row>
    <row r="1215" spans="1:14">
      <c r="A1215" s="804" t="s">
        <v>1715</v>
      </c>
      <c r="B1215" s="583" t="s">
        <v>1097</v>
      </c>
      <c r="C1215" s="243">
        <v>41568</v>
      </c>
      <c r="D1215" s="243">
        <v>41568</v>
      </c>
      <c r="E1215" s="584" t="s">
        <v>206</v>
      </c>
      <c r="F1215" s="589" t="s">
        <v>1392</v>
      </c>
      <c r="G1215" s="805" t="s">
        <v>996</v>
      </c>
      <c r="H1215" s="589">
        <v>406</v>
      </c>
      <c r="I1215" s="583">
        <v>406</v>
      </c>
      <c r="J1215" s="589"/>
      <c r="K1215" s="637" t="s">
        <v>1071</v>
      </c>
      <c r="L1215" s="806">
        <v>6</v>
      </c>
      <c r="M1215" s="806">
        <v>42</v>
      </c>
      <c r="N1215" s="807">
        <v>41584</v>
      </c>
    </row>
    <row r="1216" spans="1:14">
      <c r="A1216" s="688" t="s">
        <v>1715</v>
      </c>
      <c r="B1216" s="583" t="s">
        <v>1097</v>
      </c>
      <c r="C1216" s="243">
        <v>41568</v>
      </c>
      <c r="D1216" s="243">
        <v>41568</v>
      </c>
      <c r="E1216" s="589" t="s">
        <v>185</v>
      </c>
      <c r="F1216" s="589" t="s">
        <v>1392</v>
      </c>
      <c r="G1216" s="589" t="s">
        <v>1483</v>
      </c>
      <c r="H1216" s="589">
        <v>250</v>
      </c>
      <c r="I1216" s="583">
        <v>250</v>
      </c>
      <c r="J1216" s="589"/>
      <c r="K1216" s="589" t="s">
        <v>1071</v>
      </c>
      <c r="L1216" s="806">
        <v>2</v>
      </c>
      <c r="M1216" s="806">
        <v>8</v>
      </c>
      <c r="N1216" s="807">
        <v>41572</v>
      </c>
    </row>
    <row r="1217" spans="1:14">
      <c r="A1217" s="688" t="s">
        <v>1715</v>
      </c>
      <c r="B1217" s="583" t="s">
        <v>1097</v>
      </c>
      <c r="C1217" s="243">
        <v>41568</v>
      </c>
      <c r="D1217" s="243">
        <v>41568</v>
      </c>
      <c r="E1217" s="589" t="s">
        <v>245</v>
      </c>
      <c r="F1217" s="589" t="s">
        <v>1392</v>
      </c>
      <c r="G1217" s="589" t="s">
        <v>991</v>
      </c>
      <c r="H1217" s="589">
        <v>6</v>
      </c>
      <c r="I1217" s="808" t="s">
        <v>1716</v>
      </c>
      <c r="J1217" s="589" t="s">
        <v>1419</v>
      </c>
      <c r="K1217" s="637" t="s">
        <v>1071</v>
      </c>
      <c r="L1217" s="809">
        <v>5</v>
      </c>
      <c r="M1217" s="809">
        <v>35</v>
      </c>
      <c r="N1217" s="807">
        <v>41575</v>
      </c>
    </row>
    <row r="1218" spans="1:14">
      <c r="A1218" s="688" t="s">
        <v>1715</v>
      </c>
      <c r="B1218" s="583" t="s">
        <v>1097</v>
      </c>
      <c r="C1218" s="243">
        <v>41568</v>
      </c>
      <c r="D1218" s="243">
        <v>41568</v>
      </c>
      <c r="E1218" s="589" t="s">
        <v>179</v>
      </c>
      <c r="F1218" s="589" t="s">
        <v>1392</v>
      </c>
      <c r="G1218" s="805" t="s">
        <v>1000</v>
      </c>
      <c r="H1218" s="589"/>
      <c r="I1218" s="583"/>
      <c r="J1218" s="589" t="s">
        <v>1395</v>
      </c>
      <c r="K1218" s="589" t="s">
        <v>1071</v>
      </c>
      <c r="L1218" s="806">
        <v>2</v>
      </c>
      <c r="M1218" s="806">
        <v>8</v>
      </c>
      <c r="N1218" s="807">
        <v>41584</v>
      </c>
    </row>
    <row r="1219" spans="1:14">
      <c r="A1219" s="589" t="s">
        <v>1715</v>
      </c>
      <c r="B1219" s="583" t="s">
        <v>1097</v>
      </c>
      <c r="C1219" s="243">
        <v>41568</v>
      </c>
      <c r="D1219" s="243">
        <v>41568</v>
      </c>
      <c r="E1219" s="590" t="s">
        <v>180</v>
      </c>
      <c r="F1219" s="589" t="s">
        <v>1392</v>
      </c>
      <c r="G1219" s="805" t="s">
        <v>1000</v>
      </c>
      <c r="H1219" s="591"/>
      <c r="I1219" s="590"/>
      <c r="J1219" s="637" t="s">
        <v>1395</v>
      </c>
      <c r="K1219" s="589" t="s">
        <v>1071</v>
      </c>
      <c r="L1219" s="810">
        <v>2</v>
      </c>
      <c r="M1219" s="810">
        <v>8</v>
      </c>
      <c r="N1219" s="807">
        <v>41584</v>
      </c>
    </row>
    <row r="1220" spans="1:14">
      <c r="A1220" s="688" t="s">
        <v>1715</v>
      </c>
      <c r="B1220" s="583" t="s">
        <v>1097</v>
      </c>
      <c r="C1220" s="243">
        <v>41568</v>
      </c>
      <c r="D1220" s="243">
        <v>41568</v>
      </c>
      <c r="E1220" s="589" t="s">
        <v>184</v>
      </c>
      <c r="F1220" s="589" t="s">
        <v>1392</v>
      </c>
      <c r="G1220" s="589" t="s">
        <v>1471</v>
      </c>
      <c r="H1220" s="592"/>
      <c r="I1220" s="811"/>
      <c r="J1220" s="589" t="s">
        <v>1395</v>
      </c>
      <c r="K1220" s="589" t="s">
        <v>1096</v>
      </c>
      <c r="L1220" s="806">
        <v>4</v>
      </c>
      <c r="M1220" s="806"/>
      <c r="N1220" s="807">
        <v>41576</v>
      </c>
    </row>
    <row r="1221" spans="1:14">
      <c r="A1221" s="589" t="s">
        <v>1717</v>
      </c>
      <c r="B1221" s="583">
        <v>45</v>
      </c>
      <c r="C1221" s="243">
        <v>41568</v>
      </c>
      <c r="D1221" s="243">
        <v>41568</v>
      </c>
      <c r="E1221" s="584" t="s">
        <v>206</v>
      </c>
      <c r="F1221" s="589" t="s">
        <v>1392</v>
      </c>
      <c r="G1221" s="805" t="s">
        <v>996</v>
      </c>
      <c r="H1221" s="589">
        <v>791</v>
      </c>
      <c r="I1221" s="583">
        <v>791</v>
      </c>
      <c r="J1221" s="589"/>
      <c r="K1221" s="637" t="s">
        <v>1071</v>
      </c>
      <c r="L1221" s="806">
        <v>6</v>
      </c>
      <c r="M1221" s="806">
        <v>42</v>
      </c>
      <c r="N1221" s="807">
        <v>41584</v>
      </c>
    </row>
    <row r="1222" spans="1:14">
      <c r="A1222" s="804" t="s">
        <v>1717</v>
      </c>
      <c r="B1222" s="583">
        <v>45</v>
      </c>
      <c r="C1222" s="243">
        <v>41568</v>
      </c>
      <c r="D1222" s="243">
        <v>41568</v>
      </c>
      <c r="E1222" s="589" t="s">
        <v>185</v>
      </c>
      <c r="F1222" s="589" t="s">
        <v>1392</v>
      </c>
      <c r="G1222" s="589" t="s">
        <v>1483</v>
      </c>
      <c r="H1222" s="589">
        <v>237</v>
      </c>
      <c r="I1222" s="583">
        <v>237</v>
      </c>
      <c r="J1222" s="589"/>
      <c r="K1222" s="589" t="s">
        <v>1071</v>
      </c>
      <c r="L1222" s="806">
        <v>2</v>
      </c>
      <c r="M1222" s="806">
        <v>8</v>
      </c>
      <c r="N1222" s="807">
        <v>41572</v>
      </c>
    </row>
    <row r="1223" spans="1:14">
      <c r="A1223" s="804" t="s">
        <v>1717</v>
      </c>
      <c r="B1223" s="583">
        <v>45</v>
      </c>
      <c r="C1223" s="243">
        <v>41568</v>
      </c>
      <c r="D1223" s="243">
        <v>41568</v>
      </c>
      <c r="E1223" s="589" t="s">
        <v>245</v>
      </c>
      <c r="F1223" s="589" t="s">
        <v>1392</v>
      </c>
      <c r="G1223" s="589" t="s">
        <v>991</v>
      </c>
      <c r="H1223" s="589">
        <v>39</v>
      </c>
      <c r="I1223" s="808" t="s">
        <v>1718</v>
      </c>
      <c r="J1223" s="589"/>
      <c r="K1223" s="637" t="s">
        <v>1071</v>
      </c>
      <c r="L1223" s="809">
        <v>5</v>
      </c>
      <c r="M1223" s="809">
        <v>35</v>
      </c>
      <c r="N1223" s="807">
        <v>41575</v>
      </c>
    </row>
    <row r="1224" spans="1:14">
      <c r="A1224" s="804" t="s">
        <v>1717</v>
      </c>
      <c r="B1224" s="583">
        <v>45</v>
      </c>
      <c r="C1224" s="243">
        <v>41568</v>
      </c>
      <c r="D1224" s="243">
        <v>41568</v>
      </c>
      <c r="E1224" s="589" t="s">
        <v>179</v>
      </c>
      <c r="F1224" s="589" t="s">
        <v>1392</v>
      </c>
      <c r="G1224" s="805" t="s">
        <v>1000</v>
      </c>
      <c r="H1224" s="589">
        <v>51</v>
      </c>
      <c r="I1224" s="583">
        <v>51</v>
      </c>
      <c r="J1224" s="589"/>
      <c r="K1224" s="589" t="s">
        <v>1071</v>
      </c>
      <c r="L1224" s="806">
        <v>2</v>
      </c>
      <c r="M1224" s="806">
        <v>8</v>
      </c>
      <c r="N1224" s="807">
        <v>41584</v>
      </c>
    </row>
    <row r="1225" spans="1:14">
      <c r="A1225" s="589" t="s">
        <v>1717</v>
      </c>
      <c r="B1225" s="583">
        <v>45</v>
      </c>
      <c r="C1225" s="243">
        <v>41568</v>
      </c>
      <c r="D1225" s="243">
        <v>41568</v>
      </c>
      <c r="E1225" s="590" t="s">
        <v>180</v>
      </c>
      <c r="F1225" s="589" t="s">
        <v>1392</v>
      </c>
      <c r="G1225" s="805" t="s">
        <v>1000</v>
      </c>
      <c r="H1225" s="591"/>
      <c r="I1225" s="590"/>
      <c r="J1225" s="637" t="s">
        <v>1395</v>
      </c>
      <c r="K1225" s="589" t="s">
        <v>1071</v>
      </c>
      <c r="L1225" s="810">
        <v>2</v>
      </c>
      <c r="M1225" s="810">
        <v>8</v>
      </c>
      <c r="N1225" s="807">
        <v>41584</v>
      </c>
    </row>
    <row r="1226" spans="1:14">
      <c r="A1226" s="804" t="s">
        <v>1717</v>
      </c>
      <c r="B1226" s="583">
        <v>45</v>
      </c>
      <c r="C1226" s="243">
        <v>41568</v>
      </c>
      <c r="D1226" s="243">
        <v>41568</v>
      </c>
      <c r="E1226" s="589" t="s">
        <v>184</v>
      </c>
      <c r="F1226" s="589" t="s">
        <v>1392</v>
      </c>
      <c r="G1226" s="589" t="s">
        <v>1471</v>
      </c>
      <c r="H1226" s="592">
        <v>19.8</v>
      </c>
      <c r="I1226" s="811">
        <v>19.8</v>
      </c>
      <c r="J1226" s="589"/>
      <c r="K1226" s="589" t="s">
        <v>1096</v>
      </c>
      <c r="L1226" s="806">
        <v>4</v>
      </c>
      <c r="M1226" s="806"/>
      <c r="N1226" s="807">
        <v>41576</v>
      </c>
    </row>
    <row r="1227" spans="1:14">
      <c r="A1227" s="804" t="s">
        <v>1719</v>
      </c>
      <c r="B1227" s="585" t="s">
        <v>1098</v>
      </c>
      <c r="C1227" s="243">
        <v>41568</v>
      </c>
      <c r="D1227" s="243">
        <v>41568</v>
      </c>
      <c r="E1227" s="584" t="s">
        <v>206</v>
      </c>
      <c r="F1227" s="589" t="s">
        <v>1392</v>
      </c>
      <c r="G1227" s="805" t="s">
        <v>996</v>
      </c>
      <c r="H1227" s="589">
        <v>602</v>
      </c>
      <c r="I1227" s="583">
        <v>602</v>
      </c>
      <c r="J1227" s="589"/>
      <c r="K1227" s="637" t="s">
        <v>1071</v>
      </c>
      <c r="L1227" s="806">
        <v>6</v>
      </c>
      <c r="M1227" s="806">
        <v>42</v>
      </c>
      <c r="N1227" s="807">
        <v>41584</v>
      </c>
    </row>
    <row r="1228" spans="1:14">
      <c r="A1228" s="589" t="s">
        <v>1719</v>
      </c>
      <c r="B1228" s="585" t="s">
        <v>1098</v>
      </c>
      <c r="C1228" s="243">
        <v>41568</v>
      </c>
      <c r="D1228" s="243">
        <v>41568</v>
      </c>
      <c r="E1228" s="589" t="s">
        <v>185</v>
      </c>
      <c r="F1228" s="589" t="s">
        <v>1392</v>
      </c>
      <c r="G1228" s="589" t="s">
        <v>1483</v>
      </c>
      <c r="H1228" s="589">
        <v>225</v>
      </c>
      <c r="I1228" s="583">
        <v>225</v>
      </c>
      <c r="J1228" s="589"/>
      <c r="K1228" s="589" t="s">
        <v>1071</v>
      </c>
      <c r="L1228" s="806">
        <v>2</v>
      </c>
      <c r="M1228" s="806">
        <v>8</v>
      </c>
      <c r="N1228" s="807">
        <v>41572</v>
      </c>
    </row>
    <row r="1229" spans="1:14">
      <c r="A1229" s="688" t="s">
        <v>1719</v>
      </c>
      <c r="B1229" s="585" t="s">
        <v>1098</v>
      </c>
      <c r="C1229" s="243">
        <v>41568</v>
      </c>
      <c r="D1229" s="243">
        <v>41568</v>
      </c>
      <c r="E1229" s="589" t="s">
        <v>245</v>
      </c>
      <c r="F1229" s="589" t="s">
        <v>1392</v>
      </c>
      <c r="G1229" s="589" t="s">
        <v>991</v>
      </c>
      <c r="H1229" s="589">
        <v>32</v>
      </c>
      <c r="I1229" s="808" t="s">
        <v>1546</v>
      </c>
      <c r="J1229" s="589" t="s">
        <v>1419</v>
      </c>
      <c r="K1229" s="637" t="s">
        <v>1071</v>
      </c>
      <c r="L1229" s="809">
        <v>5</v>
      </c>
      <c r="M1229" s="809">
        <v>35</v>
      </c>
      <c r="N1229" s="807">
        <v>41575</v>
      </c>
    </row>
    <row r="1230" spans="1:14">
      <c r="A1230" s="589" t="s">
        <v>1719</v>
      </c>
      <c r="B1230" s="585" t="s">
        <v>1098</v>
      </c>
      <c r="C1230" s="243">
        <v>41568</v>
      </c>
      <c r="D1230" s="243">
        <v>41568</v>
      </c>
      <c r="E1230" s="589" t="s">
        <v>179</v>
      </c>
      <c r="F1230" s="589" t="s">
        <v>1392</v>
      </c>
      <c r="G1230" s="805" t="s">
        <v>1000</v>
      </c>
      <c r="H1230" s="589">
        <v>26</v>
      </c>
      <c r="I1230" s="583">
        <v>26</v>
      </c>
      <c r="J1230" s="589"/>
      <c r="K1230" s="589" t="s">
        <v>1071</v>
      </c>
      <c r="L1230" s="806">
        <v>2</v>
      </c>
      <c r="M1230" s="806">
        <v>8</v>
      </c>
      <c r="N1230" s="807">
        <v>41584</v>
      </c>
    </row>
    <row r="1231" spans="1:14">
      <c r="A1231" s="589" t="s">
        <v>1719</v>
      </c>
      <c r="B1231" s="585" t="s">
        <v>1098</v>
      </c>
      <c r="C1231" s="243">
        <v>41568</v>
      </c>
      <c r="D1231" s="243">
        <v>41568</v>
      </c>
      <c r="E1231" s="590" t="s">
        <v>180</v>
      </c>
      <c r="F1231" s="589" t="s">
        <v>1392</v>
      </c>
      <c r="G1231" s="805" t="s">
        <v>1000</v>
      </c>
      <c r="H1231" s="591">
        <v>3</v>
      </c>
      <c r="I1231" s="590">
        <v>3</v>
      </c>
      <c r="J1231" s="637" t="s">
        <v>1419</v>
      </c>
      <c r="K1231" s="589" t="s">
        <v>1071</v>
      </c>
      <c r="L1231" s="810">
        <v>2</v>
      </c>
      <c r="M1231" s="810">
        <v>8</v>
      </c>
      <c r="N1231" s="807">
        <v>41584</v>
      </c>
    </row>
    <row r="1232" spans="1:14">
      <c r="A1232" s="589" t="s">
        <v>1719</v>
      </c>
      <c r="B1232" s="585" t="s">
        <v>1098</v>
      </c>
      <c r="C1232" s="243">
        <v>41568</v>
      </c>
      <c r="D1232" s="243">
        <v>41568</v>
      </c>
      <c r="E1232" s="589" t="s">
        <v>184</v>
      </c>
      <c r="F1232" s="589" t="s">
        <v>1392</v>
      </c>
      <c r="G1232" s="589" t="s">
        <v>1471</v>
      </c>
      <c r="H1232" s="592">
        <v>10</v>
      </c>
      <c r="I1232" s="811">
        <v>10</v>
      </c>
      <c r="J1232" s="589"/>
      <c r="K1232" s="589" t="s">
        <v>1096</v>
      </c>
      <c r="L1232" s="806">
        <v>4</v>
      </c>
      <c r="M1232" s="806"/>
      <c r="N1232" s="807">
        <v>41576</v>
      </c>
    </row>
    <row r="1233" spans="1:14">
      <c r="A1233" s="804" t="s">
        <v>1719</v>
      </c>
      <c r="B1233" s="583" t="s">
        <v>1098</v>
      </c>
      <c r="C1233" s="243">
        <v>41568</v>
      </c>
      <c r="D1233" s="243">
        <v>41568</v>
      </c>
      <c r="E1233" s="584" t="s">
        <v>181</v>
      </c>
      <c r="F1233" s="804" t="s">
        <v>1392</v>
      </c>
      <c r="G1233" s="812" t="s">
        <v>1402</v>
      </c>
      <c r="H1233" s="332">
        <v>12.1</v>
      </c>
      <c r="I1233" s="813">
        <v>12.1</v>
      </c>
      <c r="J1233" s="814"/>
      <c r="K1233" s="589" t="s">
        <v>1071</v>
      </c>
      <c r="L1233" s="810">
        <v>0.1</v>
      </c>
      <c r="M1233" s="810"/>
      <c r="N1233" s="807">
        <v>41585</v>
      </c>
    </row>
    <row r="1234" spans="1:14">
      <c r="A1234" s="804" t="s">
        <v>1719</v>
      </c>
      <c r="B1234" s="583" t="s">
        <v>1098</v>
      </c>
      <c r="C1234" s="243">
        <v>41568</v>
      </c>
      <c r="D1234" s="243">
        <v>41568</v>
      </c>
      <c r="E1234" s="584" t="s">
        <v>181</v>
      </c>
      <c r="F1234" s="804" t="s">
        <v>1392</v>
      </c>
      <c r="G1234" s="812" t="s">
        <v>1402</v>
      </c>
      <c r="H1234" s="332">
        <v>11.2</v>
      </c>
      <c r="I1234" s="813">
        <v>11.2</v>
      </c>
      <c r="J1234" s="814"/>
      <c r="K1234" s="589" t="s">
        <v>1071</v>
      </c>
      <c r="L1234" s="810">
        <v>0.1</v>
      </c>
      <c r="M1234" s="810"/>
      <c r="N1234" s="807">
        <v>41585</v>
      </c>
    </row>
    <row r="1235" spans="1:14">
      <c r="A1235" s="589" t="s">
        <v>1720</v>
      </c>
      <c r="B1235" s="583" t="s">
        <v>1099</v>
      </c>
      <c r="C1235" s="243">
        <v>41568</v>
      </c>
      <c r="D1235" s="243">
        <v>41568</v>
      </c>
      <c r="E1235" s="584" t="s">
        <v>206</v>
      </c>
      <c r="F1235" s="589" t="s">
        <v>1392</v>
      </c>
      <c r="G1235" s="805" t="s">
        <v>996</v>
      </c>
      <c r="H1235" s="589">
        <v>633</v>
      </c>
      <c r="I1235" s="583">
        <v>633</v>
      </c>
      <c r="J1235" s="589"/>
      <c r="K1235" s="637" t="s">
        <v>1071</v>
      </c>
      <c r="L1235" s="806">
        <v>6</v>
      </c>
      <c r="M1235" s="806">
        <v>42</v>
      </c>
      <c r="N1235" s="807">
        <v>41584</v>
      </c>
    </row>
    <row r="1236" spans="1:14">
      <c r="A1236" s="589" t="s">
        <v>1720</v>
      </c>
      <c r="B1236" s="583" t="s">
        <v>1099</v>
      </c>
      <c r="C1236" s="243">
        <v>41568</v>
      </c>
      <c r="D1236" s="243">
        <v>41568</v>
      </c>
      <c r="E1236" s="589" t="s">
        <v>185</v>
      </c>
      <c r="F1236" s="589" t="s">
        <v>1392</v>
      </c>
      <c r="G1236" s="589" t="s">
        <v>1483</v>
      </c>
      <c r="H1236" s="589">
        <v>231</v>
      </c>
      <c r="I1236" s="583">
        <v>231</v>
      </c>
      <c r="J1236" s="589"/>
      <c r="K1236" s="589" t="s">
        <v>1071</v>
      </c>
      <c r="L1236" s="806">
        <v>2</v>
      </c>
      <c r="M1236" s="806">
        <v>8</v>
      </c>
      <c r="N1236" s="807">
        <v>41572</v>
      </c>
    </row>
    <row r="1237" spans="1:14">
      <c r="A1237" s="688" t="s">
        <v>1720</v>
      </c>
      <c r="B1237" s="583" t="s">
        <v>1099</v>
      </c>
      <c r="C1237" s="243">
        <v>41568</v>
      </c>
      <c r="D1237" s="243">
        <v>41568</v>
      </c>
      <c r="E1237" s="589" t="s">
        <v>245</v>
      </c>
      <c r="F1237" s="589" t="s">
        <v>1392</v>
      </c>
      <c r="G1237" s="589" t="s">
        <v>991</v>
      </c>
      <c r="H1237" s="589">
        <v>36</v>
      </c>
      <c r="I1237" s="808" t="s">
        <v>1406</v>
      </c>
      <c r="J1237" s="589"/>
      <c r="K1237" s="637" t="s">
        <v>1071</v>
      </c>
      <c r="L1237" s="809">
        <v>5</v>
      </c>
      <c r="M1237" s="809">
        <v>35</v>
      </c>
      <c r="N1237" s="807">
        <v>41575</v>
      </c>
    </row>
    <row r="1238" spans="1:14">
      <c r="A1238" s="589" t="s">
        <v>1720</v>
      </c>
      <c r="B1238" s="583" t="s">
        <v>1099</v>
      </c>
      <c r="C1238" s="243">
        <v>41568</v>
      </c>
      <c r="D1238" s="243">
        <v>41568</v>
      </c>
      <c r="E1238" s="589" t="s">
        <v>179</v>
      </c>
      <c r="F1238" s="589" t="s">
        <v>1392</v>
      </c>
      <c r="G1238" s="805" t="s">
        <v>1000</v>
      </c>
      <c r="H1238" s="589">
        <v>34</v>
      </c>
      <c r="I1238" s="583">
        <v>34</v>
      </c>
      <c r="J1238" s="589"/>
      <c r="K1238" s="589" t="s">
        <v>1071</v>
      </c>
      <c r="L1238" s="806">
        <v>2</v>
      </c>
      <c r="M1238" s="806">
        <v>8</v>
      </c>
      <c r="N1238" s="807">
        <v>41584</v>
      </c>
    </row>
    <row r="1239" spans="1:14">
      <c r="A1239" s="589" t="s">
        <v>1720</v>
      </c>
      <c r="B1239" s="583" t="s">
        <v>1099</v>
      </c>
      <c r="C1239" s="243">
        <v>41568</v>
      </c>
      <c r="D1239" s="243">
        <v>41568</v>
      </c>
      <c r="E1239" s="590" t="s">
        <v>180</v>
      </c>
      <c r="F1239" s="589" t="s">
        <v>1392</v>
      </c>
      <c r="G1239" s="805" t="s">
        <v>1000</v>
      </c>
      <c r="H1239" s="591"/>
      <c r="I1239" s="590"/>
      <c r="J1239" s="637" t="s">
        <v>1395</v>
      </c>
      <c r="K1239" s="589" t="s">
        <v>1071</v>
      </c>
      <c r="L1239" s="810">
        <v>2</v>
      </c>
      <c r="M1239" s="810">
        <v>8</v>
      </c>
      <c r="N1239" s="807">
        <v>41584</v>
      </c>
    </row>
    <row r="1240" spans="1:14">
      <c r="A1240" s="589" t="s">
        <v>1720</v>
      </c>
      <c r="B1240" s="583" t="s">
        <v>1099</v>
      </c>
      <c r="C1240" s="243">
        <v>41568</v>
      </c>
      <c r="D1240" s="243">
        <v>41568</v>
      </c>
      <c r="E1240" s="589" t="s">
        <v>184</v>
      </c>
      <c r="F1240" s="589" t="s">
        <v>1392</v>
      </c>
      <c r="G1240" s="589" t="s">
        <v>1471</v>
      </c>
      <c r="H1240" s="592">
        <v>9.4</v>
      </c>
      <c r="I1240" s="811">
        <v>9.4</v>
      </c>
      <c r="J1240" s="589"/>
      <c r="K1240" s="589" t="s">
        <v>1096</v>
      </c>
      <c r="L1240" s="806">
        <v>4</v>
      </c>
      <c r="M1240" s="806"/>
      <c r="N1240" s="807">
        <v>41576</v>
      </c>
    </row>
    <row r="1241" spans="1:14">
      <c r="A1241" s="804" t="s">
        <v>1721</v>
      </c>
      <c r="B1241" s="585" t="s">
        <v>297</v>
      </c>
      <c r="C1241" s="243">
        <v>41568</v>
      </c>
      <c r="D1241" s="243">
        <v>41568</v>
      </c>
      <c r="E1241" s="584" t="s">
        <v>206</v>
      </c>
      <c r="F1241" s="589" t="s">
        <v>1392</v>
      </c>
      <c r="G1241" s="805" t="s">
        <v>996</v>
      </c>
      <c r="H1241" s="589">
        <v>247</v>
      </c>
      <c r="I1241" s="583">
        <v>247</v>
      </c>
      <c r="J1241" s="589"/>
      <c r="K1241" s="637" t="s">
        <v>1071</v>
      </c>
      <c r="L1241" s="806">
        <v>6</v>
      </c>
      <c r="M1241" s="806">
        <v>42</v>
      </c>
      <c r="N1241" s="807">
        <v>41584</v>
      </c>
    </row>
    <row r="1242" spans="1:14">
      <c r="A1242" s="804" t="s">
        <v>1721</v>
      </c>
      <c r="B1242" s="585" t="s">
        <v>297</v>
      </c>
      <c r="C1242" s="243">
        <v>41568</v>
      </c>
      <c r="D1242" s="243">
        <v>41568</v>
      </c>
      <c r="E1242" s="589" t="s">
        <v>185</v>
      </c>
      <c r="F1242" s="589" t="s">
        <v>1392</v>
      </c>
      <c r="G1242" s="589" t="s">
        <v>1483</v>
      </c>
      <c r="H1242" s="589">
        <v>104</v>
      </c>
      <c r="I1242" s="583">
        <v>104</v>
      </c>
      <c r="J1242" s="589"/>
      <c r="K1242" s="589" t="s">
        <v>1071</v>
      </c>
      <c r="L1242" s="806">
        <v>2</v>
      </c>
      <c r="M1242" s="806">
        <v>8</v>
      </c>
      <c r="N1242" s="807">
        <v>41572</v>
      </c>
    </row>
    <row r="1243" spans="1:14">
      <c r="A1243" s="804" t="s">
        <v>1721</v>
      </c>
      <c r="B1243" s="585" t="s">
        <v>297</v>
      </c>
      <c r="C1243" s="243">
        <v>41568</v>
      </c>
      <c r="D1243" s="243">
        <v>41568</v>
      </c>
      <c r="E1243" s="589" t="s">
        <v>245</v>
      </c>
      <c r="F1243" s="589" t="s">
        <v>1392</v>
      </c>
      <c r="G1243" s="589" t="s">
        <v>991</v>
      </c>
      <c r="H1243" s="589">
        <v>7</v>
      </c>
      <c r="I1243" s="808" t="s">
        <v>1722</v>
      </c>
      <c r="J1243" s="589" t="s">
        <v>1419</v>
      </c>
      <c r="K1243" s="637" t="s">
        <v>1071</v>
      </c>
      <c r="L1243" s="809">
        <v>5</v>
      </c>
      <c r="M1243" s="809">
        <v>35</v>
      </c>
      <c r="N1243" s="807">
        <v>41575</v>
      </c>
    </row>
    <row r="1244" spans="1:14">
      <c r="A1244" s="804" t="s">
        <v>1721</v>
      </c>
      <c r="B1244" s="585" t="s">
        <v>297</v>
      </c>
      <c r="C1244" s="243">
        <v>41568</v>
      </c>
      <c r="D1244" s="243">
        <v>41568</v>
      </c>
      <c r="E1244" s="589" t="s">
        <v>179</v>
      </c>
      <c r="F1244" s="589" t="s">
        <v>1392</v>
      </c>
      <c r="G1244" s="805" t="s">
        <v>1000</v>
      </c>
      <c r="H1244" s="589"/>
      <c r="I1244" s="583"/>
      <c r="J1244" s="589" t="s">
        <v>1395</v>
      </c>
      <c r="K1244" s="589" t="s">
        <v>1071</v>
      </c>
      <c r="L1244" s="806">
        <v>2</v>
      </c>
      <c r="M1244" s="806">
        <v>8</v>
      </c>
      <c r="N1244" s="807">
        <v>41584</v>
      </c>
    </row>
    <row r="1245" spans="1:14">
      <c r="A1245" s="804" t="s">
        <v>1721</v>
      </c>
      <c r="B1245" s="585" t="s">
        <v>297</v>
      </c>
      <c r="C1245" s="243">
        <v>41568</v>
      </c>
      <c r="D1245" s="243">
        <v>41568</v>
      </c>
      <c r="E1245" s="590" t="s">
        <v>180</v>
      </c>
      <c r="F1245" s="589" t="s">
        <v>1392</v>
      </c>
      <c r="G1245" s="805" t="s">
        <v>1000</v>
      </c>
      <c r="H1245" s="591"/>
      <c r="I1245" s="590"/>
      <c r="J1245" s="637" t="s">
        <v>1395</v>
      </c>
      <c r="K1245" s="589" t="s">
        <v>1071</v>
      </c>
      <c r="L1245" s="810">
        <v>2</v>
      </c>
      <c r="M1245" s="810">
        <v>8</v>
      </c>
      <c r="N1245" s="807">
        <v>41584</v>
      </c>
    </row>
    <row r="1246" spans="1:14">
      <c r="A1246" s="804" t="s">
        <v>1721</v>
      </c>
      <c r="B1246" s="585" t="s">
        <v>297</v>
      </c>
      <c r="C1246" s="243">
        <v>41568</v>
      </c>
      <c r="D1246" s="243">
        <v>41568</v>
      </c>
      <c r="E1246" s="589" t="s">
        <v>184</v>
      </c>
      <c r="F1246" s="589" t="s">
        <v>1392</v>
      </c>
      <c r="G1246" s="589" t="s">
        <v>1471</v>
      </c>
      <c r="H1246" s="592"/>
      <c r="I1246" s="811"/>
      <c r="J1246" s="589" t="s">
        <v>1395</v>
      </c>
      <c r="K1246" s="589" t="s">
        <v>1096</v>
      </c>
      <c r="L1246" s="806">
        <v>4</v>
      </c>
      <c r="M1246" s="806"/>
      <c r="N1246" s="807">
        <v>41576</v>
      </c>
    </row>
    <row r="1247" spans="1:14">
      <c r="A1247" s="804" t="s">
        <v>1721</v>
      </c>
      <c r="B1247" s="585" t="s">
        <v>297</v>
      </c>
      <c r="C1247" s="243">
        <v>41568</v>
      </c>
      <c r="D1247" s="243">
        <v>41568</v>
      </c>
      <c r="E1247" s="584" t="s">
        <v>181</v>
      </c>
      <c r="F1247" s="804" t="s">
        <v>1392</v>
      </c>
      <c r="G1247" s="812" t="s">
        <v>1402</v>
      </c>
      <c r="H1247" s="332">
        <v>1.5</v>
      </c>
      <c r="I1247" s="813">
        <v>1.5</v>
      </c>
      <c r="J1247" s="814"/>
      <c r="K1247" s="589" t="s">
        <v>1071</v>
      </c>
      <c r="L1247" s="810">
        <v>0.1</v>
      </c>
      <c r="M1247" s="810"/>
      <c r="N1247" s="807">
        <v>41585</v>
      </c>
    </row>
    <row r="1248" spans="1:14">
      <c r="A1248" s="804" t="s">
        <v>1721</v>
      </c>
      <c r="B1248" s="585" t="s">
        <v>297</v>
      </c>
      <c r="C1248" s="243">
        <v>41568</v>
      </c>
      <c r="D1248" s="243">
        <v>41568</v>
      </c>
      <c r="E1248" s="584" t="s">
        <v>181</v>
      </c>
      <c r="F1248" s="804" t="s">
        <v>1392</v>
      </c>
      <c r="G1248" s="812" t="s">
        <v>1402</v>
      </c>
      <c r="H1248" s="332">
        <v>0.9</v>
      </c>
      <c r="I1248" s="813">
        <v>0.9</v>
      </c>
      <c r="J1248" s="814"/>
      <c r="K1248" s="589" t="s">
        <v>1071</v>
      </c>
      <c r="L1248" s="810">
        <v>0.1</v>
      </c>
      <c r="M1248" s="810"/>
      <c r="N1248" s="807">
        <v>41585</v>
      </c>
    </row>
    <row r="1249" spans="1:14">
      <c r="A1249" s="804" t="s">
        <v>1723</v>
      </c>
      <c r="B1249" s="585" t="s">
        <v>402</v>
      </c>
      <c r="C1249" s="243">
        <v>41568</v>
      </c>
      <c r="D1249" s="243">
        <v>41568</v>
      </c>
      <c r="E1249" s="584" t="s">
        <v>206</v>
      </c>
      <c r="F1249" s="589" t="s">
        <v>1392</v>
      </c>
      <c r="G1249" s="805" t="s">
        <v>996</v>
      </c>
      <c r="H1249" s="589">
        <v>224</v>
      </c>
      <c r="I1249" s="583">
        <v>224</v>
      </c>
      <c r="J1249" s="589"/>
      <c r="K1249" s="637" t="s">
        <v>1071</v>
      </c>
      <c r="L1249" s="806">
        <v>6</v>
      </c>
      <c r="M1249" s="806">
        <v>42</v>
      </c>
      <c r="N1249" s="807">
        <v>41584</v>
      </c>
    </row>
    <row r="1250" spans="1:14">
      <c r="A1250" s="804" t="s">
        <v>1723</v>
      </c>
      <c r="B1250" s="585" t="s">
        <v>402</v>
      </c>
      <c r="C1250" s="243">
        <v>41568</v>
      </c>
      <c r="D1250" s="243">
        <v>41568</v>
      </c>
      <c r="E1250" s="589" t="s">
        <v>185</v>
      </c>
      <c r="F1250" s="589" t="s">
        <v>1392</v>
      </c>
      <c r="G1250" s="589" t="s">
        <v>1483</v>
      </c>
      <c r="H1250" s="589">
        <v>104</v>
      </c>
      <c r="I1250" s="583">
        <v>104</v>
      </c>
      <c r="J1250" s="589"/>
      <c r="K1250" s="589" t="s">
        <v>1071</v>
      </c>
      <c r="L1250" s="806">
        <v>2</v>
      </c>
      <c r="M1250" s="806">
        <v>8</v>
      </c>
      <c r="N1250" s="807">
        <v>41572</v>
      </c>
    </row>
    <row r="1251" spans="1:14">
      <c r="A1251" s="804" t="s">
        <v>1723</v>
      </c>
      <c r="B1251" s="585" t="s">
        <v>402</v>
      </c>
      <c r="C1251" s="243">
        <v>41568</v>
      </c>
      <c r="D1251" s="243">
        <v>41568</v>
      </c>
      <c r="E1251" s="589" t="s">
        <v>245</v>
      </c>
      <c r="F1251" s="589" t="s">
        <v>1392</v>
      </c>
      <c r="G1251" s="589" t="s">
        <v>991</v>
      </c>
      <c r="H1251" s="589">
        <v>9</v>
      </c>
      <c r="I1251" s="808" t="s">
        <v>1603</v>
      </c>
      <c r="J1251" s="589" t="s">
        <v>1419</v>
      </c>
      <c r="K1251" s="637" t="s">
        <v>1071</v>
      </c>
      <c r="L1251" s="809">
        <v>5</v>
      </c>
      <c r="M1251" s="809">
        <v>35</v>
      </c>
      <c r="N1251" s="807">
        <v>41575</v>
      </c>
    </row>
    <row r="1252" spans="1:14">
      <c r="A1252" s="804" t="s">
        <v>1723</v>
      </c>
      <c r="B1252" s="585" t="s">
        <v>402</v>
      </c>
      <c r="C1252" s="243">
        <v>41568</v>
      </c>
      <c r="D1252" s="243">
        <v>41568</v>
      </c>
      <c r="E1252" s="589" t="s">
        <v>179</v>
      </c>
      <c r="F1252" s="589" t="s">
        <v>1392</v>
      </c>
      <c r="G1252" s="805" t="s">
        <v>1000</v>
      </c>
      <c r="H1252" s="589"/>
      <c r="I1252" s="583"/>
      <c r="J1252" s="589" t="s">
        <v>1395</v>
      </c>
      <c r="K1252" s="589" t="s">
        <v>1071</v>
      </c>
      <c r="L1252" s="806">
        <v>2</v>
      </c>
      <c r="M1252" s="806">
        <v>8</v>
      </c>
      <c r="N1252" s="807">
        <v>41584</v>
      </c>
    </row>
    <row r="1253" spans="1:14">
      <c r="A1253" s="804" t="s">
        <v>1723</v>
      </c>
      <c r="B1253" s="585" t="s">
        <v>402</v>
      </c>
      <c r="C1253" s="243">
        <v>41568</v>
      </c>
      <c r="D1253" s="243">
        <v>41568</v>
      </c>
      <c r="E1253" s="590" t="s">
        <v>180</v>
      </c>
      <c r="F1253" s="589" t="s">
        <v>1392</v>
      </c>
      <c r="G1253" s="805" t="s">
        <v>1000</v>
      </c>
      <c r="H1253" s="591">
        <v>6</v>
      </c>
      <c r="I1253" s="590">
        <v>6</v>
      </c>
      <c r="J1253" s="637" t="s">
        <v>1419</v>
      </c>
      <c r="K1253" s="589" t="s">
        <v>1071</v>
      </c>
      <c r="L1253" s="810">
        <v>2</v>
      </c>
      <c r="M1253" s="810">
        <v>8</v>
      </c>
      <c r="N1253" s="807">
        <v>41584</v>
      </c>
    </row>
    <row r="1254" spans="1:14">
      <c r="A1254" s="804" t="s">
        <v>1723</v>
      </c>
      <c r="B1254" s="585" t="s">
        <v>402</v>
      </c>
      <c r="C1254" s="243">
        <v>41568</v>
      </c>
      <c r="D1254" s="243">
        <v>41568</v>
      </c>
      <c r="E1254" s="589" t="s">
        <v>184</v>
      </c>
      <c r="F1254" s="589" t="s">
        <v>1392</v>
      </c>
      <c r="G1254" s="589" t="s">
        <v>1471</v>
      </c>
      <c r="H1254" s="592"/>
      <c r="I1254" s="811"/>
      <c r="J1254" s="589" t="s">
        <v>1395</v>
      </c>
      <c r="K1254" s="589" t="s">
        <v>1096</v>
      </c>
      <c r="L1254" s="806">
        <v>4</v>
      </c>
      <c r="M1254" s="806"/>
      <c r="N1254" s="807">
        <v>41576</v>
      </c>
    </row>
    <row r="1255" spans="1:14">
      <c r="A1255" s="589" t="s">
        <v>1724</v>
      </c>
      <c r="B1255" s="583">
        <v>52</v>
      </c>
      <c r="C1255" s="243">
        <v>41568</v>
      </c>
      <c r="D1255" s="243">
        <v>41568</v>
      </c>
      <c r="E1255" s="584" t="s">
        <v>206</v>
      </c>
      <c r="F1255" s="589" t="s">
        <v>1392</v>
      </c>
      <c r="G1255" s="805" t="s">
        <v>996</v>
      </c>
      <c r="H1255" s="589">
        <v>358</v>
      </c>
      <c r="I1255" s="583">
        <v>358</v>
      </c>
      <c r="J1255" s="589"/>
      <c r="K1255" s="637" t="s">
        <v>1071</v>
      </c>
      <c r="L1255" s="806">
        <v>6</v>
      </c>
      <c r="M1255" s="806">
        <v>42</v>
      </c>
      <c r="N1255" s="807">
        <v>41584</v>
      </c>
    </row>
    <row r="1256" spans="1:14">
      <c r="A1256" s="589" t="s">
        <v>1724</v>
      </c>
      <c r="B1256" s="583">
        <v>52</v>
      </c>
      <c r="C1256" s="243">
        <v>41568</v>
      </c>
      <c r="D1256" s="243">
        <v>41568</v>
      </c>
      <c r="E1256" s="589" t="s">
        <v>185</v>
      </c>
      <c r="F1256" s="589" t="s">
        <v>1392</v>
      </c>
      <c r="G1256" s="589" t="s">
        <v>1483</v>
      </c>
      <c r="H1256" s="589">
        <v>202</v>
      </c>
      <c r="I1256" s="583">
        <v>202</v>
      </c>
      <c r="J1256" s="589"/>
      <c r="K1256" s="589" t="s">
        <v>1071</v>
      </c>
      <c r="L1256" s="806">
        <v>2</v>
      </c>
      <c r="M1256" s="806">
        <v>8</v>
      </c>
      <c r="N1256" s="807">
        <v>41572</v>
      </c>
    </row>
    <row r="1257" spans="1:14">
      <c r="A1257" s="589" t="s">
        <v>1724</v>
      </c>
      <c r="B1257" s="583">
        <v>52</v>
      </c>
      <c r="C1257" s="243">
        <v>41568</v>
      </c>
      <c r="D1257" s="243">
        <v>41568</v>
      </c>
      <c r="E1257" s="589" t="s">
        <v>245</v>
      </c>
      <c r="F1257" s="589" t="s">
        <v>1392</v>
      </c>
      <c r="G1257" s="589" t="s">
        <v>991</v>
      </c>
      <c r="H1257" s="589"/>
      <c r="I1257" s="583"/>
      <c r="J1257" s="589" t="s">
        <v>1395</v>
      </c>
      <c r="K1257" s="637" t="s">
        <v>1071</v>
      </c>
      <c r="L1257" s="809">
        <v>5</v>
      </c>
      <c r="M1257" s="809">
        <v>35</v>
      </c>
      <c r="N1257" s="807">
        <v>41575</v>
      </c>
    </row>
    <row r="1258" spans="1:14">
      <c r="A1258" s="589" t="s">
        <v>1724</v>
      </c>
      <c r="B1258" s="583">
        <v>52</v>
      </c>
      <c r="C1258" s="243">
        <v>41568</v>
      </c>
      <c r="D1258" s="243">
        <v>41568</v>
      </c>
      <c r="E1258" s="589" t="s">
        <v>179</v>
      </c>
      <c r="F1258" s="589" t="s">
        <v>1392</v>
      </c>
      <c r="G1258" s="805" t="s">
        <v>1000</v>
      </c>
      <c r="H1258" s="589"/>
      <c r="I1258" s="583"/>
      <c r="J1258" s="589" t="s">
        <v>1395</v>
      </c>
      <c r="K1258" s="589" t="s">
        <v>1071</v>
      </c>
      <c r="L1258" s="806">
        <v>2</v>
      </c>
      <c r="M1258" s="806">
        <v>8</v>
      </c>
      <c r="N1258" s="807">
        <v>41584</v>
      </c>
    </row>
    <row r="1259" spans="1:14">
      <c r="A1259" s="804" t="s">
        <v>1725</v>
      </c>
      <c r="B1259" s="585">
        <v>53</v>
      </c>
      <c r="C1259" s="243">
        <v>41568</v>
      </c>
      <c r="D1259" s="243">
        <v>41568</v>
      </c>
      <c r="E1259" s="584" t="s">
        <v>206</v>
      </c>
      <c r="F1259" s="589" t="s">
        <v>1392</v>
      </c>
      <c r="G1259" s="805" t="s">
        <v>996</v>
      </c>
      <c r="H1259" s="589">
        <v>244</v>
      </c>
      <c r="I1259" s="583">
        <v>244</v>
      </c>
      <c r="J1259" s="589"/>
      <c r="K1259" s="637" t="s">
        <v>1071</v>
      </c>
      <c r="L1259" s="806">
        <v>6</v>
      </c>
      <c r="M1259" s="806">
        <v>42</v>
      </c>
      <c r="N1259" s="807">
        <v>41584</v>
      </c>
    </row>
    <row r="1260" spans="1:14">
      <c r="A1260" s="804" t="s">
        <v>1725</v>
      </c>
      <c r="B1260" s="585">
        <v>53</v>
      </c>
      <c r="C1260" s="243">
        <v>41568</v>
      </c>
      <c r="D1260" s="243">
        <v>41568</v>
      </c>
      <c r="E1260" s="589" t="s">
        <v>185</v>
      </c>
      <c r="F1260" s="589" t="s">
        <v>1392</v>
      </c>
      <c r="G1260" s="589" t="s">
        <v>1483</v>
      </c>
      <c r="H1260" s="589">
        <v>73</v>
      </c>
      <c r="I1260" s="583">
        <v>73</v>
      </c>
      <c r="J1260" s="589"/>
      <c r="K1260" s="589" t="s">
        <v>1071</v>
      </c>
      <c r="L1260" s="806">
        <v>2</v>
      </c>
      <c r="M1260" s="806">
        <v>8</v>
      </c>
      <c r="N1260" s="807">
        <v>41572</v>
      </c>
    </row>
    <row r="1261" spans="1:14">
      <c r="A1261" s="804" t="s">
        <v>1725</v>
      </c>
      <c r="B1261" s="585">
        <v>53</v>
      </c>
      <c r="C1261" s="243">
        <v>41568</v>
      </c>
      <c r="D1261" s="243">
        <v>41568</v>
      </c>
      <c r="E1261" s="589" t="s">
        <v>245</v>
      </c>
      <c r="F1261" s="589" t="s">
        <v>1392</v>
      </c>
      <c r="G1261" s="589" t="s">
        <v>991</v>
      </c>
      <c r="H1261" s="589">
        <v>10</v>
      </c>
      <c r="I1261" s="583">
        <v>10</v>
      </c>
      <c r="J1261" s="589" t="s">
        <v>1419</v>
      </c>
      <c r="K1261" s="637" t="s">
        <v>1071</v>
      </c>
      <c r="L1261" s="809">
        <v>5</v>
      </c>
      <c r="M1261" s="809">
        <v>35</v>
      </c>
      <c r="N1261" s="807">
        <v>41575</v>
      </c>
    </row>
    <row r="1262" spans="1:14">
      <c r="A1262" s="804" t="s">
        <v>1725</v>
      </c>
      <c r="B1262" s="585">
        <v>53</v>
      </c>
      <c r="C1262" s="243">
        <v>41568</v>
      </c>
      <c r="D1262" s="243">
        <v>41568</v>
      </c>
      <c r="E1262" s="589" t="s">
        <v>179</v>
      </c>
      <c r="F1262" s="589" t="s">
        <v>1392</v>
      </c>
      <c r="G1262" s="805" t="s">
        <v>1000</v>
      </c>
      <c r="H1262" s="589"/>
      <c r="I1262" s="583"/>
      <c r="J1262" s="589" t="s">
        <v>1395</v>
      </c>
      <c r="K1262" s="589" t="s">
        <v>1071</v>
      </c>
      <c r="L1262" s="806">
        <v>2</v>
      </c>
      <c r="M1262" s="806">
        <v>8</v>
      </c>
      <c r="N1262" s="807">
        <v>41584</v>
      </c>
    </row>
    <row r="1263" spans="1:14">
      <c r="A1263" s="589" t="s">
        <v>1726</v>
      </c>
      <c r="B1263" s="583">
        <v>54</v>
      </c>
      <c r="C1263" s="243">
        <v>41568</v>
      </c>
      <c r="D1263" s="243">
        <v>41568</v>
      </c>
      <c r="E1263" s="584" t="s">
        <v>206</v>
      </c>
      <c r="F1263" s="589" t="s">
        <v>1392</v>
      </c>
      <c r="G1263" s="805" t="s">
        <v>996</v>
      </c>
      <c r="H1263" s="589">
        <v>307</v>
      </c>
      <c r="I1263" s="583">
        <v>307</v>
      </c>
      <c r="J1263" s="589"/>
      <c r="K1263" s="637" t="s">
        <v>1071</v>
      </c>
      <c r="L1263" s="806">
        <v>6</v>
      </c>
      <c r="M1263" s="806">
        <v>42</v>
      </c>
      <c r="N1263" s="807">
        <v>41584</v>
      </c>
    </row>
    <row r="1264" spans="1:14">
      <c r="A1264" s="589" t="s">
        <v>1726</v>
      </c>
      <c r="B1264" s="583">
        <v>54</v>
      </c>
      <c r="C1264" s="243">
        <v>41568</v>
      </c>
      <c r="D1264" s="243">
        <v>41568</v>
      </c>
      <c r="E1264" s="589" t="s">
        <v>185</v>
      </c>
      <c r="F1264" s="589" t="s">
        <v>1392</v>
      </c>
      <c r="G1264" s="589" t="s">
        <v>1483</v>
      </c>
      <c r="H1264" s="589">
        <v>46</v>
      </c>
      <c r="I1264" s="583">
        <v>46</v>
      </c>
      <c r="J1264" s="589"/>
      <c r="K1264" s="589" t="s">
        <v>1071</v>
      </c>
      <c r="L1264" s="806">
        <v>2</v>
      </c>
      <c r="M1264" s="806">
        <v>8</v>
      </c>
      <c r="N1264" s="807">
        <v>41572</v>
      </c>
    </row>
    <row r="1265" spans="1:14">
      <c r="A1265" s="589" t="s">
        <v>1726</v>
      </c>
      <c r="B1265" s="583">
        <v>54</v>
      </c>
      <c r="C1265" s="243">
        <v>41568</v>
      </c>
      <c r="D1265" s="243">
        <v>41568</v>
      </c>
      <c r="E1265" s="589" t="s">
        <v>245</v>
      </c>
      <c r="F1265" s="589" t="s">
        <v>1392</v>
      </c>
      <c r="G1265" s="589" t="s">
        <v>991</v>
      </c>
      <c r="H1265" s="589">
        <v>7</v>
      </c>
      <c r="I1265" s="583">
        <v>7</v>
      </c>
      <c r="J1265" s="589" t="s">
        <v>1419</v>
      </c>
      <c r="K1265" s="637" t="s">
        <v>1071</v>
      </c>
      <c r="L1265" s="809">
        <v>5</v>
      </c>
      <c r="M1265" s="809">
        <v>35</v>
      </c>
      <c r="N1265" s="807">
        <v>41575</v>
      </c>
    </row>
    <row r="1266" spans="1:14">
      <c r="A1266" s="589" t="s">
        <v>1726</v>
      </c>
      <c r="B1266" s="583">
        <v>54</v>
      </c>
      <c r="C1266" s="243">
        <v>41568</v>
      </c>
      <c r="D1266" s="243">
        <v>41568</v>
      </c>
      <c r="E1266" s="589" t="s">
        <v>179</v>
      </c>
      <c r="F1266" s="589" t="s">
        <v>1392</v>
      </c>
      <c r="G1266" s="805" t="s">
        <v>1000</v>
      </c>
      <c r="H1266" s="589">
        <v>31</v>
      </c>
      <c r="I1266" s="583">
        <v>31</v>
      </c>
      <c r="J1266" s="589"/>
      <c r="K1266" s="589" t="s">
        <v>1071</v>
      </c>
      <c r="L1266" s="806">
        <v>2</v>
      </c>
      <c r="M1266" s="806">
        <v>8</v>
      </c>
      <c r="N1266" s="807">
        <v>41584</v>
      </c>
    </row>
    <row r="1267" spans="1:14">
      <c r="A1267" s="589" t="s">
        <v>1727</v>
      </c>
      <c r="B1267" s="583">
        <v>55</v>
      </c>
      <c r="C1267" s="243">
        <v>41568</v>
      </c>
      <c r="D1267" s="243">
        <v>41568</v>
      </c>
      <c r="E1267" s="584" t="s">
        <v>206</v>
      </c>
      <c r="F1267" s="589" t="s">
        <v>1392</v>
      </c>
      <c r="G1267" s="805" t="s">
        <v>996</v>
      </c>
      <c r="H1267" s="589">
        <v>268</v>
      </c>
      <c r="I1267" s="583">
        <v>268</v>
      </c>
      <c r="J1267" s="589"/>
      <c r="K1267" s="637" t="s">
        <v>1071</v>
      </c>
      <c r="L1267" s="806">
        <v>6</v>
      </c>
      <c r="M1267" s="806">
        <v>42</v>
      </c>
      <c r="N1267" s="807">
        <v>41584</v>
      </c>
    </row>
    <row r="1268" spans="1:14">
      <c r="A1268" s="589" t="s">
        <v>1727</v>
      </c>
      <c r="B1268" s="583">
        <v>55</v>
      </c>
      <c r="C1268" s="243">
        <v>41568</v>
      </c>
      <c r="D1268" s="243">
        <v>41568</v>
      </c>
      <c r="E1268" s="589" t="s">
        <v>185</v>
      </c>
      <c r="F1268" s="589" t="s">
        <v>1392</v>
      </c>
      <c r="G1268" s="589" t="s">
        <v>1483</v>
      </c>
      <c r="H1268" s="589">
        <v>69</v>
      </c>
      <c r="I1268" s="583">
        <v>69</v>
      </c>
      <c r="J1268" s="589"/>
      <c r="K1268" s="589" t="s">
        <v>1071</v>
      </c>
      <c r="L1268" s="806">
        <v>2</v>
      </c>
      <c r="M1268" s="806">
        <v>8</v>
      </c>
      <c r="N1268" s="807">
        <v>41572</v>
      </c>
    </row>
    <row r="1269" spans="1:14">
      <c r="A1269" s="589" t="s">
        <v>1727</v>
      </c>
      <c r="B1269" s="583">
        <v>55</v>
      </c>
      <c r="C1269" s="243">
        <v>41568</v>
      </c>
      <c r="D1269" s="243">
        <v>41568</v>
      </c>
      <c r="E1269" s="589" t="s">
        <v>245</v>
      </c>
      <c r="F1269" s="589" t="s">
        <v>1392</v>
      </c>
      <c r="G1269" s="589" t="s">
        <v>991</v>
      </c>
      <c r="H1269" s="589">
        <v>6</v>
      </c>
      <c r="I1269" s="583">
        <v>6</v>
      </c>
      <c r="J1269" s="589" t="s">
        <v>1419</v>
      </c>
      <c r="K1269" s="637" t="s">
        <v>1071</v>
      </c>
      <c r="L1269" s="809">
        <v>5</v>
      </c>
      <c r="M1269" s="809">
        <v>35</v>
      </c>
      <c r="N1269" s="807">
        <v>41575</v>
      </c>
    </row>
    <row r="1270" spans="1:14">
      <c r="A1270" s="589" t="s">
        <v>1727</v>
      </c>
      <c r="B1270" s="583">
        <v>55</v>
      </c>
      <c r="C1270" s="243">
        <v>41568</v>
      </c>
      <c r="D1270" s="243">
        <v>41568</v>
      </c>
      <c r="E1270" s="589" t="s">
        <v>179</v>
      </c>
      <c r="F1270" s="589" t="s">
        <v>1392</v>
      </c>
      <c r="G1270" s="805" t="s">
        <v>1000</v>
      </c>
      <c r="H1270" s="589"/>
      <c r="I1270" s="583"/>
      <c r="J1270" s="589" t="s">
        <v>1395</v>
      </c>
      <c r="K1270" s="589" t="s">
        <v>1071</v>
      </c>
      <c r="L1270" s="806">
        <v>2</v>
      </c>
      <c r="M1270" s="806">
        <v>8</v>
      </c>
      <c r="N1270" s="807">
        <v>41584</v>
      </c>
    </row>
    <row r="1272" spans="1:14">
      <c r="A1272" s="804" t="s">
        <v>1728</v>
      </c>
      <c r="B1272" s="583">
        <v>64</v>
      </c>
      <c r="C1272" s="243">
        <v>41570</v>
      </c>
      <c r="D1272" s="243">
        <v>41570</v>
      </c>
      <c r="E1272" s="584" t="s">
        <v>206</v>
      </c>
      <c r="F1272" s="589" t="s">
        <v>1392</v>
      </c>
      <c r="G1272" s="805" t="s">
        <v>996</v>
      </c>
      <c r="H1272" s="589">
        <v>639</v>
      </c>
      <c r="I1272" s="583">
        <v>639</v>
      </c>
      <c r="J1272" s="589"/>
      <c r="K1272" s="637" t="s">
        <v>1071</v>
      </c>
      <c r="L1272" s="806">
        <v>6</v>
      </c>
      <c r="M1272" s="806">
        <v>42</v>
      </c>
      <c r="N1272" s="807">
        <v>41584</v>
      </c>
    </row>
    <row r="1273" spans="1:14">
      <c r="A1273" s="804" t="s">
        <v>1728</v>
      </c>
      <c r="B1273" s="583">
        <v>64</v>
      </c>
      <c r="C1273" s="243">
        <v>41570</v>
      </c>
      <c r="D1273" s="243">
        <v>41570</v>
      </c>
      <c r="E1273" s="589" t="s">
        <v>185</v>
      </c>
      <c r="F1273" s="589" t="s">
        <v>1392</v>
      </c>
      <c r="G1273" s="589" t="s">
        <v>1483</v>
      </c>
      <c r="H1273" s="589">
        <v>319</v>
      </c>
      <c r="I1273" s="583">
        <v>319</v>
      </c>
      <c r="J1273" s="589"/>
      <c r="K1273" s="589" t="s">
        <v>1071</v>
      </c>
      <c r="L1273" s="806">
        <v>2</v>
      </c>
      <c r="M1273" s="806">
        <v>8</v>
      </c>
      <c r="N1273" s="807">
        <v>41572</v>
      </c>
    </row>
    <row r="1274" spans="1:14">
      <c r="A1274" s="804" t="s">
        <v>1728</v>
      </c>
      <c r="B1274" s="583">
        <v>64</v>
      </c>
      <c r="C1274" s="243">
        <v>41570</v>
      </c>
      <c r="D1274" s="243">
        <v>41570</v>
      </c>
      <c r="E1274" s="589" t="s">
        <v>245</v>
      </c>
      <c r="F1274" s="589" t="s">
        <v>1392</v>
      </c>
      <c r="G1274" s="589" t="s">
        <v>991</v>
      </c>
      <c r="H1274" s="589">
        <v>15</v>
      </c>
      <c r="I1274" s="583">
        <v>15</v>
      </c>
      <c r="J1274" s="589" t="s">
        <v>1419</v>
      </c>
      <c r="K1274" s="637" t="s">
        <v>1071</v>
      </c>
      <c r="L1274" s="809">
        <v>5</v>
      </c>
      <c r="M1274" s="809">
        <v>35</v>
      </c>
      <c r="N1274" s="807">
        <v>41575</v>
      </c>
    </row>
    <row r="1275" spans="1:14">
      <c r="A1275" s="804" t="s">
        <v>1728</v>
      </c>
      <c r="B1275" s="583">
        <v>64</v>
      </c>
      <c r="C1275" s="243">
        <v>41570</v>
      </c>
      <c r="D1275" s="243">
        <v>41570</v>
      </c>
      <c r="E1275" s="589" t="s">
        <v>179</v>
      </c>
      <c r="F1275" s="589" t="s">
        <v>1392</v>
      </c>
      <c r="G1275" s="805" t="s">
        <v>1000</v>
      </c>
      <c r="H1275" s="589">
        <v>66</v>
      </c>
      <c r="I1275" s="583">
        <v>66</v>
      </c>
      <c r="J1275" s="589"/>
      <c r="K1275" s="589" t="s">
        <v>1071</v>
      </c>
      <c r="L1275" s="806">
        <v>2</v>
      </c>
      <c r="M1275" s="806">
        <v>8</v>
      </c>
      <c r="N1275" s="807">
        <v>41584</v>
      </c>
    </row>
    <row r="1276" spans="1:14">
      <c r="A1276" s="804" t="s">
        <v>1729</v>
      </c>
      <c r="B1276" s="583">
        <v>32</v>
      </c>
      <c r="C1276" s="243">
        <v>41570</v>
      </c>
      <c r="D1276" s="243">
        <v>41570</v>
      </c>
      <c r="E1276" s="584" t="s">
        <v>206</v>
      </c>
      <c r="F1276" s="589" t="s">
        <v>1392</v>
      </c>
      <c r="G1276" s="805" t="s">
        <v>996</v>
      </c>
      <c r="H1276" s="589">
        <v>2147</v>
      </c>
      <c r="I1276" s="583">
        <v>2147</v>
      </c>
      <c r="J1276" s="589"/>
      <c r="K1276" s="637" t="s">
        <v>1071</v>
      </c>
      <c r="L1276" s="806">
        <v>6</v>
      </c>
      <c r="M1276" s="806">
        <v>42</v>
      </c>
      <c r="N1276" s="807">
        <v>41584</v>
      </c>
    </row>
    <row r="1277" spans="1:14">
      <c r="A1277" s="804" t="s">
        <v>1729</v>
      </c>
      <c r="B1277" s="583">
        <v>32</v>
      </c>
      <c r="C1277" s="243">
        <v>41570</v>
      </c>
      <c r="D1277" s="243">
        <v>41570</v>
      </c>
      <c r="E1277" s="589" t="s">
        <v>185</v>
      </c>
      <c r="F1277" s="589" t="s">
        <v>1392</v>
      </c>
      <c r="G1277" s="589" t="s">
        <v>1483</v>
      </c>
      <c r="H1277" s="589">
        <v>1325</v>
      </c>
      <c r="I1277" s="583">
        <v>1325</v>
      </c>
      <c r="J1277" s="589"/>
      <c r="K1277" s="589" t="s">
        <v>1071</v>
      </c>
      <c r="L1277" s="806">
        <v>2</v>
      </c>
      <c r="M1277" s="806">
        <v>8</v>
      </c>
      <c r="N1277" s="807">
        <v>41572</v>
      </c>
    </row>
    <row r="1278" spans="1:14">
      <c r="A1278" s="804" t="s">
        <v>1729</v>
      </c>
      <c r="B1278" s="583">
        <v>32</v>
      </c>
      <c r="C1278" s="243">
        <v>41570</v>
      </c>
      <c r="D1278" s="243">
        <v>41570</v>
      </c>
      <c r="E1278" s="589" t="s">
        <v>245</v>
      </c>
      <c r="F1278" s="589" t="s">
        <v>1392</v>
      </c>
      <c r="G1278" s="589" t="s">
        <v>991</v>
      </c>
      <c r="H1278" s="589">
        <v>222</v>
      </c>
      <c r="I1278" s="583">
        <v>222</v>
      </c>
      <c r="J1278" s="589"/>
      <c r="K1278" s="637" t="s">
        <v>1071</v>
      </c>
      <c r="L1278" s="809">
        <v>5</v>
      </c>
      <c r="M1278" s="809">
        <v>35</v>
      </c>
      <c r="N1278" s="807">
        <v>41575</v>
      </c>
    </row>
    <row r="1279" spans="1:14">
      <c r="A1279" s="804" t="s">
        <v>1729</v>
      </c>
      <c r="B1279" s="583">
        <v>32</v>
      </c>
      <c r="C1279" s="243">
        <v>41570</v>
      </c>
      <c r="D1279" s="243">
        <v>41570</v>
      </c>
      <c r="E1279" s="589" t="s">
        <v>179</v>
      </c>
      <c r="F1279" s="589" t="s">
        <v>1392</v>
      </c>
      <c r="G1279" s="805" t="s">
        <v>1000</v>
      </c>
      <c r="H1279" s="589">
        <v>192</v>
      </c>
      <c r="I1279" s="583">
        <v>192</v>
      </c>
      <c r="J1279" s="589"/>
      <c r="K1279" s="589" t="s">
        <v>1071</v>
      </c>
      <c r="L1279" s="806">
        <v>2</v>
      </c>
      <c r="M1279" s="806">
        <v>8</v>
      </c>
      <c r="N1279" s="807">
        <v>41584</v>
      </c>
    </row>
    <row r="1280" spans="1:14">
      <c r="A1280" s="804" t="s">
        <v>1730</v>
      </c>
      <c r="B1280" s="583">
        <v>5</v>
      </c>
      <c r="C1280" s="243">
        <v>41570</v>
      </c>
      <c r="D1280" s="243">
        <v>41570</v>
      </c>
      <c r="E1280" s="584" t="s">
        <v>206</v>
      </c>
      <c r="F1280" s="589" t="s">
        <v>1392</v>
      </c>
      <c r="G1280" s="805" t="s">
        <v>996</v>
      </c>
      <c r="H1280" s="589">
        <v>224</v>
      </c>
      <c r="I1280" s="583">
        <v>224</v>
      </c>
      <c r="J1280" s="589"/>
      <c r="K1280" s="637" t="s">
        <v>1071</v>
      </c>
      <c r="L1280" s="806">
        <v>6</v>
      </c>
      <c r="M1280" s="806">
        <v>42</v>
      </c>
      <c r="N1280" s="807">
        <v>41584</v>
      </c>
    </row>
    <row r="1281" spans="1:14">
      <c r="A1281" s="804" t="s">
        <v>1730</v>
      </c>
      <c r="B1281" s="583">
        <v>5</v>
      </c>
      <c r="C1281" s="243">
        <v>41570</v>
      </c>
      <c r="D1281" s="243">
        <v>41570</v>
      </c>
      <c r="E1281" s="589" t="s">
        <v>185</v>
      </c>
      <c r="F1281" s="589" t="s">
        <v>1392</v>
      </c>
      <c r="G1281" s="589" t="s">
        <v>1483</v>
      </c>
      <c r="H1281" s="589">
        <v>108</v>
      </c>
      <c r="I1281" s="583">
        <v>108</v>
      </c>
      <c r="J1281" s="589"/>
      <c r="K1281" s="589" t="s">
        <v>1071</v>
      </c>
      <c r="L1281" s="806">
        <v>2</v>
      </c>
      <c r="M1281" s="806">
        <v>8</v>
      </c>
      <c r="N1281" s="807">
        <v>41572</v>
      </c>
    </row>
    <row r="1282" spans="1:14">
      <c r="A1282" s="804" t="s">
        <v>1730</v>
      </c>
      <c r="B1282" s="583">
        <v>5</v>
      </c>
      <c r="C1282" s="243">
        <v>41570</v>
      </c>
      <c r="D1282" s="243">
        <v>41570</v>
      </c>
      <c r="E1282" s="589" t="s">
        <v>245</v>
      </c>
      <c r="F1282" s="589" t="s">
        <v>1392</v>
      </c>
      <c r="G1282" s="589" t="s">
        <v>991</v>
      </c>
      <c r="H1282" s="589">
        <v>11</v>
      </c>
      <c r="I1282" s="583">
        <v>11</v>
      </c>
      <c r="J1282" s="589" t="s">
        <v>1419</v>
      </c>
      <c r="K1282" s="637" t="s">
        <v>1071</v>
      </c>
      <c r="L1282" s="809">
        <v>5</v>
      </c>
      <c r="M1282" s="809">
        <v>35</v>
      </c>
      <c r="N1282" s="807">
        <v>41575</v>
      </c>
    </row>
    <row r="1283" spans="1:14">
      <c r="A1283" s="804" t="s">
        <v>1730</v>
      </c>
      <c r="B1283" s="583">
        <v>5</v>
      </c>
      <c r="C1283" s="243">
        <v>41570</v>
      </c>
      <c r="D1283" s="243">
        <v>41570</v>
      </c>
      <c r="E1283" s="589" t="s">
        <v>179</v>
      </c>
      <c r="F1283" s="589" t="s">
        <v>1392</v>
      </c>
      <c r="G1283" s="805" t="s">
        <v>1000</v>
      </c>
      <c r="H1283" s="589">
        <v>6</v>
      </c>
      <c r="I1283" s="583">
        <v>6</v>
      </c>
      <c r="J1283" s="589" t="s">
        <v>1419</v>
      </c>
      <c r="K1283" s="589" t="s">
        <v>1071</v>
      </c>
      <c r="L1283" s="806">
        <v>2</v>
      </c>
      <c r="M1283" s="806">
        <v>8</v>
      </c>
      <c r="N1283" s="807">
        <v>41584</v>
      </c>
    </row>
    <row r="1284" spans="1:14">
      <c r="A1284" s="804" t="s">
        <v>1731</v>
      </c>
      <c r="B1284" s="583" t="s">
        <v>439</v>
      </c>
      <c r="C1284" s="243">
        <v>41570</v>
      </c>
      <c r="D1284" s="243">
        <v>41570</v>
      </c>
      <c r="E1284" s="584" t="s">
        <v>206</v>
      </c>
      <c r="F1284" s="589" t="s">
        <v>1392</v>
      </c>
      <c r="G1284" s="805" t="s">
        <v>996</v>
      </c>
      <c r="H1284" s="589">
        <v>329</v>
      </c>
      <c r="I1284" s="583">
        <v>329</v>
      </c>
      <c r="J1284" s="589"/>
      <c r="K1284" s="637" t="s">
        <v>1071</v>
      </c>
      <c r="L1284" s="806">
        <v>6</v>
      </c>
      <c r="M1284" s="806">
        <v>42</v>
      </c>
      <c r="N1284" s="807">
        <v>41584</v>
      </c>
    </row>
    <row r="1285" spans="1:14">
      <c r="A1285" s="804" t="s">
        <v>1731</v>
      </c>
      <c r="B1285" s="583" t="s">
        <v>439</v>
      </c>
      <c r="C1285" s="243">
        <v>41570</v>
      </c>
      <c r="D1285" s="243">
        <v>41570</v>
      </c>
      <c r="E1285" s="589" t="s">
        <v>185</v>
      </c>
      <c r="F1285" s="589" t="s">
        <v>1392</v>
      </c>
      <c r="G1285" s="589" t="s">
        <v>1483</v>
      </c>
      <c r="H1285" s="589">
        <v>182</v>
      </c>
      <c r="I1285" s="583">
        <v>182</v>
      </c>
      <c r="J1285" s="589"/>
      <c r="K1285" s="589" t="s">
        <v>1071</v>
      </c>
      <c r="L1285" s="806">
        <v>2</v>
      </c>
      <c r="M1285" s="806">
        <v>8</v>
      </c>
      <c r="N1285" s="807">
        <v>41572</v>
      </c>
    </row>
    <row r="1286" spans="1:14">
      <c r="A1286" s="804" t="s">
        <v>1731</v>
      </c>
      <c r="B1286" s="583" t="s">
        <v>439</v>
      </c>
      <c r="C1286" s="243">
        <v>41570</v>
      </c>
      <c r="D1286" s="243">
        <v>41570</v>
      </c>
      <c r="E1286" s="589" t="s">
        <v>245</v>
      </c>
      <c r="F1286" s="589" t="s">
        <v>1392</v>
      </c>
      <c r="G1286" s="589" t="s">
        <v>991</v>
      </c>
      <c r="H1286" s="589">
        <v>14</v>
      </c>
      <c r="I1286" s="583">
        <v>14</v>
      </c>
      <c r="J1286" s="589" t="s">
        <v>1419</v>
      </c>
      <c r="K1286" s="637" t="s">
        <v>1071</v>
      </c>
      <c r="L1286" s="809">
        <v>5</v>
      </c>
      <c r="M1286" s="809">
        <v>35</v>
      </c>
      <c r="N1286" s="807">
        <v>41575</v>
      </c>
    </row>
    <row r="1287" spans="1:14">
      <c r="A1287" s="804" t="s">
        <v>1731</v>
      </c>
      <c r="B1287" s="583" t="s">
        <v>439</v>
      </c>
      <c r="C1287" s="243">
        <v>41570</v>
      </c>
      <c r="D1287" s="243">
        <v>41570</v>
      </c>
      <c r="E1287" s="589" t="s">
        <v>179</v>
      </c>
      <c r="F1287" s="589" t="s">
        <v>1392</v>
      </c>
      <c r="G1287" s="805" t="s">
        <v>1000</v>
      </c>
      <c r="H1287" s="589"/>
      <c r="I1287" s="583"/>
      <c r="J1287" s="589" t="s">
        <v>1395</v>
      </c>
      <c r="K1287" s="589" t="s">
        <v>1071</v>
      </c>
      <c r="L1287" s="806">
        <v>2</v>
      </c>
      <c r="M1287" s="806">
        <v>8</v>
      </c>
      <c r="N1287" s="807">
        <v>41584</v>
      </c>
    </row>
    <row r="1288" spans="1:14">
      <c r="A1288" s="589" t="s">
        <v>1732</v>
      </c>
      <c r="B1288" s="583">
        <v>9</v>
      </c>
      <c r="C1288" s="243">
        <v>41570</v>
      </c>
      <c r="D1288" s="243">
        <v>41570</v>
      </c>
      <c r="E1288" s="584" t="s">
        <v>206</v>
      </c>
      <c r="F1288" s="589" t="s">
        <v>1392</v>
      </c>
      <c r="G1288" s="805" t="s">
        <v>996</v>
      </c>
      <c r="H1288" s="589">
        <v>383</v>
      </c>
      <c r="I1288" s="583">
        <v>383</v>
      </c>
      <c r="J1288" s="589"/>
      <c r="K1288" s="637" t="s">
        <v>1071</v>
      </c>
      <c r="L1288" s="806">
        <v>6</v>
      </c>
      <c r="M1288" s="806">
        <v>42</v>
      </c>
      <c r="N1288" s="807">
        <v>41584</v>
      </c>
    </row>
    <row r="1289" spans="1:14">
      <c r="A1289" s="589" t="s">
        <v>1732</v>
      </c>
      <c r="B1289" s="583">
        <v>9</v>
      </c>
      <c r="C1289" s="243">
        <v>41570</v>
      </c>
      <c r="D1289" s="243">
        <v>41570</v>
      </c>
      <c r="E1289" s="589" t="s">
        <v>185</v>
      </c>
      <c r="F1289" s="589" t="s">
        <v>1392</v>
      </c>
      <c r="G1289" s="589" t="s">
        <v>1483</v>
      </c>
      <c r="H1289" s="589">
        <v>220</v>
      </c>
      <c r="I1289" s="583">
        <v>220</v>
      </c>
      <c r="J1289" s="589"/>
      <c r="K1289" s="589" t="s">
        <v>1071</v>
      </c>
      <c r="L1289" s="806">
        <v>2</v>
      </c>
      <c r="M1289" s="806">
        <v>8</v>
      </c>
      <c r="N1289" s="807">
        <v>41572</v>
      </c>
    </row>
    <row r="1290" spans="1:14">
      <c r="A1290" s="589" t="s">
        <v>1732</v>
      </c>
      <c r="B1290" s="583">
        <v>9</v>
      </c>
      <c r="C1290" s="243">
        <v>41570</v>
      </c>
      <c r="D1290" s="243">
        <v>41570</v>
      </c>
      <c r="E1290" s="589" t="s">
        <v>245</v>
      </c>
      <c r="F1290" s="589" t="s">
        <v>1392</v>
      </c>
      <c r="G1290" s="589" t="s">
        <v>991</v>
      </c>
      <c r="H1290" s="589">
        <v>16</v>
      </c>
      <c r="I1290" s="583">
        <v>16</v>
      </c>
      <c r="J1290" s="589" t="s">
        <v>1419</v>
      </c>
      <c r="K1290" s="637" t="s">
        <v>1071</v>
      </c>
      <c r="L1290" s="809">
        <v>5</v>
      </c>
      <c r="M1290" s="809">
        <v>35</v>
      </c>
      <c r="N1290" s="807">
        <v>41575</v>
      </c>
    </row>
    <row r="1291" spans="1:14">
      <c r="A1291" s="589" t="s">
        <v>1732</v>
      </c>
      <c r="B1291" s="583">
        <v>9</v>
      </c>
      <c r="C1291" s="243">
        <v>41570</v>
      </c>
      <c r="D1291" s="243">
        <v>41570</v>
      </c>
      <c r="E1291" s="589" t="s">
        <v>179</v>
      </c>
      <c r="F1291" s="589" t="s">
        <v>1392</v>
      </c>
      <c r="G1291" s="805" t="s">
        <v>1000</v>
      </c>
      <c r="H1291" s="589">
        <v>7</v>
      </c>
      <c r="I1291" s="583">
        <v>7</v>
      </c>
      <c r="J1291" s="589" t="s">
        <v>1419</v>
      </c>
      <c r="K1291" s="589" t="s">
        <v>1071</v>
      </c>
      <c r="L1291" s="806">
        <v>2</v>
      </c>
      <c r="M1291" s="806">
        <v>8</v>
      </c>
      <c r="N1291" s="807">
        <v>41584</v>
      </c>
    </row>
    <row r="1292" spans="1:14">
      <c r="A1292" s="804" t="s">
        <v>1733</v>
      </c>
      <c r="B1292" s="583">
        <v>12</v>
      </c>
      <c r="C1292" s="243">
        <v>41570</v>
      </c>
      <c r="D1292" s="243">
        <v>41570</v>
      </c>
      <c r="E1292" s="584" t="s">
        <v>206</v>
      </c>
      <c r="F1292" s="589" t="s">
        <v>1392</v>
      </c>
      <c r="G1292" s="805" t="s">
        <v>996</v>
      </c>
      <c r="H1292" s="589">
        <v>496</v>
      </c>
      <c r="I1292" s="583">
        <v>496</v>
      </c>
      <c r="J1292" s="589"/>
      <c r="K1292" s="637" t="s">
        <v>1071</v>
      </c>
      <c r="L1292" s="806">
        <v>6</v>
      </c>
      <c r="M1292" s="806">
        <v>42</v>
      </c>
      <c r="N1292" s="807">
        <v>41584</v>
      </c>
    </row>
    <row r="1293" spans="1:14">
      <c r="A1293" s="804" t="s">
        <v>1733</v>
      </c>
      <c r="B1293" s="583">
        <v>12</v>
      </c>
      <c r="C1293" s="243">
        <v>41570</v>
      </c>
      <c r="D1293" s="243">
        <v>41570</v>
      </c>
      <c r="E1293" s="589" t="s">
        <v>185</v>
      </c>
      <c r="F1293" s="589" t="s">
        <v>1392</v>
      </c>
      <c r="G1293" s="589" t="s">
        <v>1483</v>
      </c>
      <c r="H1293" s="589">
        <v>305</v>
      </c>
      <c r="I1293" s="583">
        <v>305</v>
      </c>
      <c r="J1293" s="589"/>
      <c r="K1293" s="589" t="s">
        <v>1071</v>
      </c>
      <c r="L1293" s="806">
        <v>2</v>
      </c>
      <c r="M1293" s="806">
        <v>8</v>
      </c>
      <c r="N1293" s="807">
        <v>41572</v>
      </c>
    </row>
    <row r="1294" spans="1:14">
      <c r="A1294" s="804" t="s">
        <v>1733</v>
      </c>
      <c r="B1294" s="583">
        <v>12</v>
      </c>
      <c r="C1294" s="243">
        <v>41570</v>
      </c>
      <c r="D1294" s="243">
        <v>41570</v>
      </c>
      <c r="E1294" s="589" t="s">
        <v>245</v>
      </c>
      <c r="F1294" s="589" t="s">
        <v>1392</v>
      </c>
      <c r="G1294" s="589" t="s">
        <v>991</v>
      </c>
      <c r="H1294" s="589">
        <v>9</v>
      </c>
      <c r="I1294" s="583">
        <v>9</v>
      </c>
      <c r="J1294" s="589" t="s">
        <v>1419</v>
      </c>
      <c r="K1294" s="637" t="s">
        <v>1071</v>
      </c>
      <c r="L1294" s="809">
        <v>5</v>
      </c>
      <c r="M1294" s="809">
        <v>35</v>
      </c>
      <c r="N1294" s="807">
        <v>41575</v>
      </c>
    </row>
    <row r="1295" spans="1:14">
      <c r="A1295" s="804" t="s">
        <v>1733</v>
      </c>
      <c r="B1295" s="583">
        <v>12</v>
      </c>
      <c r="C1295" s="243">
        <v>41570</v>
      </c>
      <c r="D1295" s="243">
        <v>41570</v>
      </c>
      <c r="E1295" s="589" t="s">
        <v>179</v>
      </c>
      <c r="F1295" s="589" t="s">
        <v>1392</v>
      </c>
      <c r="G1295" s="805" t="s">
        <v>1000</v>
      </c>
      <c r="H1295" s="589">
        <v>6</v>
      </c>
      <c r="I1295" s="583">
        <v>6</v>
      </c>
      <c r="J1295" s="589" t="s">
        <v>1419</v>
      </c>
      <c r="K1295" s="589" t="s">
        <v>1071</v>
      </c>
      <c r="L1295" s="806">
        <v>2</v>
      </c>
      <c r="M1295" s="806">
        <v>8</v>
      </c>
      <c r="N1295" s="807">
        <v>41584</v>
      </c>
    </row>
    <row r="1296" spans="1:14">
      <c r="A1296" s="804" t="s">
        <v>1734</v>
      </c>
      <c r="B1296" s="583" t="s">
        <v>440</v>
      </c>
      <c r="C1296" s="243">
        <v>41570</v>
      </c>
      <c r="D1296" s="243">
        <v>41570</v>
      </c>
      <c r="E1296" s="584" t="s">
        <v>206</v>
      </c>
      <c r="F1296" s="589" t="s">
        <v>1392</v>
      </c>
      <c r="G1296" s="805" t="s">
        <v>996</v>
      </c>
      <c r="H1296" s="589">
        <v>473</v>
      </c>
      <c r="I1296" s="583">
        <v>473</v>
      </c>
      <c r="J1296" s="589"/>
      <c r="K1296" s="637" t="s">
        <v>1071</v>
      </c>
      <c r="L1296" s="806">
        <v>6</v>
      </c>
      <c r="M1296" s="806">
        <v>42</v>
      </c>
      <c r="N1296" s="807">
        <v>41584</v>
      </c>
    </row>
    <row r="1297" spans="1:14">
      <c r="A1297" s="804" t="s">
        <v>1734</v>
      </c>
      <c r="B1297" s="585" t="s">
        <v>440</v>
      </c>
      <c r="C1297" s="243">
        <v>41570</v>
      </c>
      <c r="D1297" s="243">
        <v>41570</v>
      </c>
      <c r="E1297" s="589" t="s">
        <v>185</v>
      </c>
      <c r="F1297" s="589" t="s">
        <v>1392</v>
      </c>
      <c r="G1297" s="589" t="s">
        <v>1483</v>
      </c>
      <c r="H1297" s="589">
        <v>285</v>
      </c>
      <c r="I1297" s="583">
        <v>285</v>
      </c>
      <c r="J1297" s="589"/>
      <c r="K1297" s="637" t="s">
        <v>1071</v>
      </c>
      <c r="L1297" s="806">
        <v>2</v>
      </c>
      <c r="M1297" s="806">
        <v>8</v>
      </c>
      <c r="N1297" s="807">
        <v>41572</v>
      </c>
    </row>
    <row r="1298" spans="1:14">
      <c r="A1298" s="804" t="s">
        <v>1734</v>
      </c>
      <c r="B1298" s="585" t="s">
        <v>440</v>
      </c>
      <c r="C1298" s="243">
        <v>41570</v>
      </c>
      <c r="D1298" s="243">
        <v>41570</v>
      </c>
      <c r="E1298" s="589" t="s">
        <v>245</v>
      </c>
      <c r="F1298" s="589" t="s">
        <v>1392</v>
      </c>
      <c r="G1298" s="589" t="s">
        <v>991</v>
      </c>
      <c r="H1298" s="589">
        <v>8</v>
      </c>
      <c r="I1298" s="583">
        <v>8</v>
      </c>
      <c r="J1298" s="589" t="s">
        <v>1419</v>
      </c>
      <c r="K1298" s="589" t="s">
        <v>1071</v>
      </c>
      <c r="L1298" s="809">
        <v>5</v>
      </c>
      <c r="M1298" s="809">
        <v>35</v>
      </c>
      <c r="N1298" s="807">
        <v>41575</v>
      </c>
    </row>
    <row r="1299" spans="1:14">
      <c r="A1299" s="804" t="s">
        <v>1734</v>
      </c>
      <c r="B1299" s="585" t="s">
        <v>440</v>
      </c>
      <c r="C1299" s="243">
        <v>41570</v>
      </c>
      <c r="D1299" s="243">
        <v>41570</v>
      </c>
      <c r="E1299" s="589" t="s">
        <v>179</v>
      </c>
      <c r="F1299" s="589" t="s">
        <v>1392</v>
      </c>
      <c r="G1299" s="805" t="s">
        <v>1000</v>
      </c>
      <c r="H1299" s="589">
        <v>3</v>
      </c>
      <c r="I1299" s="583">
        <v>3</v>
      </c>
      <c r="J1299" s="589" t="s">
        <v>1419</v>
      </c>
      <c r="K1299" s="589" t="s">
        <v>1071</v>
      </c>
      <c r="L1299" s="806">
        <v>2</v>
      </c>
      <c r="M1299" s="806">
        <v>8</v>
      </c>
      <c r="N1299" s="807">
        <v>41584</v>
      </c>
    </row>
    <row r="1300" spans="1:14">
      <c r="A1300" s="804" t="s">
        <v>1735</v>
      </c>
      <c r="B1300" s="583" t="s">
        <v>1137</v>
      </c>
      <c r="C1300" s="243">
        <v>41570</v>
      </c>
      <c r="D1300" s="243">
        <v>41570</v>
      </c>
      <c r="E1300" s="584" t="s">
        <v>206</v>
      </c>
      <c r="F1300" s="589" t="s">
        <v>1392</v>
      </c>
      <c r="G1300" s="805" t="s">
        <v>996</v>
      </c>
      <c r="H1300" s="589">
        <v>425</v>
      </c>
      <c r="I1300" s="583">
        <v>425</v>
      </c>
      <c r="J1300" s="589"/>
      <c r="K1300" s="637" t="s">
        <v>1071</v>
      </c>
      <c r="L1300" s="806">
        <v>6</v>
      </c>
      <c r="M1300" s="806">
        <v>42</v>
      </c>
      <c r="N1300" s="807">
        <v>41584</v>
      </c>
    </row>
    <row r="1301" spans="1:14">
      <c r="A1301" s="804" t="s">
        <v>1735</v>
      </c>
      <c r="B1301" s="583" t="s">
        <v>1137</v>
      </c>
      <c r="C1301" s="243">
        <v>41570</v>
      </c>
      <c r="D1301" s="243">
        <v>41570</v>
      </c>
      <c r="E1301" s="589" t="s">
        <v>185</v>
      </c>
      <c r="F1301" s="589" t="s">
        <v>1392</v>
      </c>
      <c r="G1301" s="589" t="s">
        <v>1483</v>
      </c>
      <c r="H1301" s="589">
        <v>237</v>
      </c>
      <c r="I1301" s="583">
        <v>237</v>
      </c>
      <c r="J1301" s="589"/>
      <c r="K1301" s="589" t="s">
        <v>1071</v>
      </c>
      <c r="L1301" s="806">
        <v>2</v>
      </c>
      <c r="M1301" s="806">
        <v>8</v>
      </c>
      <c r="N1301" s="807">
        <v>41572</v>
      </c>
    </row>
    <row r="1302" spans="1:14">
      <c r="A1302" s="804" t="s">
        <v>1735</v>
      </c>
      <c r="B1302" s="583" t="s">
        <v>1137</v>
      </c>
      <c r="C1302" s="243">
        <v>41570</v>
      </c>
      <c r="D1302" s="243">
        <v>41570</v>
      </c>
      <c r="E1302" s="589" t="s">
        <v>245</v>
      </c>
      <c r="F1302" s="589" t="s">
        <v>1392</v>
      </c>
      <c r="G1302" s="589" t="s">
        <v>991</v>
      </c>
      <c r="H1302" s="589"/>
      <c r="I1302" s="583"/>
      <c r="J1302" s="589" t="s">
        <v>1395</v>
      </c>
      <c r="K1302" s="589" t="s">
        <v>1071</v>
      </c>
      <c r="L1302" s="809">
        <v>5</v>
      </c>
      <c r="M1302" s="809">
        <v>35</v>
      </c>
      <c r="N1302" s="807">
        <v>41575</v>
      </c>
    </row>
    <row r="1303" spans="1:14">
      <c r="A1303" s="804" t="s">
        <v>1735</v>
      </c>
      <c r="B1303" s="583" t="s">
        <v>1137</v>
      </c>
      <c r="C1303" s="243">
        <v>41570</v>
      </c>
      <c r="D1303" s="243">
        <v>41570</v>
      </c>
      <c r="E1303" s="589" t="s">
        <v>179</v>
      </c>
      <c r="F1303" s="589" t="s">
        <v>1392</v>
      </c>
      <c r="G1303" s="805" t="s">
        <v>1000</v>
      </c>
      <c r="H1303" s="589"/>
      <c r="I1303" s="583"/>
      <c r="J1303" s="589" t="s">
        <v>1395</v>
      </c>
      <c r="K1303" s="589" t="s">
        <v>1071</v>
      </c>
      <c r="L1303" s="806">
        <v>2</v>
      </c>
      <c r="M1303" s="806">
        <v>8</v>
      </c>
      <c r="N1303" s="807">
        <v>41584</v>
      </c>
    </row>
    <row r="1304" spans="1:14">
      <c r="A1304" s="804" t="s">
        <v>1736</v>
      </c>
      <c r="B1304" s="583">
        <v>34</v>
      </c>
      <c r="C1304" s="243">
        <v>41570</v>
      </c>
      <c r="D1304" s="243">
        <v>41570</v>
      </c>
      <c r="E1304" s="584" t="s">
        <v>206</v>
      </c>
      <c r="F1304" s="589" t="s">
        <v>1392</v>
      </c>
      <c r="G1304" s="805" t="s">
        <v>996</v>
      </c>
      <c r="H1304" s="589">
        <v>1077</v>
      </c>
      <c r="I1304" s="583">
        <v>1077</v>
      </c>
      <c r="J1304" s="589"/>
      <c r="K1304" s="637" t="s">
        <v>1071</v>
      </c>
      <c r="L1304" s="806">
        <v>6</v>
      </c>
      <c r="M1304" s="806">
        <v>42</v>
      </c>
      <c r="N1304" s="807">
        <v>41584</v>
      </c>
    </row>
    <row r="1305" spans="1:14">
      <c r="A1305" s="804" t="s">
        <v>1736</v>
      </c>
      <c r="B1305" s="583">
        <v>34</v>
      </c>
      <c r="C1305" s="243">
        <v>41570</v>
      </c>
      <c r="D1305" s="243">
        <v>41570</v>
      </c>
      <c r="E1305" s="589" t="s">
        <v>185</v>
      </c>
      <c r="F1305" s="589" t="s">
        <v>1392</v>
      </c>
      <c r="G1305" s="589" t="s">
        <v>1483</v>
      </c>
      <c r="H1305" s="589">
        <v>723</v>
      </c>
      <c r="I1305" s="583">
        <v>723</v>
      </c>
      <c r="J1305" s="589"/>
      <c r="K1305" s="589" t="s">
        <v>1071</v>
      </c>
      <c r="L1305" s="806">
        <v>2</v>
      </c>
      <c r="M1305" s="806">
        <v>8</v>
      </c>
      <c r="N1305" s="807">
        <v>41572</v>
      </c>
    </row>
    <row r="1306" spans="1:14">
      <c r="A1306" s="804" t="s">
        <v>1736</v>
      </c>
      <c r="B1306" s="583">
        <v>34</v>
      </c>
      <c r="C1306" s="243">
        <v>41570</v>
      </c>
      <c r="D1306" s="243">
        <v>41570</v>
      </c>
      <c r="E1306" s="589" t="s">
        <v>245</v>
      </c>
      <c r="F1306" s="589" t="s">
        <v>1392</v>
      </c>
      <c r="G1306" s="589" t="s">
        <v>991</v>
      </c>
      <c r="H1306" s="589">
        <v>14</v>
      </c>
      <c r="I1306" s="583">
        <v>14</v>
      </c>
      <c r="J1306" s="589" t="s">
        <v>1419</v>
      </c>
      <c r="K1306" s="637" t="s">
        <v>1071</v>
      </c>
      <c r="L1306" s="809">
        <v>5</v>
      </c>
      <c r="M1306" s="809">
        <v>35</v>
      </c>
      <c r="N1306" s="807">
        <v>41575</v>
      </c>
    </row>
    <row r="1307" spans="1:14">
      <c r="A1307" s="804" t="s">
        <v>1736</v>
      </c>
      <c r="B1307" s="583">
        <v>34</v>
      </c>
      <c r="C1307" s="243">
        <v>41570</v>
      </c>
      <c r="D1307" s="243">
        <v>41570</v>
      </c>
      <c r="E1307" s="589" t="s">
        <v>179</v>
      </c>
      <c r="F1307" s="589" t="s">
        <v>1392</v>
      </c>
      <c r="G1307" s="805" t="s">
        <v>1000</v>
      </c>
      <c r="H1307" s="589">
        <v>5</v>
      </c>
      <c r="I1307" s="583">
        <v>5</v>
      </c>
      <c r="J1307" s="589" t="s">
        <v>1419</v>
      </c>
      <c r="K1307" s="589" t="s">
        <v>1071</v>
      </c>
      <c r="L1307" s="806">
        <v>2</v>
      </c>
      <c r="M1307" s="806">
        <v>8</v>
      </c>
      <c r="N1307" s="807">
        <v>41584</v>
      </c>
    </row>
    <row r="1308" spans="1:14">
      <c r="A1308" s="804" t="s">
        <v>1737</v>
      </c>
      <c r="B1308" s="583">
        <v>18</v>
      </c>
      <c r="C1308" s="243">
        <v>41570</v>
      </c>
      <c r="D1308" s="243">
        <v>41570</v>
      </c>
      <c r="E1308" s="584" t="s">
        <v>206</v>
      </c>
      <c r="F1308" s="589" t="s">
        <v>1392</v>
      </c>
      <c r="G1308" s="805" t="s">
        <v>996</v>
      </c>
      <c r="H1308" s="589">
        <v>485</v>
      </c>
      <c r="I1308" s="583">
        <v>485</v>
      </c>
      <c r="J1308" s="589"/>
      <c r="K1308" s="637" t="s">
        <v>1071</v>
      </c>
      <c r="L1308" s="806">
        <v>6</v>
      </c>
      <c r="M1308" s="806">
        <v>42</v>
      </c>
      <c r="N1308" s="807">
        <v>41584</v>
      </c>
    </row>
    <row r="1309" spans="1:14">
      <c r="A1309" s="804" t="s">
        <v>1737</v>
      </c>
      <c r="B1309" s="583">
        <v>18</v>
      </c>
      <c r="C1309" s="243">
        <v>41570</v>
      </c>
      <c r="D1309" s="243">
        <v>41570</v>
      </c>
      <c r="E1309" s="589" t="s">
        <v>185</v>
      </c>
      <c r="F1309" s="589" t="s">
        <v>1392</v>
      </c>
      <c r="G1309" s="589" t="s">
        <v>1483</v>
      </c>
      <c r="H1309" s="589">
        <v>24</v>
      </c>
      <c r="I1309" s="583">
        <v>24</v>
      </c>
      <c r="J1309" s="589"/>
      <c r="K1309" s="589" t="s">
        <v>1071</v>
      </c>
      <c r="L1309" s="806">
        <v>2</v>
      </c>
      <c r="M1309" s="806">
        <v>8</v>
      </c>
      <c r="N1309" s="807">
        <v>41572</v>
      </c>
    </row>
    <row r="1310" spans="1:14">
      <c r="A1310" s="804" t="s">
        <v>1737</v>
      </c>
      <c r="B1310" s="583">
        <v>18</v>
      </c>
      <c r="C1310" s="243">
        <v>41570</v>
      </c>
      <c r="D1310" s="243">
        <v>41570</v>
      </c>
      <c r="E1310" s="589" t="s">
        <v>245</v>
      </c>
      <c r="F1310" s="589" t="s">
        <v>1392</v>
      </c>
      <c r="G1310" s="589" t="s">
        <v>991</v>
      </c>
      <c r="H1310" s="589">
        <v>21</v>
      </c>
      <c r="I1310" s="583">
        <v>21</v>
      </c>
      <c r="J1310" s="589" t="s">
        <v>1419</v>
      </c>
      <c r="K1310" s="637" t="s">
        <v>1071</v>
      </c>
      <c r="L1310" s="809">
        <v>5</v>
      </c>
      <c r="M1310" s="809">
        <v>35</v>
      </c>
      <c r="N1310" s="807">
        <v>41575</v>
      </c>
    </row>
    <row r="1311" spans="1:14">
      <c r="A1311" s="804" t="s">
        <v>1737</v>
      </c>
      <c r="B1311" s="583">
        <v>18</v>
      </c>
      <c r="C1311" s="243">
        <v>41570</v>
      </c>
      <c r="D1311" s="243">
        <v>41570</v>
      </c>
      <c r="E1311" s="589" t="s">
        <v>179</v>
      </c>
      <c r="F1311" s="589" t="s">
        <v>1392</v>
      </c>
      <c r="G1311" s="805" t="s">
        <v>1000</v>
      </c>
      <c r="H1311" s="589">
        <v>6</v>
      </c>
      <c r="I1311" s="583">
        <v>6</v>
      </c>
      <c r="J1311" s="589" t="s">
        <v>1419</v>
      </c>
      <c r="K1311" s="589" t="s">
        <v>1071</v>
      </c>
      <c r="L1311" s="806">
        <v>2</v>
      </c>
      <c r="M1311" s="806">
        <v>8</v>
      </c>
      <c r="N1311" s="807">
        <v>41584</v>
      </c>
    </row>
    <row r="1312" spans="1:14">
      <c r="A1312" s="804" t="s">
        <v>1738</v>
      </c>
      <c r="B1312" s="583">
        <v>19</v>
      </c>
      <c r="C1312" s="243">
        <v>41570</v>
      </c>
      <c r="D1312" s="243">
        <v>41570</v>
      </c>
      <c r="E1312" s="584" t="s">
        <v>206</v>
      </c>
      <c r="F1312" s="589" t="s">
        <v>1392</v>
      </c>
      <c r="G1312" s="805" t="s">
        <v>996</v>
      </c>
      <c r="H1312" s="589">
        <v>398</v>
      </c>
      <c r="I1312" s="583">
        <v>398</v>
      </c>
      <c r="J1312" s="589"/>
      <c r="K1312" s="637" t="s">
        <v>1071</v>
      </c>
      <c r="L1312" s="806">
        <v>6</v>
      </c>
      <c r="M1312" s="806">
        <v>42</v>
      </c>
      <c r="N1312" s="807">
        <v>41584</v>
      </c>
    </row>
    <row r="1313" spans="1:14">
      <c r="A1313" s="804" t="s">
        <v>1738</v>
      </c>
      <c r="B1313" s="583">
        <v>19</v>
      </c>
      <c r="C1313" s="243">
        <v>41570</v>
      </c>
      <c r="D1313" s="243">
        <v>41570</v>
      </c>
      <c r="E1313" s="589" t="s">
        <v>185</v>
      </c>
      <c r="F1313" s="589" t="s">
        <v>1392</v>
      </c>
      <c r="G1313" s="589" t="s">
        <v>1483</v>
      </c>
      <c r="H1313" s="589">
        <v>137</v>
      </c>
      <c r="I1313" s="583">
        <v>137</v>
      </c>
      <c r="J1313" s="589"/>
      <c r="K1313" s="589" t="s">
        <v>1071</v>
      </c>
      <c r="L1313" s="806">
        <v>2</v>
      </c>
      <c r="M1313" s="806">
        <v>8</v>
      </c>
      <c r="N1313" s="807">
        <v>41572</v>
      </c>
    </row>
    <row r="1314" spans="1:14">
      <c r="A1314" s="804" t="s">
        <v>1738</v>
      </c>
      <c r="B1314" s="583">
        <v>19</v>
      </c>
      <c r="C1314" s="243">
        <v>41570</v>
      </c>
      <c r="D1314" s="243">
        <v>41570</v>
      </c>
      <c r="E1314" s="589" t="s">
        <v>245</v>
      </c>
      <c r="F1314" s="589" t="s">
        <v>1392</v>
      </c>
      <c r="G1314" s="589" t="s">
        <v>991</v>
      </c>
      <c r="H1314" s="589">
        <v>14</v>
      </c>
      <c r="I1314" s="583">
        <v>14</v>
      </c>
      <c r="J1314" s="589" t="s">
        <v>1419</v>
      </c>
      <c r="K1314" s="637" t="s">
        <v>1071</v>
      </c>
      <c r="L1314" s="809">
        <v>5</v>
      </c>
      <c r="M1314" s="809">
        <v>35</v>
      </c>
      <c r="N1314" s="807">
        <v>41575</v>
      </c>
    </row>
    <row r="1315" spans="1:14">
      <c r="A1315" s="804" t="s">
        <v>1738</v>
      </c>
      <c r="B1315" s="583">
        <v>19</v>
      </c>
      <c r="C1315" s="243">
        <v>41570</v>
      </c>
      <c r="D1315" s="243">
        <v>41570</v>
      </c>
      <c r="E1315" s="589" t="s">
        <v>179</v>
      </c>
      <c r="F1315" s="589" t="s">
        <v>1392</v>
      </c>
      <c r="G1315" s="805" t="s">
        <v>1000</v>
      </c>
      <c r="H1315" s="589"/>
      <c r="I1315" s="583"/>
      <c r="J1315" s="589" t="s">
        <v>1395</v>
      </c>
      <c r="K1315" s="589" t="s">
        <v>1071</v>
      </c>
      <c r="L1315" s="806">
        <v>2</v>
      </c>
      <c r="M1315" s="806">
        <v>8</v>
      </c>
      <c r="N1315" s="807">
        <v>41584</v>
      </c>
    </row>
    <row r="1316" spans="1:14">
      <c r="A1316" s="804" t="s">
        <v>1739</v>
      </c>
      <c r="B1316" s="583">
        <v>58</v>
      </c>
      <c r="C1316" s="243">
        <v>41570</v>
      </c>
      <c r="D1316" s="243">
        <v>41570</v>
      </c>
      <c r="E1316" s="584" t="s">
        <v>206</v>
      </c>
      <c r="F1316" s="589" t="s">
        <v>1392</v>
      </c>
      <c r="G1316" s="805" t="s">
        <v>996</v>
      </c>
      <c r="H1316" s="589">
        <v>255</v>
      </c>
      <c r="I1316" s="583">
        <v>255</v>
      </c>
      <c r="J1316" s="589"/>
      <c r="K1316" s="637" t="s">
        <v>1071</v>
      </c>
      <c r="L1316" s="806">
        <v>6</v>
      </c>
      <c r="M1316" s="806">
        <v>42</v>
      </c>
      <c r="N1316" s="807">
        <v>41584</v>
      </c>
    </row>
    <row r="1317" spans="1:14">
      <c r="A1317" s="804" t="s">
        <v>1739</v>
      </c>
      <c r="B1317" s="583">
        <v>58</v>
      </c>
      <c r="C1317" s="243">
        <v>41570</v>
      </c>
      <c r="D1317" s="243">
        <v>41570</v>
      </c>
      <c r="E1317" s="589" t="s">
        <v>185</v>
      </c>
      <c r="F1317" s="589" t="s">
        <v>1392</v>
      </c>
      <c r="G1317" s="589" t="s">
        <v>1483</v>
      </c>
      <c r="H1317" s="589">
        <v>152</v>
      </c>
      <c r="I1317" s="583">
        <v>152</v>
      </c>
      <c r="J1317" s="589"/>
      <c r="K1317" s="589" t="s">
        <v>1071</v>
      </c>
      <c r="L1317" s="806">
        <v>2</v>
      </c>
      <c r="M1317" s="806">
        <v>8</v>
      </c>
      <c r="N1317" s="807">
        <v>41572</v>
      </c>
    </row>
    <row r="1318" spans="1:14">
      <c r="A1318" s="804" t="s">
        <v>1739</v>
      </c>
      <c r="B1318" s="583">
        <v>58</v>
      </c>
      <c r="C1318" s="243">
        <v>41570</v>
      </c>
      <c r="D1318" s="243">
        <v>41570</v>
      </c>
      <c r="E1318" s="589" t="s">
        <v>245</v>
      </c>
      <c r="F1318" s="589" t="s">
        <v>1392</v>
      </c>
      <c r="G1318" s="589" t="s">
        <v>991</v>
      </c>
      <c r="H1318" s="589">
        <v>16</v>
      </c>
      <c r="I1318" s="583">
        <v>16</v>
      </c>
      <c r="J1318" s="589" t="s">
        <v>1395</v>
      </c>
      <c r="K1318" s="637" t="s">
        <v>1071</v>
      </c>
      <c r="L1318" s="809">
        <v>5</v>
      </c>
      <c r="M1318" s="809">
        <v>35</v>
      </c>
      <c r="N1318" s="807">
        <v>41575</v>
      </c>
    </row>
    <row r="1319" spans="1:14">
      <c r="A1319" s="804" t="s">
        <v>1739</v>
      </c>
      <c r="B1319" s="583">
        <v>58</v>
      </c>
      <c r="C1319" s="243">
        <v>41570</v>
      </c>
      <c r="D1319" s="243">
        <v>41570</v>
      </c>
      <c r="E1319" s="589" t="s">
        <v>179</v>
      </c>
      <c r="F1319" s="589" t="s">
        <v>1392</v>
      </c>
      <c r="G1319" s="805" t="s">
        <v>1000</v>
      </c>
      <c r="H1319" s="589"/>
      <c r="I1319" s="583"/>
      <c r="J1319" s="589" t="s">
        <v>1395</v>
      </c>
      <c r="K1319" s="589" t="s">
        <v>1071</v>
      </c>
      <c r="L1319" s="806">
        <v>2</v>
      </c>
      <c r="M1319" s="806">
        <v>8</v>
      </c>
      <c r="N1319" s="807">
        <v>41584</v>
      </c>
    </row>
    <row r="1320" spans="1:14">
      <c r="A1320" s="804" t="s">
        <v>1740</v>
      </c>
      <c r="B1320" s="583" t="s">
        <v>1136</v>
      </c>
      <c r="C1320" s="243">
        <v>41570</v>
      </c>
      <c r="D1320" s="243">
        <v>41570</v>
      </c>
      <c r="E1320" s="584" t="s">
        <v>206</v>
      </c>
      <c r="F1320" s="589" t="s">
        <v>1392</v>
      </c>
      <c r="G1320" s="805" t="s">
        <v>996</v>
      </c>
      <c r="H1320" s="589">
        <v>269</v>
      </c>
      <c r="I1320" s="583">
        <v>269</v>
      </c>
      <c r="J1320" s="589"/>
      <c r="K1320" s="637" t="s">
        <v>1071</v>
      </c>
      <c r="L1320" s="806">
        <v>6</v>
      </c>
      <c r="M1320" s="806">
        <v>42</v>
      </c>
      <c r="N1320" s="807">
        <v>41584</v>
      </c>
    </row>
    <row r="1321" spans="1:14">
      <c r="A1321" s="804" t="s">
        <v>1740</v>
      </c>
      <c r="B1321" s="583" t="s">
        <v>1136</v>
      </c>
      <c r="C1321" s="243">
        <v>41570</v>
      </c>
      <c r="D1321" s="243">
        <v>41570</v>
      </c>
      <c r="E1321" s="589" t="s">
        <v>185</v>
      </c>
      <c r="F1321" s="589" t="s">
        <v>1392</v>
      </c>
      <c r="G1321" s="589" t="s">
        <v>1483</v>
      </c>
      <c r="H1321" s="589">
        <v>101</v>
      </c>
      <c r="I1321" s="583">
        <v>101</v>
      </c>
      <c r="J1321" s="589"/>
      <c r="K1321" s="589" t="s">
        <v>1071</v>
      </c>
      <c r="L1321" s="806">
        <v>2</v>
      </c>
      <c r="M1321" s="806">
        <v>8</v>
      </c>
      <c r="N1321" s="807">
        <v>41572</v>
      </c>
    </row>
    <row r="1322" spans="1:14">
      <c r="A1322" s="804" t="s">
        <v>1740</v>
      </c>
      <c r="B1322" s="583" t="s">
        <v>1136</v>
      </c>
      <c r="C1322" s="243">
        <v>41570</v>
      </c>
      <c r="D1322" s="243">
        <v>41570</v>
      </c>
      <c r="E1322" s="589" t="s">
        <v>245</v>
      </c>
      <c r="F1322" s="589" t="s">
        <v>1392</v>
      </c>
      <c r="G1322" s="589" t="s">
        <v>991</v>
      </c>
      <c r="H1322" s="589">
        <v>12</v>
      </c>
      <c r="I1322" s="583">
        <v>12</v>
      </c>
      <c r="J1322" s="589" t="s">
        <v>1419</v>
      </c>
      <c r="K1322" s="637" t="s">
        <v>1071</v>
      </c>
      <c r="L1322" s="809">
        <v>5</v>
      </c>
      <c r="M1322" s="809">
        <v>35</v>
      </c>
      <c r="N1322" s="807">
        <v>41575</v>
      </c>
    </row>
    <row r="1323" spans="1:14">
      <c r="A1323" s="804" t="s">
        <v>1740</v>
      </c>
      <c r="B1323" s="583" t="s">
        <v>1136</v>
      </c>
      <c r="C1323" s="243">
        <v>41570</v>
      </c>
      <c r="D1323" s="243">
        <v>41570</v>
      </c>
      <c r="E1323" s="589" t="s">
        <v>179</v>
      </c>
      <c r="F1323" s="589" t="s">
        <v>1392</v>
      </c>
      <c r="G1323" s="805" t="s">
        <v>1000</v>
      </c>
      <c r="H1323" s="589"/>
      <c r="I1323" s="583"/>
      <c r="J1323" s="589" t="s">
        <v>1395</v>
      </c>
      <c r="K1323" s="589" t="s">
        <v>1071</v>
      </c>
      <c r="L1323" s="806">
        <v>2</v>
      </c>
      <c r="M1323" s="806">
        <v>8</v>
      </c>
      <c r="N1323" s="807">
        <v>41584</v>
      </c>
    </row>
    <row r="1324" spans="1:14">
      <c r="A1324" s="804" t="s">
        <v>1741</v>
      </c>
      <c r="B1324" s="583" t="s">
        <v>1135</v>
      </c>
      <c r="C1324" s="243">
        <v>41570</v>
      </c>
      <c r="D1324" s="243">
        <v>41570</v>
      </c>
      <c r="E1324" s="584" t="s">
        <v>206</v>
      </c>
      <c r="F1324" s="589" t="s">
        <v>1392</v>
      </c>
      <c r="G1324" s="805" t="s">
        <v>996</v>
      </c>
      <c r="H1324" s="589">
        <v>245</v>
      </c>
      <c r="I1324" s="583">
        <v>245</v>
      </c>
      <c r="J1324" s="589"/>
      <c r="K1324" s="637" t="s">
        <v>1071</v>
      </c>
      <c r="L1324" s="806">
        <v>6</v>
      </c>
      <c r="M1324" s="806">
        <v>42</v>
      </c>
      <c r="N1324" s="807">
        <v>41584</v>
      </c>
    </row>
    <row r="1325" spans="1:14">
      <c r="A1325" s="804" t="s">
        <v>1741</v>
      </c>
      <c r="B1325" s="583" t="s">
        <v>1135</v>
      </c>
      <c r="C1325" s="243">
        <v>41570</v>
      </c>
      <c r="D1325" s="243">
        <v>41570</v>
      </c>
      <c r="E1325" s="589" t="s">
        <v>185</v>
      </c>
      <c r="F1325" s="589" t="s">
        <v>1392</v>
      </c>
      <c r="G1325" s="589" t="s">
        <v>1483</v>
      </c>
      <c r="H1325" s="589">
        <v>98</v>
      </c>
      <c r="I1325" s="583">
        <v>98</v>
      </c>
      <c r="J1325" s="589"/>
      <c r="K1325" s="589" t="s">
        <v>1071</v>
      </c>
      <c r="L1325" s="806">
        <v>2</v>
      </c>
      <c r="M1325" s="806">
        <v>8</v>
      </c>
      <c r="N1325" s="807">
        <v>41572</v>
      </c>
    </row>
    <row r="1326" spans="1:14">
      <c r="A1326" s="804" t="s">
        <v>1741</v>
      </c>
      <c r="B1326" s="583" t="s">
        <v>1135</v>
      </c>
      <c r="C1326" s="243">
        <v>41570</v>
      </c>
      <c r="D1326" s="243">
        <v>41570</v>
      </c>
      <c r="E1326" s="589" t="s">
        <v>245</v>
      </c>
      <c r="F1326" s="589" t="s">
        <v>1392</v>
      </c>
      <c r="G1326" s="589" t="s">
        <v>991</v>
      </c>
      <c r="H1326" s="589">
        <v>8</v>
      </c>
      <c r="I1326" s="583">
        <v>8</v>
      </c>
      <c r="J1326" s="589" t="s">
        <v>1419</v>
      </c>
      <c r="K1326" s="637" t="s">
        <v>1071</v>
      </c>
      <c r="L1326" s="809">
        <v>5</v>
      </c>
      <c r="M1326" s="809">
        <v>35</v>
      </c>
      <c r="N1326" s="807">
        <v>41575</v>
      </c>
    </row>
    <row r="1327" spans="1:14">
      <c r="A1327" s="804" t="s">
        <v>1741</v>
      </c>
      <c r="B1327" s="583" t="s">
        <v>1135</v>
      </c>
      <c r="C1327" s="243">
        <v>41570</v>
      </c>
      <c r="D1327" s="243">
        <v>41570</v>
      </c>
      <c r="E1327" s="589" t="s">
        <v>179</v>
      </c>
      <c r="F1327" s="589" t="s">
        <v>1392</v>
      </c>
      <c r="G1327" s="805" t="s">
        <v>1000</v>
      </c>
      <c r="H1327" s="589"/>
      <c r="I1327" s="583"/>
      <c r="J1327" s="589" t="s">
        <v>1395</v>
      </c>
      <c r="K1327" s="589" t="s">
        <v>1071</v>
      </c>
      <c r="L1327" s="806">
        <v>2</v>
      </c>
      <c r="M1327" s="806">
        <v>8</v>
      </c>
      <c r="N1327" s="807">
        <v>41584</v>
      </c>
    </row>
    <row r="1328" spans="1:14">
      <c r="A1328" s="804" t="s">
        <v>1742</v>
      </c>
      <c r="B1328" s="583">
        <v>25</v>
      </c>
      <c r="C1328" s="243">
        <v>41570</v>
      </c>
      <c r="D1328" s="243">
        <v>41570</v>
      </c>
      <c r="E1328" s="584" t="s">
        <v>206</v>
      </c>
      <c r="F1328" s="589" t="s">
        <v>1392</v>
      </c>
      <c r="G1328" s="805" t="s">
        <v>996</v>
      </c>
      <c r="H1328" s="589">
        <v>175</v>
      </c>
      <c r="I1328" s="583">
        <v>175</v>
      </c>
      <c r="J1328" s="589"/>
      <c r="K1328" s="637" t="s">
        <v>1071</v>
      </c>
      <c r="L1328" s="806">
        <v>6</v>
      </c>
      <c r="M1328" s="806">
        <v>42</v>
      </c>
      <c r="N1328" s="807">
        <v>41584</v>
      </c>
    </row>
    <row r="1329" spans="1:14">
      <c r="A1329" s="804" t="s">
        <v>1742</v>
      </c>
      <c r="B1329" s="583">
        <v>25</v>
      </c>
      <c r="C1329" s="243">
        <v>41570</v>
      </c>
      <c r="D1329" s="243">
        <v>41570</v>
      </c>
      <c r="E1329" s="589" t="s">
        <v>185</v>
      </c>
      <c r="F1329" s="589" t="s">
        <v>1392</v>
      </c>
      <c r="G1329" s="589" t="s">
        <v>1483</v>
      </c>
      <c r="H1329" s="589">
        <v>57</v>
      </c>
      <c r="I1329" s="583">
        <v>57</v>
      </c>
      <c r="J1329" s="589"/>
      <c r="K1329" s="589" t="s">
        <v>1071</v>
      </c>
      <c r="L1329" s="806">
        <v>2</v>
      </c>
      <c r="M1329" s="806">
        <v>8</v>
      </c>
      <c r="N1329" s="807">
        <v>41572</v>
      </c>
    </row>
    <row r="1330" spans="1:14">
      <c r="A1330" s="804" t="s">
        <v>1742</v>
      </c>
      <c r="B1330" s="583">
        <v>25</v>
      </c>
      <c r="C1330" s="243">
        <v>41570</v>
      </c>
      <c r="D1330" s="243">
        <v>41570</v>
      </c>
      <c r="E1330" s="589" t="s">
        <v>245</v>
      </c>
      <c r="F1330" s="589" t="s">
        <v>1392</v>
      </c>
      <c r="G1330" s="589" t="s">
        <v>991</v>
      </c>
      <c r="H1330" s="589">
        <v>35</v>
      </c>
      <c r="I1330" s="583">
        <v>35</v>
      </c>
      <c r="J1330" s="589" t="s">
        <v>1419</v>
      </c>
      <c r="K1330" s="637" t="s">
        <v>1071</v>
      </c>
      <c r="L1330" s="809">
        <v>5</v>
      </c>
      <c r="M1330" s="809">
        <v>35</v>
      </c>
      <c r="N1330" s="807">
        <v>41575</v>
      </c>
    </row>
    <row r="1331" spans="1:14">
      <c r="A1331" s="804" t="s">
        <v>1742</v>
      </c>
      <c r="B1331" s="583">
        <v>25</v>
      </c>
      <c r="C1331" s="243">
        <v>41570</v>
      </c>
      <c r="D1331" s="243">
        <v>41570</v>
      </c>
      <c r="E1331" s="589" t="s">
        <v>179</v>
      </c>
      <c r="F1331" s="589" t="s">
        <v>1392</v>
      </c>
      <c r="G1331" s="805" t="s">
        <v>1000</v>
      </c>
      <c r="H1331" s="589"/>
      <c r="I1331" s="583"/>
      <c r="J1331" s="589" t="s">
        <v>1395</v>
      </c>
      <c r="K1331" s="589" t="s">
        <v>1071</v>
      </c>
      <c r="L1331" s="806">
        <v>2</v>
      </c>
      <c r="M1331" s="806">
        <v>8</v>
      </c>
      <c r="N1331" s="807">
        <v>41584</v>
      </c>
    </row>
    <row r="1332" spans="1:14">
      <c r="A1332" s="804" t="s">
        <v>1743</v>
      </c>
      <c r="B1332" s="583">
        <v>35</v>
      </c>
      <c r="C1332" s="243">
        <v>41570</v>
      </c>
      <c r="D1332" s="243">
        <v>41570</v>
      </c>
      <c r="E1332" s="584" t="s">
        <v>206</v>
      </c>
      <c r="F1332" s="589" t="s">
        <v>1392</v>
      </c>
      <c r="G1332" s="805" t="s">
        <v>996</v>
      </c>
      <c r="H1332" s="589">
        <v>348</v>
      </c>
      <c r="I1332" s="583">
        <v>348</v>
      </c>
      <c r="J1332" s="589"/>
      <c r="K1332" s="637" t="s">
        <v>1071</v>
      </c>
      <c r="L1332" s="806">
        <v>6</v>
      </c>
      <c r="M1332" s="806">
        <v>42</v>
      </c>
      <c r="N1332" s="807">
        <v>41584</v>
      </c>
    </row>
    <row r="1333" spans="1:14">
      <c r="A1333" s="804" t="s">
        <v>1743</v>
      </c>
      <c r="B1333" s="583">
        <v>35</v>
      </c>
      <c r="C1333" s="243">
        <v>41570</v>
      </c>
      <c r="D1333" s="243">
        <v>41570</v>
      </c>
      <c r="E1333" s="589" t="s">
        <v>185</v>
      </c>
      <c r="F1333" s="589" t="s">
        <v>1392</v>
      </c>
      <c r="G1333" s="589" t="s">
        <v>1483</v>
      </c>
      <c r="H1333" s="589">
        <v>208</v>
      </c>
      <c r="I1333" s="583">
        <v>208</v>
      </c>
      <c r="J1333" s="589"/>
      <c r="K1333" s="589" t="s">
        <v>1071</v>
      </c>
      <c r="L1333" s="806">
        <v>2</v>
      </c>
      <c r="M1333" s="806">
        <v>8</v>
      </c>
      <c r="N1333" s="807">
        <v>41572</v>
      </c>
    </row>
    <row r="1334" spans="1:14">
      <c r="A1334" s="804" t="s">
        <v>1743</v>
      </c>
      <c r="B1334" s="583">
        <v>35</v>
      </c>
      <c r="C1334" s="243">
        <v>41570</v>
      </c>
      <c r="D1334" s="243">
        <v>41570</v>
      </c>
      <c r="E1334" s="589" t="s">
        <v>245</v>
      </c>
      <c r="F1334" s="589" t="s">
        <v>1392</v>
      </c>
      <c r="G1334" s="589" t="s">
        <v>991</v>
      </c>
      <c r="H1334" s="589">
        <v>8</v>
      </c>
      <c r="I1334" s="583">
        <v>8</v>
      </c>
      <c r="J1334" s="589" t="s">
        <v>1419</v>
      </c>
      <c r="K1334" s="637" t="s">
        <v>1071</v>
      </c>
      <c r="L1334" s="809">
        <v>5</v>
      </c>
      <c r="M1334" s="809">
        <v>35</v>
      </c>
      <c r="N1334" s="807">
        <v>41575</v>
      </c>
    </row>
    <row r="1335" spans="1:14">
      <c r="A1335" s="804" t="s">
        <v>1743</v>
      </c>
      <c r="B1335" s="583">
        <v>35</v>
      </c>
      <c r="C1335" s="243">
        <v>41570</v>
      </c>
      <c r="D1335" s="243">
        <v>41570</v>
      </c>
      <c r="E1335" s="589" t="s">
        <v>179</v>
      </c>
      <c r="F1335" s="589" t="s">
        <v>1392</v>
      </c>
      <c r="G1335" s="805" t="s">
        <v>1000</v>
      </c>
      <c r="H1335" s="589">
        <v>11</v>
      </c>
      <c r="I1335" s="583">
        <v>11</v>
      </c>
      <c r="J1335" s="589"/>
      <c r="K1335" s="589" t="s">
        <v>1071</v>
      </c>
      <c r="L1335" s="806">
        <v>2</v>
      </c>
      <c r="M1335" s="806">
        <v>8</v>
      </c>
      <c r="N1335" s="807">
        <v>41584</v>
      </c>
    </row>
    <row r="1336" spans="1:14">
      <c r="A1336" s="804" t="s">
        <v>1744</v>
      </c>
      <c r="B1336" s="583">
        <v>50</v>
      </c>
      <c r="C1336" s="243">
        <v>41570</v>
      </c>
      <c r="D1336" s="243">
        <v>41570</v>
      </c>
      <c r="E1336" s="584" t="s">
        <v>206</v>
      </c>
      <c r="F1336" s="589" t="s">
        <v>1392</v>
      </c>
      <c r="G1336" s="805" t="s">
        <v>996</v>
      </c>
      <c r="H1336" s="589">
        <v>400</v>
      </c>
      <c r="I1336" s="583">
        <v>400</v>
      </c>
      <c r="J1336" s="589"/>
      <c r="K1336" s="637" t="s">
        <v>1071</v>
      </c>
      <c r="L1336" s="806">
        <v>6</v>
      </c>
      <c r="M1336" s="806">
        <v>42</v>
      </c>
      <c r="N1336" s="807">
        <v>41584</v>
      </c>
    </row>
    <row r="1337" spans="1:14">
      <c r="A1337" s="804" t="s">
        <v>1744</v>
      </c>
      <c r="B1337" s="583">
        <v>50</v>
      </c>
      <c r="C1337" s="243">
        <v>41570</v>
      </c>
      <c r="D1337" s="243">
        <v>41570</v>
      </c>
      <c r="E1337" s="589" t="s">
        <v>185</v>
      </c>
      <c r="F1337" s="589" t="s">
        <v>1392</v>
      </c>
      <c r="G1337" s="589" t="s">
        <v>1483</v>
      </c>
      <c r="H1337" s="589">
        <v>213</v>
      </c>
      <c r="I1337" s="583">
        <v>213</v>
      </c>
      <c r="J1337" s="589"/>
      <c r="K1337" s="589" t="s">
        <v>1071</v>
      </c>
      <c r="L1337" s="806">
        <v>2</v>
      </c>
      <c r="M1337" s="806">
        <v>8</v>
      </c>
      <c r="N1337" s="807">
        <v>41572</v>
      </c>
    </row>
    <row r="1338" spans="1:14">
      <c r="A1338" s="804" t="s">
        <v>1744</v>
      </c>
      <c r="B1338" s="583">
        <v>50</v>
      </c>
      <c r="C1338" s="243">
        <v>41570</v>
      </c>
      <c r="D1338" s="243">
        <v>41570</v>
      </c>
      <c r="E1338" s="589" t="s">
        <v>245</v>
      </c>
      <c r="F1338" s="589" t="s">
        <v>1392</v>
      </c>
      <c r="G1338" s="589" t="s">
        <v>991</v>
      </c>
      <c r="H1338" s="589">
        <v>14</v>
      </c>
      <c r="I1338" s="583">
        <v>14</v>
      </c>
      <c r="J1338" s="589" t="s">
        <v>1419</v>
      </c>
      <c r="K1338" s="637" t="s">
        <v>1071</v>
      </c>
      <c r="L1338" s="809">
        <v>5</v>
      </c>
      <c r="M1338" s="809">
        <v>35</v>
      </c>
      <c r="N1338" s="807">
        <v>41575</v>
      </c>
    </row>
    <row r="1339" spans="1:14">
      <c r="A1339" s="804" t="s">
        <v>1744</v>
      </c>
      <c r="B1339" s="583">
        <v>50</v>
      </c>
      <c r="C1339" s="243">
        <v>41570</v>
      </c>
      <c r="D1339" s="243">
        <v>41570</v>
      </c>
      <c r="E1339" s="589" t="s">
        <v>179</v>
      </c>
      <c r="F1339" s="589" t="s">
        <v>1392</v>
      </c>
      <c r="G1339" s="805" t="s">
        <v>1000</v>
      </c>
      <c r="H1339" s="589">
        <v>5</v>
      </c>
      <c r="I1339" s="583">
        <v>5</v>
      </c>
      <c r="J1339" s="589" t="s">
        <v>1419</v>
      </c>
      <c r="K1339" s="589" t="s">
        <v>1071</v>
      </c>
      <c r="L1339" s="806">
        <v>2</v>
      </c>
      <c r="M1339" s="806">
        <v>8</v>
      </c>
      <c r="N1339" s="807">
        <v>41584</v>
      </c>
    </row>
    <row r="1341" spans="1:14">
      <c r="A1341" s="804" t="s">
        <v>1745</v>
      </c>
      <c r="B1341" s="585" t="s">
        <v>297</v>
      </c>
      <c r="C1341" s="243">
        <v>41556</v>
      </c>
      <c r="D1341" s="243">
        <v>41556</v>
      </c>
      <c r="E1341" s="584" t="s">
        <v>206</v>
      </c>
      <c r="F1341" s="589" t="s">
        <v>1392</v>
      </c>
      <c r="G1341" s="805" t="s">
        <v>996</v>
      </c>
      <c r="H1341" s="589">
        <v>183</v>
      </c>
      <c r="I1341" s="583">
        <v>183</v>
      </c>
      <c r="J1341" s="589"/>
      <c r="K1341" s="637" t="s">
        <v>1071</v>
      </c>
      <c r="L1341" s="806">
        <v>6</v>
      </c>
      <c r="M1341" s="806">
        <v>42</v>
      </c>
      <c r="N1341" s="807">
        <v>41562</v>
      </c>
    </row>
    <row r="1342" spans="1:14">
      <c r="A1342" s="804" t="s">
        <v>1745</v>
      </c>
      <c r="B1342" s="585" t="s">
        <v>297</v>
      </c>
      <c r="C1342" s="243">
        <v>41556</v>
      </c>
      <c r="D1342" s="243">
        <v>41556</v>
      </c>
      <c r="E1342" s="589" t="s">
        <v>185</v>
      </c>
      <c r="F1342" s="589" t="s">
        <v>1392</v>
      </c>
      <c r="G1342" s="589" t="s">
        <v>1483</v>
      </c>
      <c r="H1342" s="589">
        <v>118</v>
      </c>
      <c r="I1342" s="583">
        <v>118</v>
      </c>
      <c r="J1342" s="589"/>
      <c r="K1342" s="589" t="s">
        <v>1071</v>
      </c>
      <c r="L1342" s="806">
        <v>2</v>
      </c>
      <c r="M1342" s="806">
        <v>8</v>
      </c>
      <c r="N1342" s="807">
        <v>41557</v>
      </c>
    </row>
    <row r="1343" spans="1:14">
      <c r="A1343" s="804" t="s">
        <v>1745</v>
      </c>
      <c r="B1343" s="585" t="s">
        <v>297</v>
      </c>
      <c r="C1343" s="243">
        <v>41556</v>
      </c>
      <c r="D1343" s="243">
        <v>41556</v>
      </c>
      <c r="E1343" s="589" t="s">
        <v>245</v>
      </c>
      <c r="F1343" s="589" t="s">
        <v>1392</v>
      </c>
      <c r="G1343" s="589" t="s">
        <v>991</v>
      </c>
      <c r="H1343" s="589">
        <v>31</v>
      </c>
      <c r="I1343" s="808" t="s">
        <v>1519</v>
      </c>
      <c r="J1343" s="589"/>
      <c r="K1343" s="637" t="s">
        <v>1071</v>
      </c>
      <c r="L1343" s="809">
        <v>5</v>
      </c>
      <c r="M1343" s="809">
        <v>35</v>
      </c>
      <c r="N1343" s="807">
        <v>41575</v>
      </c>
    </row>
    <row r="1344" spans="1:14">
      <c r="A1344" s="804" t="s">
        <v>1745</v>
      </c>
      <c r="B1344" s="585" t="s">
        <v>297</v>
      </c>
      <c r="C1344" s="243">
        <v>41556</v>
      </c>
      <c r="D1344" s="243">
        <v>41556</v>
      </c>
      <c r="E1344" s="589" t="s">
        <v>179</v>
      </c>
      <c r="F1344" s="589" t="s">
        <v>1392</v>
      </c>
      <c r="G1344" s="805" t="s">
        <v>1000</v>
      </c>
      <c r="H1344" s="589">
        <v>16</v>
      </c>
      <c r="I1344" s="583">
        <v>16</v>
      </c>
      <c r="J1344" s="589"/>
      <c r="K1344" s="589" t="s">
        <v>1071</v>
      </c>
      <c r="L1344" s="806">
        <v>2</v>
      </c>
      <c r="M1344" s="806">
        <v>8</v>
      </c>
      <c r="N1344" s="807">
        <v>41562</v>
      </c>
    </row>
    <row r="1345" spans="1:14">
      <c r="A1345" s="804" t="s">
        <v>1745</v>
      </c>
      <c r="B1345" s="585" t="s">
        <v>297</v>
      </c>
      <c r="C1345" s="243">
        <v>41556</v>
      </c>
      <c r="D1345" s="243">
        <v>41556</v>
      </c>
      <c r="E1345" s="590" t="s">
        <v>180</v>
      </c>
      <c r="F1345" s="589" t="s">
        <v>1392</v>
      </c>
      <c r="G1345" s="805" t="s">
        <v>1000</v>
      </c>
      <c r="H1345" s="591"/>
      <c r="I1345" s="590"/>
      <c r="J1345" s="637" t="s">
        <v>1395</v>
      </c>
      <c r="K1345" s="589" t="s">
        <v>1071</v>
      </c>
      <c r="L1345" s="810">
        <v>2</v>
      </c>
      <c r="M1345" s="810">
        <v>8</v>
      </c>
      <c r="N1345" s="807">
        <v>41562</v>
      </c>
    </row>
    <row r="1346" spans="1:14">
      <c r="A1346" s="804" t="s">
        <v>1745</v>
      </c>
      <c r="B1346" s="585" t="s">
        <v>297</v>
      </c>
      <c r="C1346" s="243">
        <v>41556</v>
      </c>
      <c r="D1346" s="243">
        <v>41556</v>
      </c>
      <c r="E1346" s="589" t="s">
        <v>184</v>
      </c>
      <c r="F1346" s="589" t="s">
        <v>1392</v>
      </c>
      <c r="G1346" s="589" t="s">
        <v>1471</v>
      </c>
      <c r="H1346" s="592">
        <v>10</v>
      </c>
      <c r="I1346" s="811">
        <v>10</v>
      </c>
      <c r="J1346" s="589"/>
      <c r="K1346" s="589" t="s">
        <v>1096</v>
      </c>
      <c r="L1346" s="806">
        <v>4</v>
      </c>
      <c r="M1346" s="806"/>
      <c r="N1346" s="807">
        <v>41557</v>
      </c>
    </row>
    <row r="1347" spans="1:14">
      <c r="A1347" s="804" t="s">
        <v>1745</v>
      </c>
      <c r="B1347" s="585" t="s">
        <v>297</v>
      </c>
      <c r="C1347" s="243">
        <v>41556</v>
      </c>
      <c r="D1347" s="243">
        <v>41556</v>
      </c>
      <c r="E1347" s="584" t="s">
        <v>181</v>
      </c>
      <c r="F1347" s="804" t="s">
        <v>1392</v>
      </c>
      <c r="G1347" s="812" t="s">
        <v>1402</v>
      </c>
      <c r="H1347" s="332">
        <v>1.9</v>
      </c>
      <c r="I1347" s="813">
        <v>1.9</v>
      </c>
      <c r="J1347" s="814"/>
      <c r="K1347" s="589" t="s">
        <v>1071</v>
      </c>
      <c r="L1347" s="810">
        <v>0.1</v>
      </c>
      <c r="M1347" s="810"/>
      <c r="N1347" s="807">
        <v>41561</v>
      </c>
    </row>
    <row r="1348" spans="1:14">
      <c r="A1348" s="804" t="s">
        <v>1745</v>
      </c>
      <c r="B1348" s="585" t="s">
        <v>297</v>
      </c>
      <c r="C1348" s="243">
        <v>41556</v>
      </c>
      <c r="D1348" s="243">
        <v>41556</v>
      </c>
      <c r="E1348" s="584" t="s">
        <v>181</v>
      </c>
      <c r="F1348" s="804" t="s">
        <v>1392</v>
      </c>
      <c r="G1348" s="812" t="s">
        <v>1402</v>
      </c>
      <c r="H1348" s="332">
        <v>0.6</v>
      </c>
      <c r="I1348" s="813">
        <v>0.6</v>
      </c>
      <c r="J1348" s="814"/>
      <c r="K1348" s="589" t="s">
        <v>1071</v>
      </c>
      <c r="L1348" s="810">
        <v>0.1</v>
      </c>
      <c r="M1348" s="810"/>
      <c r="N1348" s="807">
        <v>41561</v>
      </c>
    </row>
    <row r="1349" spans="1:14">
      <c r="A1349" s="804" t="s">
        <v>1746</v>
      </c>
      <c r="B1349" s="585" t="s">
        <v>402</v>
      </c>
      <c r="C1349" s="243">
        <v>41556</v>
      </c>
      <c r="D1349" s="243">
        <v>41556</v>
      </c>
      <c r="E1349" s="584" t="s">
        <v>206</v>
      </c>
      <c r="F1349" s="589" t="s">
        <v>1392</v>
      </c>
      <c r="G1349" s="805" t="s">
        <v>996</v>
      </c>
      <c r="H1349" s="589">
        <v>186</v>
      </c>
      <c r="I1349" s="583">
        <v>186</v>
      </c>
      <c r="J1349" s="589"/>
      <c r="K1349" s="637" t="s">
        <v>1071</v>
      </c>
      <c r="L1349" s="806">
        <v>6</v>
      </c>
      <c r="M1349" s="806">
        <v>42</v>
      </c>
      <c r="N1349" s="807">
        <v>41562</v>
      </c>
    </row>
    <row r="1350" spans="1:14">
      <c r="A1350" s="804" t="s">
        <v>1746</v>
      </c>
      <c r="B1350" s="585" t="s">
        <v>402</v>
      </c>
      <c r="C1350" s="243">
        <v>41556</v>
      </c>
      <c r="D1350" s="243">
        <v>41556</v>
      </c>
      <c r="E1350" s="589" t="s">
        <v>185</v>
      </c>
      <c r="F1350" s="589" t="s">
        <v>1392</v>
      </c>
      <c r="G1350" s="589" t="s">
        <v>1483</v>
      </c>
      <c r="H1350" s="589">
        <v>114</v>
      </c>
      <c r="I1350" s="583">
        <v>114</v>
      </c>
      <c r="J1350" s="589"/>
      <c r="K1350" s="589" t="s">
        <v>1071</v>
      </c>
      <c r="L1350" s="806">
        <v>2</v>
      </c>
      <c r="M1350" s="806">
        <v>8</v>
      </c>
      <c r="N1350" s="807">
        <v>41557</v>
      </c>
    </row>
    <row r="1351" spans="1:14">
      <c r="A1351" s="804" t="s">
        <v>1746</v>
      </c>
      <c r="B1351" s="585" t="s">
        <v>402</v>
      </c>
      <c r="C1351" s="243">
        <v>41556</v>
      </c>
      <c r="D1351" s="243">
        <v>41556</v>
      </c>
      <c r="E1351" s="589" t="s">
        <v>245</v>
      </c>
      <c r="F1351" s="589" t="s">
        <v>1392</v>
      </c>
      <c r="G1351" s="589" t="s">
        <v>991</v>
      </c>
      <c r="H1351" s="589">
        <v>28</v>
      </c>
      <c r="I1351" s="808" t="s">
        <v>1409</v>
      </c>
      <c r="J1351" s="589"/>
      <c r="K1351" s="637" t="s">
        <v>1071</v>
      </c>
      <c r="L1351" s="809">
        <v>5</v>
      </c>
      <c r="M1351" s="809">
        <v>35</v>
      </c>
      <c r="N1351" s="807">
        <v>41575</v>
      </c>
    </row>
    <row r="1352" spans="1:14">
      <c r="A1352" s="804" t="s">
        <v>1746</v>
      </c>
      <c r="B1352" s="585" t="s">
        <v>402</v>
      </c>
      <c r="C1352" s="243">
        <v>41556</v>
      </c>
      <c r="D1352" s="243">
        <v>41556</v>
      </c>
      <c r="E1352" s="589" t="s">
        <v>179</v>
      </c>
      <c r="F1352" s="589" t="s">
        <v>1392</v>
      </c>
      <c r="G1352" s="805" t="s">
        <v>1000</v>
      </c>
      <c r="H1352" s="589">
        <v>43</v>
      </c>
      <c r="I1352" s="583">
        <v>43</v>
      </c>
      <c r="J1352" s="589"/>
      <c r="K1352" s="589" t="s">
        <v>1071</v>
      </c>
      <c r="L1352" s="806">
        <v>2</v>
      </c>
      <c r="M1352" s="806">
        <v>8</v>
      </c>
      <c r="N1352" s="807">
        <v>41562</v>
      </c>
    </row>
    <row r="1353" spans="1:14">
      <c r="A1353" s="804" t="s">
        <v>1746</v>
      </c>
      <c r="B1353" s="585" t="s">
        <v>402</v>
      </c>
      <c r="C1353" s="243">
        <v>41556</v>
      </c>
      <c r="D1353" s="243">
        <v>41556</v>
      </c>
      <c r="E1353" s="590" t="s">
        <v>180</v>
      </c>
      <c r="F1353" s="589" t="s">
        <v>1392</v>
      </c>
      <c r="G1353" s="805" t="s">
        <v>1000</v>
      </c>
      <c r="H1353" s="591"/>
      <c r="I1353" s="590"/>
      <c r="J1353" s="637" t="s">
        <v>1395</v>
      </c>
      <c r="K1353" s="589" t="s">
        <v>1071</v>
      </c>
      <c r="L1353" s="810">
        <v>2</v>
      </c>
      <c r="M1353" s="810">
        <v>8</v>
      </c>
      <c r="N1353" s="807">
        <v>41562</v>
      </c>
    </row>
    <row r="1354" spans="1:14">
      <c r="A1354" s="804" t="s">
        <v>1746</v>
      </c>
      <c r="B1354" s="585" t="s">
        <v>402</v>
      </c>
      <c r="C1354" s="243">
        <v>41556</v>
      </c>
      <c r="D1354" s="243">
        <v>41556</v>
      </c>
      <c r="E1354" s="589" t="s">
        <v>184</v>
      </c>
      <c r="F1354" s="589" t="s">
        <v>1392</v>
      </c>
      <c r="G1354" s="589" t="s">
        <v>1471</v>
      </c>
      <c r="H1354" s="592">
        <v>26.2</v>
      </c>
      <c r="I1354" s="811">
        <v>26.2</v>
      </c>
      <c r="J1354" s="589"/>
      <c r="K1354" s="589" t="s">
        <v>1096</v>
      </c>
      <c r="L1354" s="806">
        <v>4</v>
      </c>
      <c r="M1354" s="806"/>
      <c r="N1354" s="807">
        <v>41557</v>
      </c>
    </row>
    <row r="1356" spans="1:14">
      <c r="A1356" s="804" t="s">
        <v>1747</v>
      </c>
      <c r="B1356" s="583">
        <v>64</v>
      </c>
      <c r="C1356" s="243">
        <v>41603</v>
      </c>
      <c r="D1356" s="243">
        <v>41603</v>
      </c>
      <c r="E1356" s="584" t="s">
        <v>206</v>
      </c>
      <c r="F1356" s="589" t="s">
        <v>1392</v>
      </c>
      <c r="G1356" s="805" t="s">
        <v>996</v>
      </c>
      <c r="H1356" s="589">
        <v>694</v>
      </c>
      <c r="I1356" s="583">
        <v>694</v>
      </c>
      <c r="J1356" s="589"/>
      <c r="K1356" s="637" t="s">
        <v>1071</v>
      </c>
      <c r="L1356" s="806">
        <v>6</v>
      </c>
      <c r="M1356" s="806">
        <v>42</v>
      </c>
      <c r="N1356" s="807">
        <v>41618</v>
      </c>
    </row>
    <row r="1357" spans="1:14">
      <c r="A1357" s="804" t="s">
        <v>1747</v>
      </c>
      <c r="B1357" s="583">
        <v>64</v>
      </c>
      <c r="C1357" s="243">
        <v>41603</v>
      </c>
      <c r="D1357" s="243">
        <v>41603</v>
      </c>
      <c r="E1357" s="589" t="s">
        <v>185</v>
      </c>
      <c r="F1357" s="589" t="s">
        <v>1392</v>
      </c>
      <c r="G1357" s="589" t="s">
        <v>1483</v>
      </c>
      <c r="H1357" s="589">
        <v>380</v>
      </c>
      <c r="I1357" s="583">
        <v>380</v>
      </c>
      <c r="J1357" s="589"/>
      <c r="K1357" s="589" t="s">
        <v>1071</v>
      </c>
      <c r="L1357" s="806">
        <v>2</v>
      </c>
      <c r="M1357" s="806">
        <v>8</v>
      </c>
      <c r="N1357" s="807">
        <v>41604</v>
      </c>
    </row>
    <row r="1358" spans="1:14">
      <c r="A1358" s="804" t="s">
        <v>1747</v>
      </c>
      <c r="B1358" s="583">
        <v>64</v>
      </c>
      <c r="C1358" s="243">
        <v>41603</v>
      </c>
      <c r="D1358" s="243">
        <v>41603</v>
      </c>
      <c r="E1358" s="589" t="s">
        <v>245</v>
      </c>
      <c r="F1358" s="589" t="s">
        <v>1392</v>
      </c>
      <c r="G1358" s="589" t="s">
        <v>991</v>
      </c>
      <c r="H1358" s="589">
        <v>55</v>
      </c>
      <c r="I1358" s="583">
        <v>55</v>
      </c>
      <c r="J1358" s="589"/>
      <c r="K1358" s="637" t="s">
        <v>1071</v>
      </c>
      <c r="L1358" s="809">
        <v>5</v>
      </c>
      <c r="M1358" s="809">
        <v>35</v>
      </c>
      <c r="N1358" s="807">
        <v>41610</v>
      </c>
    </row>
    <row r="1359" spans="1:14">
      <c r="A1359" s="804" t="s">
        <v>1747</v>
      </c>
      <c r="B1359" s="583">
        <v>64</v>
      </c>
      <c r="C1359" s="243">
        <v>41603</v>
      </c>
      <c r="D1359" s="243">
        <v>41603</v>
      </c>
      <c r="E1359" s="589" t="s">
        <v>179</v>
      </c>
      <c r="F1359" s="589" t="s">
        <v>1392</v>
      </c>
      <c r="G1359" s="805" t="s">
        <v>1000</v>
      </c>
      <c r="H1359" s="589">
        <v>44</v>
      </c>
      <c r="I1359" s="583">
        <v>44</v>
      </c>
      <c r="J1359" s="589"/>
      <c r="K1359" s="589" t="s">
        <v>1071</v>
      </c>
      <c r="L1359" s="806">
        <v>2</v>
      </c>
      <c r="M1359" s="806">
        <v>8</v>
      </c>
      <c r="N1359" s="807">
        <v>41618</v>
      </c>
    </row>
    <row r="1360" spans="1:14">
      <c r="A1360" s="804" t="s">
        <v>1748</v>
      </c>
      <c r="B1360" s="583">
        <v>32</v>
      </c>
      <c r="C1360" s="243">
        <v>41603</v>
      </c>
      <c r="D1360" s="243">
        <v>41603</v>
      </c>
      <c r="E1360" s="584" t="s">
        <v>206</v>
      </c>
      <c r="F1360" s="589" t="s">
        <v>1392</v>
      </c>
      <c r="G1360" s="805" t="s">
        <v>996</v>
      </c>
      <c r="H1360" s="589">
        <v>1670</v>
      </c>
      <c r="I1360" s="583">
        <v>1670</v>
      </c>
      <c r="J1360" s="589"/>
      <c r="K1360" s="637" t="s">
        <v>1071</v>
      </c>
      <c r="L1360" s="806">
        <v>6</v>
      </c>
      <c r="M1360" s="806">
        <v>42</v>
      </c>
      <c r="N1360" s="807">
        <v>41618</v>
      </c>
    </row>
    <row r="1361" spans="1:14">
      <c r="A1361" s="804" t="s">
        <v>1748</v>
      </c>
      <c r="B1361" s="583">
        <v>32</v>
      </c>
      <c r="C1361" s="243">
        <v>41603</v>
      </c>
      <c r="D1361" s="243">
        <v>41603</v>
      </c>
      <c r="E1361" s="589" t="s">
        <v>185</v>
      </c>
      <c r="F1361" s="589" t="s">
        <v>1392</v>
      </c>
      <c r="G1361" s="589" t="s">
        <v>1483</v>
      </c>
      <c r="H1361" s="589">
        <v>1081</v>
      </c>
      <c r="I1361" s="583">
        <v>1081</v>
      </c>
      <c r="J1361" s="589"/>
      <c r="K1361" s="589" t="s">
        <v>1071</v>
      </c>
      <c r="L1361" s="806">
        <v>2</v>
      </c>
      <c r="M1361" s="806">
        <v>8</v>
      </c>
      <c r="N1361" s="807">
        <v>41604</v>
      </c>
    </row>
    <row r="1362" spans="1:14">
      <c r="A1362" s="804" t="s">
        <v>1748</v>
      </c>
      <c r="B1362" s="583">
        <v>32</v>
      </c>
      <c r="C1362" s="243">
        <v>41603</v>
      </c>
      <c r="D1362" s="243">
        <v>41603</v>
      </c>
      <c r="E1362" s="589" t="s">
        <v>245</v>
      </c>
      <c r="F1362" s="589" t="s">
        <v>1392</v>
      </c>
      <c r="G1362" s="589" t="s">
        <v>991</v>
      </c>
      <c r="H1362" s="589">
        <v>52</v>
      </c>
      <c r="I1362" s="583">
        <v>52</v>
      </c>
      <c r="J1362" s="589"/>
      <c r="K1362" s="637" t="s">
        <v>1071</v>
      </c>
      <c r="L1362" s="809">
        <v>5</v>
      </c>
      <c r="M1362" s="809">
        <v>35</v>
      </c>
      <c r="N1362" s="807">
        <v>41610</v>
      </c>
    </row>
    <row r="1363" spans="1:14">
      <c r="A1363" s="804" t="s">
        <v>1748</v>
      </c>
      <c r="B1363" s="583">
        <v>32</v>
      </c>
      <c r="C1363" s="243">
        <v>41603</v>
      </c>
      <c r="D1363" s="243">
        <v>41603</v>
      </c>
      <c r="E1363" s="589" t="s">
        <v>179</v>
      </c>
      <c r="F1363" s="589" t="s">
        <v>1392</v>
      </c>
      <c r="G1363" s="805" t="s">
        <v>1000</v>
      </c>
      <c r="H1363" s="589">
        <v>158</v>
      </c>
      <c r="I1363" s="583">
        <v>158</v>
      </c>
      <c r="J1363" s="589"/>
      <c r="K1363" s="589" t="s">
        <v>1071</v>
      </c>
      <c r="L1363" s="806">
        <v>2</v>
      </c>
      <c r="M1363" s="806">
        <v>8</v>
      </c>
      <c r="N1363" s="807">
        <v>41618</v>
      </c>
    </row>
    <row r="1364" spans="1:14">
      <c r="A1364" s="804" t="s">
        <v>1749</v>
      </c>
      <c r="B1364" s="583">
        <v>5</v>
      </c>
      <c r="C1364" s="243">
        <v>41603</v>
      </c>
      <c r="D1364" s="243">
        <v>41603</v>
      </c>
      <c r="E1364" s="584" t="s">
        <v>206</v>
      </c>
      <c r="F1364" s="589" t="s">
        <v>1392</v>
      </c>
      <c r="G1364" s="805" t="s">
        <v>996</v>
      </c>
      <c r="H1364" s="589">
        <v>134</v>
      </c>
      <c r="I1364" s="583">
        <v>134</v>
      </c>
      <c r="J1364" s="589"/>
      <c r="K1364" s="637" t="s">
        <v>1071</v>
      </c>
      <c r="L1364" s="806">
        <v>6</v>
      </c>
      <c r="M1364" s="806">
        <v>42</v>
      </c>
      <c r="N1364" s="807">
        <v>41618</v>
      </c>
    </row>
    <row r="1365" spans="1:14">
      <c r="A1365" s="804" t="s">
        <v>1749</v>
      </c>
      <c r="B1365" s="583">
        <v>5</v>
      </c>
      <c r="C1365" s="243">
        <v>41603</v>
      </c>
      <c r="D1365" s="243">
        <v>41603</v>
      </c>
      <c r="E1365" s="589" t="s">
        <v>185</v>
      </c>
      <c r="F1365" s="589" t="s">
        <v>1392</v>
      </c>
      <c r="G1365" s="589" t="s">
        <v>1483</v>
      </c>
      <c r="H1365" s="589">
        <v>69</v>
      </c>
      <c r="I1365" s="583">
        <v>69</v>
      </c>
      <c r="J1365" s="589"/>
      <c r="K1365" s="589" t="s">
        <v>1071</v>
      </c>
      <c r="L1365" s="806">
        <v>2</v>
      </c>
      <c r="M1365" s="806">
        <v>8</v>
      </c>
      <c r="N1365" s="807">
        <v>41604</v>
      </c>
    </row>
    <row r="1366" spans="1:14">
      <c r="A1366" s="804" t="s">
        <v>1749</v>
      </c>
      <c r="B1366" s="583">
        <v>5</v>
      </c>
      <c r="C1366" s="243">
        <v>41603</v>
      </c>
      <c r="D1366" s="243">
        <v>41603</v>
      </c>
      <c r="E1366" s="589" t="s">
        <v>245</v>
      </c>
      <c r="F1366" s="589" t="s">
        <v>1392</v>
      </c>
      <c r="G1366" s="589" t="s">
        <v>991</v>
      </c>
      <c r="H1366" s="589">
        <v>94</v>
      </c>
      <c r="I1366" s="583">
        <v>94</v>
      </c>
      <c r="J1366" s="589"/>
      <c r="K1366" s="637" t="s">
        <v>1071</v>
      </c>
      <c r="L1366" s="809">
        <v>5</v>
      </c>
      <c r="M1366" s="809">
        <v>35</v>
      </c>
      <c r="N1366" s="807">
        <v>41610</v>
      </c>
    </row>
    <row r="1367" spans="1:14">
      <c r="A1367" s="804" t="s">
        <v>1749</v>
      </c>
      <c r="B1367" s="583">
        <v>5</v>
      </c>
      <c r="C1367" s="243">
        <v>41603</v>
      </c>
      <c r="D1367" s="243">
        <v>41603</v>
      </c>
      <c r="E1367" s="589" t="s">
        <v>179</v>
      </c>
      <c r="F1367" s="589" t="s">
        <v>1392</v>
      </c>
      <c r="G1367" s="805" t="s">
        <v>1000</v>
      </c>
      <c r="H1367" s="589">
        <v>8</v>
      </c>
      <c r="I1367" s="583">
        <v>8</v>
      </c>
      <c r="J1367" s="589" t="s">
        <v>1419</v>
      </c>
      <c r="K1367" s="589" t="s">
        <v>1071</v>
      </c>
      <c r="L1367" s="806">
        <v>2</v>
      </c>
      <c r="M1367" s="806">
        <v>8</v>
      </c>
      <c r="N1367" s="807">
        <v>41618</v>
      </c>
    </row>
    <row r="1368" spans="1:14">
      <c r="A1368" s="804" t="s">
        <v>1750</v>
      </c>
      <c r="B1368" s="583" t="s">
        <v>439</v>
      </c>
      <c r="C1368" s="243">
        <v>41603</v>
      </c>
      <c r="D1368" s="243">
        <v>41603</v>
      </c>
      <c r="E1368" s="584" t="s">
        <v>206</v>
      </c>
      <c r="F1368" s="589" t="s">
        <v>1392</v>
      </c>
      <c r="G1368" s="805" t="s">
        <v>996</v>
      </c>
      <c r="H1368" s="589">
        <v>234</v>
      </c>
      <c r="I1368" s="583">
        <v>234</v>
      </c>
      <c r="J1368" s="589"/>
      <c r="K1368" s="637" t="s">
        <v>1071</v>
      </c>
      <c r="L1368" s="806">
        <v>6</v>
      </c>
      <c r="M1368" s="806">
        <v>42</v>
      </c>
      <c r="N1368" s="807">
        <v>41618</v>
      </c>
    </row>
    <row r="1369" spans="1:14">
      <c r="A1369" s="804" t="s">
        <v>1750</v>
      </c>
      <c r="B1369" s="583" t="s">
        <v>439</v>
      </c>
      <c r="C1369" s="243">
        <v>41603</v>
      </c>
      <c r="D1369" s="243">
        <v>41603</v>
      </c>
      <c r="E1369" s="589" t="s">
        <v>185</v>
      </c>
      <c r="F1369" s="589" t="s">
        <v>1392</v>
      </c>
      <c r="G1369" s="589" t="s">
        <v>1483</v>
      </c>
      <c r="H1369" s="589">
        <v>119</v>
      </c>
      <c r="I1369" s="583">
        <v>119</v>
      </c>
      <c r="J1369" s="589"/>
      <c r="K1369" s="589" t="s">
        <v>1071</v>
      </c>
      <c r="L1369" s="806">
        <v>2</v>
      </c>
      <c r="M1369" s="806">
        <v>8</v>
      </c>
      <c r="N1369" s="807">
        <v>41604</v>
      </c>
    </row>
    <row r="1370" spans="1:14">
      <c r="A1370" s="804" t="s">
        <v>1750</v>
      </c>
      <c r="B1370" s="583" t="s">
        <v>439</v>
      </c>
      <c r="C1370" s="243">
        <v>41603</v>
      </c>
      <c r="D1370" s="243">
        <v>41603</v>
      </c>
      <c r="E1370" s="589" t="s">
        <v>245</v>
      </c>
      <c r="F1370" s="589" t="s">
        <v>1392</v>
      </c>
      <c r="G1370" s="589" t="s">
        <v>991</v>
      </c>
      <c r="H1370" s="589">
        <v>47</v>
      </c>
      <c r="I1370" s="583">
        <v>47</v>
      </c>
      <c r="J1370" s="589"/>
      <c r="K1370" s="637" t="s">
        <v>1071</v>
      </c>
      <c r="L1370" s="809">
        <v>5</v>
      </c>
      <c r="M1370" s="809">
        <v>35</v>
      </c>
      <c r="N1370" s="807">
        <v>41610</v>
      </c>
    </row>
    <row r="1371" spans="1:14">
      <c r="A1371" s="804" t="s">
        <v>1750</v>
      </c>
      <c r="B1371" s="583" t="s">
        <v>439</v>
      </c>
      <c r="C1371" s="243">
        <v>41603</v>
      </c>
      <c r="D1371" s="243">
        <v>41603</v>
      </c>
      <c r="E1371" s="589" t="s">
        <v>179</v>
      </c>
      <c r="F1371" s="589" t="s">
        <v>1392</v>
      </c>
      <c r="G1371" s="805" t="s">
        <v>1000</v>
      </c>
      <c r="H1371" s="589">
        <v>13</v>
      </c>
      <c r="I1371" s="583">
        <v>13</v>
      </c>
      <c r="J1371" s="589"/>
      <c r="K1371" s="589" t="s">
        <v>1071</v>
      </c>
      <c r="L1371" s="806">
        <v>2</v>
      </c>
      <c r="M1371" s="806">
        <v>8</v>
      </c>
      <c r="N1371" s="807">
        <v>41618</v>
      </c>
    </row>
    <row r="1372" spans="1:14">
      <c r="A1372" s="589" t="s">
        <v>1751</v>
      </c>
      <c r="B1372" s="583">
        <v>9</v>
      </c>
      <c r="C1372" s="243">
        <v>41603</v>
      </c>
      <c r="D1372" s="243">
        <v>41603</v>
      </c>
      <c r="E1372" s="584" t="s">
        <v>206</v>
      </c>
      <c r="F1372" s="589" t="s">
        <v>1392</v>
      </c>
      <c r="G1372" s="805" t="s">
        <v>996</v>
      </c>
      <c r="H1372" s="589">
        <v>264</v>
      </c>
      <c r="I1372" s="583">
        <v>264</v>
      </c>
      <c r="J1372" s="589"/>
      <c r="K1372" s="637" t="s">
        <v>1071</v>
      </c>
      <c r="L1372" s="806">
        <v>6</v>
      </c>
      <c r="M1372" s="806">
        <v>42</v>
      </c>
      <c r="N1372" s="807">
        <v>41618</v>
      </c>
    </row>
    <row r="1373" spans="1:14">
      <c r="A1373" s="589" t="s">
        <v>1751</v>
      </c>
      <c r="B1373" s="583">
        <v>9</v>
      </c>
      <c r="C1373" s="243">
        <v>41603</v>
      </c>
      <c r="D1373" s="243">
        <v>41603</v>
      </c>
      <c r="E1373" s="589" t="s">
        <v>185</v>
      </c>
      <c r="F1373" s="589" t="s">
        <v>1392</v>
      </c>
      <c r="G1373" s="589" t="s">
        <v>1483</v>
      </c>
      <c r="H1373" s="589">
        <v>141</v>
      </c>
      <c r="I1373" s="583">
        <v>141</v>
      </c>
      <c r="J1373" s="589"/>
      <c r="K1373" s="589" t="s">
        <v>1071</v>
      </c>
      <c r="L1373" s="806">
        <v>2</v>
      </c>
      <c r="M1373" s="806">
        <v>8</v>
      </c>
      <c r="N1373" s="807">
        <v>41604</v>
      </c>
    </row>
    <row r="1374" spans="1:14">
      <c r="A1374" s="589" t="s">
        <v>1751</v>
      </c>
      <c r="B1374" s="583">
        <v>9</v>
      </c>
      <c r="C1374" s="243">
        <v>41603</v>
      </c>
      <c r="D1374" s="243">
        <v>41603</v>
      </c>
      <c r="E1374" s="589" t="s">
        <v>245</v>
      </c>
      <c r="F1374" s="589" t="s">
        <v>1392</v>
      </c>
      <c r="G1374" s="589" t="s">
        <v>991</v>
      </c>
      <c r="H1374" s="589">
        <v>52</v>
      </c>
      <c r="I1374" s="583">
        <v>52</v>
      </c>
      <c r="J1374" s="589"/>
      <c r="K1374" s="637" t="s">
        <v>1071</v>
      </c>
      <c r="L1374" s="809">
        <v>5</v>
      </c>
      <c r="M1374" s="809">
        <v>35</v>
      </c>
      <c r="N1374" s="807">
        <v>41610</v>
      </c>
    </row>
    <row r="1375" spans="1:14">
      <c r="A1375" s="589" t="s">
        <v>1751</v>
      </c>
      <c r="B1375" s="583">
        <v>9</v>
      </c>
      <c r="C1375" s="243">
        <v>41603</v>
      </c>
      <c r="D1375" s="243">
        <v>41603</v>
      </c>
      <c r="E1375" s="589" t="s">
        <v>179</v>
      </c>
      <c r="F1375" s="589" t="s">
        <v>1392</v>
      </c>
      <c r="G1375" s="805" t="s">
        <v>1000</v>
      </c>
      <c r="H1375" s="589">
        <v>17</v>
      </c>
      <c r="I1375" s="583">
        <v>17</v>
      </c>
      <c r="J1375" s="589"/>
      <c r="K1375" s="589" t="s">
        <v>1071</v>
      </c>
      <c r="L1375" s="806">
        <v>2</v>
      </c>
      <c r="M1375" s="806">
        <v>8</v>
      </c>
      <c r="N1375" s="807">
        <v>41618</v>
      </c>
    </row>
    <row r="1376" spans="1:14">
      <c r="A1376" s="804" t="s">
        <v>1752</v>
      </c>
      <c r="B1376" s="583">
        <v>12</v>
      </c>
      <c r="C1376" s="243">
        <v>41603</v>
      </c>
      <c r="D1376" s="243">
        <v>41603</v>
      </c>
      <c r="E1376" s="584" t="s">
        <v>206</v>
      </c>
      <c r="F1376" s="589" t="s">
        <v>1392</v>
      </c>
      <c r="G1376" s="805" t="s">
        <v>996</v>
      </c>
      <c r="H1376" s="589">
        <v>349</v>
      </c>
      <c r="I1376" s="583">
        <v>349</v>
      </c>
      <c r="J1376" s="589"/>
      <c r="K1376" s="637" t="s">
        <v>1071</v>
      </c>
      <c r="L1376" s="806">
        <v>6</v>
      </c>
      <c r="M1376" s="806">
        <v>42</v>
      </c>
      <c r="N1376" s="807">
        <v>41618</v>
      </c>
    </row>
    <row r="1377" spans="1:14">
      <c r="A1377" s="804" t="s">
        <v>1752</v>
      </c>
      <c r="B1377" s="583">
        <v>12</v>
      </c>
      <c r="C1377" s="243">
        <v>41603</v>
      </c>
      <c r="D1377" s="243">
        <v>41603</v>
      </c>
      <c r="E1377" s="589" t="s">
        <v>185</v>
      </c>
      <c r="F1377" s="589" t="s">
        <v>1392</v>
      </c>
      <c r="G1377" s="589" t="s">
        <v>1483</v>
      </c>
      <c r="H1377" s="589">
        <v>242</v>
      </c>
      <c r="I1377" s="583">
        <v>242</v>
      </c>
      <c r="J1377" s="589"/>
      <c r="K1377" s="589" t="s">
        <v>1071</v>
      </c>
      <c r="L1377" s="806">
        <v>2</v>
      </c>
      <c r="M1377" s="806">
        <v>8</v>
      </c>
      <c r="N1377" s="807">
        <v>41604</v>
      </c>
    </row>
    <row r="1378" spans="1:14">
      <c r="A1378" s="804" t="s">
        <v>1752</v>
      </c>
      <c r="B1378" s="583">
        <v>12</v>
      </c>
      <c r="C1378" s="243">
        <v>41603</v>
      </c>
      <c r="D1378" s="243">
        <v>41603</v>
      </c>
      <c r="E1378" s="589" t="s">
        <v>245</v>
      </c>
      <c r="F1378" s="589" t="s">
        <v>1392</v>
      </c>
      <c r="G1378" s="589" t="s">
        <v>991</v>
      </c>
      <c r="H1378" s="589">
        <v>44</v>
      </c>
      <c r="I1378" s="583">
        <v>44</v>
      </c>
      <c r="J1378" s="589"/>
      <c r="K1378" s="637" t="s">
        <v>1071</v>
      </c>
      <c r="L1378" s="809">
        <v>5</v>
      </c>
      <c r="M1378" s="809">
        <v>35</v>
      </c>
      <c r="N1378" s="807">
        <v>41610</v>
      </c>
    </row>
    <row r="1379" spans="1:14">
      <c r="A1379" s="804" t="s">
        <v>1752</v>
      </c>
      <c r="B1379" s="583">
        <v>12</v>
      </c>
      <c r="C1379" s="243">
        <v>41603</v>
      </c>
      <c r="D1379" s="243">
        <v>41603</v>
      </c>
      <c r="E1379" s="589" t="s">
        <v>179</v>
      </c>
      <c r="F1379" s="589" t="s">
        <v>1392</v>
      </c>
      <c r="G1379" s="805" t="s">
        <v>1000</v>
      </c>
      <c r="H1379" s="589">
        <v>14</v>
      </c>
      <c r="I1379" s="583">
        <v>14</v>
      </c>
      <c r="J1379" s="589"/>
      <c r="K1379" s="589" t="s">
        <v>1071</v>
      </c>
      <c r="L1379" s="806">
        <v>2</v>
      </c>
      <c r="M1379" s="806">
        <v>8</v>
      </c>
      <c r="N1379" s="807">
        <v>41618</v>
      </c>
    </row>
    <row r="1380" spans="1:14">
      <c r="A1380" s="804" t="s">
        <v>1753</v>
      </c>
      <c r="B1380" s="583" t="s">
        <v>440</v>
      </c>
      <c r="C1380" s="243">
        <v>41603</v>
      </c>
      <c r="D1380" s="243">
        <v>41603</v>
      </c>
      <c r="E1380" s="584" t="s">
        <v>206</v>
      </c>
      <c r="F1380" s="589" t="s">
        <v>1392</v>
      </c>
      <c r="G1380" s="805" t="s">
        <v>996</v>
      </c>
      <c r="H1380" s="589">
        <v>236</v>
      </c>
      <c r="I1380" s="583">
        <v>236</v>
      </c>
      <c r="J1380" s="589"/>
      <c r="K1380" s="637" t="s">
        <v>1071</v>
      </c>
      <c r="L1380" s="806">
        <v>6</v>
      </c>
      <c r="M1380" s="806">
        <v>42</v>
      </c>
      <c r="N1380" s="807">
        <v>41618</v>
      </c>
    </row>
    <row r="1381" spans="1:14">
      <c r="A1381" s="804" t="s">
        <v>1753</v>
      </c>
      <c r="B1381" s="585" t="s">
        <v>440</v>
      </c>
      <c r="C1381" s="243">
        <v>41603</v>
      </c>
      <c r="D1381" s="243">
        <v>41603</v>
      </c>
      <c r="E1381" s="589" t="s">
        <v>185</v>
      </c>
      <c r="F1381" s="589" t="s">
        <v>1392</v>
      </c>
      <c r="G1381" s="589" t="s">
        <v>1483</v>
      </c>
      <c r="H1381" s="589">
        <v>147</v>
      </c>
      <c r="I1381" s="583">
        <v>147</v>
      </c>
      <c r="J1381" s="589"/>
      <c r="K1381" s="637" t="s">
        <v>1071</v>
      </c>
      <c r="L1381" s="806">
        <v>2</v>
      </c>
      <c r="M1381" s="806">
        <v>8</v>
      </c>
      <c r="N1381" s="807">
        <v>41604</v>
      </c>
    </row>
    <row r="1382" spans="1:14">
      <c r="A1382" s="804" t="s">
        <v>1753</v>
      </c>
      <c r="B1382" s="585" t="s">
        <v>440</v>
      </c>
      <c r="C1382" s="243">
        <v>41603</v>
      </c>
      <c r="D1382" s="243">
        <v>41603</v>
      </c>
      <c r="E1382" s="589" t="s">
        <v>245</v>
      </c>
      <c r="F1382" s="589" t="s">
        <v>1392</v>
      </c>
      <c r="G1382" s="589" t="s">
        <v>991</v>
      </c>
      <c r="H1382" s="589">
        <v>46</v>
      </c>
      <c r="I1382" s="583">
        <v>46</v>
      </c>
      <c r="J1382" s="589"/>
      <c r="K1382" s="589" t="s">
        <v>1071</v>
      </c>
      <c r="L1382" s="809">
        <v>5</v>
      </c>
      <c r="M1382" s="809">
        <v>35</v>
      </c>
      <c r="N1382" s="807">
        <v>41610</v>
      </c>
    </row>
    <row r="1383" spans="1:14">
      <c r="A1383" s="804" t="s">
        <v>1753</v>
      </c>
      <c r="B1383" s="585" t="s">
        <v>440</v>
      </c>
      <c r="C1383" s="243">
        <v>41603</v>
      </c>
      <c r="D1383" s="243">
        <v>41603</v>
      </c>
      <c r="E1383" s="589" t="s">
        <v>179</v>
      </c>
      <c r="F1383" s="589" t="s">
        <v>1392</v>
      </c>
      <c r="G1383" s="805" t="s">
        <v>1000</v>
      </c>
      <c r="H1383" s="589">
        <v>12</v>
      </c>
      <c r="I1383" s="583">
        <v>12</v>
      </c>
      <c r="J1383" s="589"/>
      <c r="K1383" s="589" t="s">
        <v>1071</v>
      </c>
      <c r="L1383" s="806">
        <v>2</v>
      </c>
      <c r="M1383" s="806">
        <v>8</v>
      </c>
      <c r="N1383" s="807">
        <v>41618</v>
      </c>
    </row>
    <row r="1384" spans="1:14">
      <c r="A1384" s="804" t="s">
        <v>1754</v>
      </c>
      <c r="B1384" s="583" t="s">
        <v>1137</v>
      </c>
      <c r="C1384" s="243">
        <v>41603</v>
      </c>
      <c r="D1384" s="243">
        <v>41603</v>
      </c>
      <c r="E1384" s="584" t="s">
        <v>206</v>
      </c>
      <c r="F1384" s="589" t="s">
        <v>1392</v>
      </c>
      <c r="G1384" s="805" t="s">
        <v>996</v>
      </c>
      <c r="H1384" s="589">
        <v>296</v>
      </c>
      <c r="I1384" s="583">
        <v>296</v>
      </c>
      <c r="J1384" s="589"/>
      <c r="K1384" s="637" t="s">
        <v>1071</v>
      </c>
      <c r="L1384" s="806">
        <v>6</v>
      </c>
      <c r="M1384" s="806">
        <v>42</v>
      </c>
      <c r="N1384" s="807">
        <v>41618</v>
      </c>
    </row>
    <row r="1385" spans="1:14">
      <c r="A1385" s="804" t="s">
        <v>1754</v>
      </c>
      <c r="B1385" s="583" t="s">
        <v>1137</v>
      </c>
      <c r="C1385" s="243">
        <v>41603</v>
      </c>
      <c r="D1385" s="243">
        <v>41603</v>
      </c>
      <c r="E1385" s="589" t="s">
        <v>185</v>
      </c>
      <c r="F1385" s="589" t="s">
        <v>1392</v>
      </c>
      <c r="G1385" s="589" t="s">
        <v>1483</v>
      </c>
      <c r="H1385" s="589">
        <v>178</v>
      </c>
      <c r="I1385" s="583">
        <v>178</v>
      </c>
      <c r="J1385" s="589"/>
      <c r="K1385" s="589" t="s">
        <v>1071</v>
      </c>
      <c r="L1385" s="806">
        <v>2</v>
      </c>
      <c r="M1385" s="806">
        <v>8</v>
      </c>
      <c r="N1385" s="807">
        <v>41604</v>
      </c>
    </row>
    <row r="1386" spans="1:14">
      <c r="A1386" s="804" t="s">
        <v>1754</v>
      </c>
      <c r="B1386" s="583" t="s">
        <v>1137</v>
      </c>
      <c r="C1386" s="243">
        <v>41603</v>
      </c>
      <c r="D1386" s="243">
        <v>41603</v>
      </c>
      <c r="E1386" s="589" t="s">
        <v>245</v>
      </c>
      <c r="F1386" s="589" t="s">
        <v>1392</v>
      </c>
      <c r="G1386" s="589" t="s">
        <v>991</v>
      </c>
      <c r="H1386" s="589">
        <v>49</v>
      </c>
      <c r="I1386" s="583">
        <v>49</v>
      </c>
      <c r="J1386" s="589"/>
      <c r="K1386" s="589" t="s">
        <v>1071</v>
      </c>
      <c r="L1386" s="809">
        <v>5</v>
      </c>
      <c r="M1386" s="809">
        <v>35</v>
      </c>
      <c r="N1386" s="807">
        <v>41610</v>
      </c>
    </row>
    <row r="1387" spans="1:14">
      <c r="A1387" s="804" t="s">
        <v>1754</v>
      </c>
      <c r="B1387" s="583" t="s">
        <v>1137</v>
      </c>
      <c r="C1387" s="243">
        <v>41603</v>
      </c>
      <c r="D1387" s="243">
        <v>41603</v>
      </c>
      <c r="E1387" s="589" t="s">
        <v>179</v>
      </c>
      <c r="F1387" s="589" t="s">
        <v>1392</v>
      </c>
      <c r="G1387" s="805" t="s">
        <v>1000</v>
      </c>
      <c r="H1387" s="589">
        <v>17</v>
      </c>
      <c r="I1387" s="583">
        <v>17</v>
      </c>
      <c r="J1387" s="589"/>
      <c r="K1387" s="589" t="s">
        <v>1071</v>
      </c>
      <c r="L1387" s="806">
        <v>2</v>
      </c>
      <c r="M1387" s="806">
        <v>8</v>
      </c>
      <c r="N1387" s="807">
        <v>41618</v>
      </c>
    </row>
    <row r="1388" spans="1:14">
      <c r="A1388" s="804" t="s">
        <v>1755</v>
      </c>
      <c r="B1388" s="583">
        <v>34</v>
      </c>
      <c r="C1388" s="243">
        <v>41603</v>
      </c>
      <c r="D1388" s="243">
        <v>41603</v>
      </c>
      <c r="E1388" s="584" t="s">
        <v>206</v>
      </c>
      <c r="F1388" s="589" t="s">
        <v>1392</v>
      </c>
      <c r="G1388" s="805" t="s">
        <v>996</v>
      </c>
      <c r="H1388" s="589">
        <v>1091</v>
      </c>
      <c r="I1388" s="583">
        <v>1091</v>
      </c>
      <c r="J1388" s="589"/>
      <c r="K1388" s="637" t="s">
        <v>1071</v>
      </c>
      <c r="L1388" s="806">
        <v>6</v>
      </c>
      <c r="M1388" s="806">
        <v>42</v>
      </c>
      <c r="N1388" s="807">
        <v>41618</v>
      </c>
    </row>
    <row r="1389" spans="1:14">
      <c r="A1389" s="804" t="s">
        <v>1755</v>
      </c>
      <c r="B1389" s="583">
        <v>34</v>
      </c>
      <c r="C1389" s="243">
        <v>41603</v>
      </c>
      <c r="D1389" s="243">
        <v>41603</v>
      </c>
      <c r="E1389" s="589" t="s">
        <v>185</v>
      </c>
      <c r="F1389" s="589" t="s">
        <v>1392</v>
      </c>
      <c r="G1389" s="589" t="s">
        <v>1483</v>
      </c>
      <c r="H1389" s="589">
        <v>766</v>
      </c>
      <c r="I1389" s="583">
        <v>766</v>
      </c>
      <c r="J1389" s="589"/>
      <c r="K1389" s="589" t="s">
        <v>1071</v>
      </c>
      <c r="L1389" s="806">
        <v>2</v>
      </c>
      <c r="M1389" s="806">
        <v>8</v>
      </c>
      <c r="N1389" s="807">
        <v>41604</v>
      </c>
    </row>
    <row r="1390" spans="1:14">
      <c r="A1390" s="804" t="s">
        <v>1755</v>
      </c>
      <c r="B1390" s="583">
        <v>34</v>
      </c>
      <c r="C1390" s="243">
        <v>41603</v>
      </c>
      <c r="D1390" s="243">
        <v>41603</v>
      </c>
      <c r="E1390" s="589" t="s">
        <v>245</v>
      </c>
      <c r="F1390" s="589" t="s">
        <v>1392</v>
      </c>
      <c r="G1390" s="589" t="s">
        <v>991</v>
      </c>
      <c r="H1390" s="589">
        <v>65</v>
      </c>
      <c r="I1390" s="583">
        <v>65</v>
      </c>
      <c r="J1390" s="589"/>
      <c r="K1390" s="637" t="s">
        <v>1071</v>
      </c>
      <c r="L1390" s="809">
        <v>5</v>
      </c>
      <c r="M1390" s="809">
        <v>35</v>
      </c>
      <c r="N1390" s="807">
        <v>41610</v>
      </c>
    </row>
    <row r="1391" spans="1:14">
      <c r="A1391" s="804" t="s">
        <v>1755</v>
      </c>
      <c r="B1391" s="583">
        <v>34</v>
      </c>
      <c r="C1391" s="243">
        <v>41603</v>
      </c>
      <c r="D1391" s="243">
        <v>41603</v>
      </c>
      <c r="E1391" s="589" t="s">
        <v>179</v>
      </c>
      <c r="F1391" s="589" t="s">
        <v>1392</v>
      </c>
      <c r="G1391" s="805" t="s">
        <v>1000</v>
      </c>
      <c r="H1391" s="589">
        <v>11</v>
      </c>
      <c r="I1391" s="583">
        <v>11</v>
      </c>
      <c r="J1391" s="589"/>
      <c r="K1391" s="589" t="s">
        <v>1071</v>
      </c>
      <c r="L1391" s="806">
        <v>2</v>
      </c>
      <c r="M1391" s="806">
        <v>8</v>
      </c>
      <c r="N1391" s="807">
        <v>41618</v>
      </c>
    </row>
    <row r="1392" spans="1:14">
      <c r="A1392" s="804" t="s">
        <v>1756</v>
      </c>
      <c r="B1392" s="583">
        <v>18</v>
      </c>
      <c r="C1392" s="243">
        <v>41603</v>
      </c>
      <c r="D1392" s="243">
        <v>41603</v>
      </c>
      <c r="E1392" s="584" t="s">
        <v>206</v>
      </c>
      <c r="F1392" s="589" t="s">
        <v>1392</v>
      </c>
      <c r="G1392" s="805" t="s">
        <v>996</v>
      </c>
      <c r="H1392" s="589">
        <v>509</v>
      </c>
      <c r="I1392" s="583">
        <v>509</v>
      </c>
      <c r="J1392" s="589"/>
      <c r="K1392" s="637" t="s">
        <v>1071</v>
      </c>
      <c r="L1392" s="806">
        <v>6</v>
      </c>
      <c r="M1392" s="806">
        <v>42</v>
      </c>
      <c r="N1392" s="807">
        <v>41618</v>
      </c>
    </row>
    <row r="1393" spans="1:14">
      <c r="A1393" s="804" t="s">
        <v>1756</v>
      </c>
      <c r="B1393" s="583">
        <v>18</v>
      </c>
      <c r="C1393" s="243">
        <v>41603</v>
      </c>
      <c r="D1393" s="243">
        <v>41603</v>
      </c>
      <c r="E1393" s="589" t="s">
        <v>185</v>
      </c>
      <c r="F1393" s="589" t="s">
        <v>1392</v>
      </c>
      <c r="G1393" s="589" t="s">
        <v>1483</v>
      </c>
      <c r="H1393" s="589">
        <v>48</v>
      </c>
      <c r="I1393" s="583">
        <v>48</v>
      </c>
      <c r="J1393" s="589"/>
      <c r="K1393" s="589" t="s">
        <v>1071</v>
      </c>
      <c r="L1393" s="806">
        <v>2</v>
      </c>
      <c r="M1393" s="806">
        <v>8</v>
      </c>
      <c r="N1393" s="807">
        <v>41604</v>
      </c>
    </row>
    <row r="1394" spans="1:14">
      <c r="A1394" s="804" t="s">
        <v>1756</v>
      </c>
      <c r="B1394" s="583">
        <v>18</v>
      </c>
      <c r="C1394" s="243">
        <v>41603</v>
      </c>
      <c r="D1394" s="243">
        <v>41603</v>
      </c>
      <c r="E1394" s="589" t="s">
        <v>245</v>
      </c>
      <c r="F1394" s="589" t="s">
        <v>1392</v>
      </c>
      <c r="G1394" s="589" t="s">
        <v>991</v>
      </c>
      <c r="H1394" s="589">
        <v>45</v>
      </c>
      <c r="I1394" s="583">
        <v>45</v>
      </c>
      <c r="J1394" s="589"/>
      <c r="K1394" s="637" t="s">
        <v>1071</v>
      </c>
      <c r="L1394" s="809">
        <v>5</v>
      </c>
      <c r="M1394" s="809">
        <v>35</v>
      </c>
      <c r="N1394" s="807">
        <v>41610</v>
      </c>
    </row>
    <row r="1395" spans="1:14">
      <c r="A1395" s="804" t="s">
        <v>1756</v>
      </c>
      <c r="B1395" s="583">
        <v>18</v>
      </c>
      <c r="C1395" s="243">
        <v>41603</v>
      </c>
      <c r="D1395" s="243">
        <v>41603</v>
      </c>
      <c r="E1395" s="589" t="s">
        <v>179</v>
      </c>
      <c r="F1395" s="589" t="s">
        <v>1392</v>
      </c>
      <c r="G1395" s="805" t="s">
        <v>1000</v>
      </c>
      <c r="H1395" s="589">
        <v>57</v>
      </c>
      <c r="I1395" s="583">
        <v>57</v>
      </c>
      <c r="J1395" s="589"/>
      <c r="K1395" s="589" t="s">
        <v>1071</v>
      </c>
      <c r="L1395" s="806">
        <v>2</v>
      </c>
      <c r="M1395" s="806">
        <v>8</v>
      </c>
      <c r="N1395" s="807">
        <v>41618</v>
      </c>
    </row>
    <row r="1396" spans="1:14">
      <c r="A1396" s="804" t="s">
        <v>1757</v>
      </c>
      <c r="B1396" s="583">
        <v>19</v>
      </c>
      <c r="C1396" s="243">
        <v>41603</v>
      </c>
      <c r="D1396" s="243">
        <v>41603</v>
      </c>
      <c r="E1396" s="584" t="s">
        <v>206</v>
      </c>
      <c r="F1396" s="589" t="s">
        <v>1392</v>
      </c>
      <c r="G1396" s="805" t="s">
        <v>996</v>
      </c>
      <c r="H1396" s="589">
        <v>297</v>
      </c>
      <c r="I1396" s="583">
        <v>297</v>
      </c>
      <c r="J1396" s="589"/>
      <c r="K1396" s="637" t="s">
        <v>1071</v>
      </c>
      <c r="L1396" s="806">
        <v>6</v>
      </c>
      <c r="M1396" s="806">
        <v>42</v>
      </c>
      <c r="N1396" s="807">
        <v>41618</v>
      </c>
    </row>
    <row r="1397" spans="1:14">
      <c r="A1397" s="804" t="s">
        <v>1757</v>
      </c>
      <c r="B1397" s="583">
        <v>19</v>
      </c>
      <c r="C1397" s="243">
        <v>41603</v>
      </c>
      <c r="D1397" s="243">
        <v>41603</v>
      </c>
      <c r="E1397" s="589" t="s">
        <v>185</v>
      </c>
      <c r="F1397" s="589" t="s">
        <v>1392</v>
      </c>
      <c r="G1397" s="589" t="s">
        <v>1483</v>
      </c>
      <c r="H1397" s="589">
        <v>223</v>
      </c>
      <c r="I1397" s="583">
        <v>223</v>
      </c>
      <c r="J1397" s="589"/>
      <c r="K1397" s="589" t="s">
        <v>1071</v>
      </c>
      <c r="L1397" s="806">
        <v>2</v>
      </c>
      <c r="M1397" s="806">
        <v>8</v>
      </c>
      <c r="N1397" s="807">
        <v>41604</v>
      </c>
    </row>
    <row r="1398" spans="1:14">
      <c r="A1398" s="804" t="s">
        <v>1757</v>
      </c>
      <c r="B1398" s="583">
        <v>19</v>
      </c>
      <c r="C1398" s="243">
        <v>41603</v>
      </c>
      <c r="D1398" s="243">
        <v>41603</v>
      </c>
      <c r="E1398" s="589" t="s">
        <v>245</v>
      </c>
      <c r="F1398" s="589" t="s">
        <v>1392</v>
      </c>
      <c r="G1398" s="589" t="s">
        <v>991</v>
      </c>
      <c r="H1398" s="589">
        <v>51</v>
      </c>
      <c r="I1398" s="583">
        <v>51</v>
      </c>
      <c r="J1398" s="589"/>
      <c r="K1398" s="637" t="s">
        <v>1071</v>
      </c>
      <c r="L1398" s="809">
        <v>5</v>
      </c>
      <c r="M1398" s="809">
        <v>35</v>
      </c>
      <c r="N1398" s="807">
        <v>41610</v>
      </c>
    </row>
    <row r="1399" spans="1:14">
      <c r="A1399" s="804" t="s">
        <v>1757</v>
      </c>
      <c r="B1399" s="583">
        <v>19</v>
      </c>
      <c r="C1399" s="243">
        <v>41603</v>
      </c>
      <c r="D1399" s="243">
        <v>41603</v>
      </c>
      <c r="E1399" s="589" t="s">
        <v>179</v>
      </c>
      <c r="F1399" s="589" t="s">
        <v>1392</v>
      </c>
      <c r="G1399" s="805" t="s">
        <v>1000</v>
      </c>
      <c r="H1399" s="589">
        <v>10</v>
      </c>
      <c r="I1399" s="583">
        <v>10</v>
      </c>
      <c r="J1399" s="589"/>
      <c r="K1399" s="589" t="s">
        <v>1071</v>
      </c>
      <c r="L1399" s="806">
        <v>2</v>
      </c>
      <c r="M1399" s="806">
        <v>8</v>
      </c>
      <c r="N1399" s="807">
        <v>41618</v>
      </c>
    </row>
    <row r="1400" spans="1:14">
      <c r="A1400" s="804" t="s">
        <v>1758</v>
      </c>
      <c r="B1400" s="583" t="s">
        <v>1136</v>
      </c>
      <c r="C1400" s="243">
        <v>41603</v>
      </c>
      <c r="D1400" s="243">
        <v>41603</v>
      </c>
      <c r="E1400" s="584" t="s">
        <v>206</v>
      </c>
      <c r="F1400" s="589" t="s">
        <v>1392</v>
      </c>
      <c r="G1400" s="805" t="s">
        <v>996</v>
      </c>
      <c r="H1400" s="589">
        <v>166</v>
      </c>
      <c r="I1400" s="583">
        <v>166</v>
      </c>
      <c r="J1400" s="589"/>
      <c r="K1400" s="637" t="s">
        <v>1071</v>
      </c>
      <c r="L1400" s="806">
        <v>6</v>
      </c>
      <c r="M1400" s="806">
        <v>42</v>
      </c>
      <c r="N1400" s="807">
        <v>41618</v>
      </c>
    </row>
    <row r="1401" spans="1:14">
      <c r="A1401" s="804" t="s">
        <v>1758</v>
      </c>
      <c r="B1401" s="583" t="s">
        <v>1136</v>
      </c>
      <c r="C1401" s="243">
        <v>41603</v>
      </c>
      <c r="D1401" s="243">
        <v>41603</v>
      </c>
      <c r="E1401" s="589" t="s">
        <v>185</v>
      </c>
      <c r="F1401" s="589" t="s">
        <v>1392</v>
      </c>
      <c r="G1401" s="589" t="s">
        <v>1483</v>
      </c>
      <c r="H1401" s="589">
        <v>96</v>
      </c>
      <c r="I1401" s="583">
        <v>96</v>
      </c>
      <c r="J1401" s="589"/>
      <c r="K1401" s="589" t="s">
        <v>1071</v>
      </c>
      <c r="L1401" s="806">
        <v>2</v>
      </c>
      <c r="M1401" s="806">
        <v>8</v>
      </c>
      <c r="N1401" s="807">
        <v>41604</v>
      </c>
    </row>
    <row r="1402" spans="1:14">
      <c r="A1402" s="804" t="s">
        <v>1758</v>
      </c>
      <c r="B1402" s="583" t="s">
        <v>1136</v>
      </c>
      <c r="C1402" s="243">
        <v>41603</v>
      </c>
      <c r="D1402" s="243">
        <v>41603</v>
      </c>
      <c r="E1402" s="589" t="s">
        <v>245</v>
      </c>
      <c r="F1402" s="589" t="s">
        <v>1392</v>
      </c>
      <c r="G1402" s="589" t="s">
        <v>991</v>
      </c>
      <c r="H1402" s="589">
        <v>39</v>
      </c>
      <c r="I1402" s="583">
        <v>39</v>
      </c>
      <c r="J1402" s="589"/>
      <c r="K1402" s="637" t="s">
        <v>1071</v>
      </c>
      <c r="L1402" s="809">
        <v>5</v>
      </c>
      <c r="M1402" s="809">
        <v>35</v>
      </c>
      <c r="N1402" s="807">
        <v>41610</v>
      </c>
    </row>
    <row r="1403" spans="1:14">
      <c r="A1403" s="804" t="s">
        <v>1758</v>
      </c>
      <c r="B1403" s="583" t="s">
        <v>1136</v>
      </c>
      <c r="C1403" s="243">
        <v>41603</v>
      </c>
      <c r="D1403" s="243">
        <v>41603</v>
      </c>
      <c r="E1403" s="589" t="s">
        <v>179</v>
      </c>
      <c r="F1403" s="589" t="s">
        <v>1392</v>
      </c>
      <c r="G1403" s="805" t="s">
        <v>1000</v>
      </c>
      <c r="H1403" s="589">
        <v>7</v>
      </c>
      <c r="I1403" s="583">
        <v>7</v>
      </c>
      <c r="J1403" s="589" t="s">
        <v>1419</v>
      </c>
      <c r="K1403" s="589" t="s">
        <v>1071</v>
      </c>
      <c r="L1403" s="806">
        <v>2</v>
      </c>
      <c r="M1403" s="806">
        <v>8</v>
      </c>
      <c r="N1403" s="807">
        <v>41618</v>
      </c>
    </row>
    <row r="1404" spans="1:14">
      <c r="A1404" s="804" t="s">
        <v>1759</v>
      </c>
      <c r="B1404" s="583" t="s">
        <v>1135</v>
      </c>
      <c r="C1404" s="243">
        <v>41603</v>
      </c>
      <c r="D1404" s="243">
        <v>41603</v>
      </c>
      <c r="E1404" s="584" t="s">
        <v>206</v>
      </c>
      <c r="F1404" s="589" t="s">
        <v>1392</v>
      </c>
      <c r="G1404" s="805" t="s">
        <v>996</v>
      </c>
      <c r="H1404" s="589">
        <v>170</v>
      </c>
      <c r="I1404" s="583">
        <v>170</v>
      </c>
      <c r="J1404" s="589"/>
      <c r="K1404" s="637" t="s">
        <v>1071</v>
      </c>
      <c r="L1404" s="806">
        <v>6</v>
      </c>
      <c r="M1404" s="806">
        <v>42</v>
      </c>
      <c r="N1404" s="807">
        <v>41618</v>
      </c>
    </row>
    <row r="1405" spans="1:14">
      <c r="A1405" s="804" t="s">
        <v>1759</v>
      </c>
      <c r="B1405" s="583" t="s">
        <v>1135</v>
      </c>
      <c r="C1405" s="243">
        <v>41603</v>
      </c>
      <c r="D1405" s="243">
        <v>41603</v>
      </c>
      <c r="E1405" s="589" t="s">
        <v>185</v>
      </c>
      <c r="F1405" s="589" t="s">
        <v>1392</v>
      </c>
      <c r="G1405" s="589" t="s">
        <v>1483</v>
      </c>
      <c r="H1405" s="589">
        <v>80</v>
      </c>
      <c r="I1405" s="583">
        <v>80</v>
      </c>
      <c r="J1405" s="589"/>
      <c r="K1405" s="589" t="s">
        <v>1071</v>
      </c>
      <c r="L1405" s="806">
        <v>2</v>
      </c>
      <c r="M1405" s="806">
        <v>8</v>
      </c>
      <c r="N1405" s="807">
        <v>41604</v>
      </c>
    </row>
    <row r="1406" spans="1:14">
      <c r="A1406" s="804" t="s">
        <v>1759</v>
      </c>
      <c r="B1406" s="583" t="s">
        <v>1135</v>
      </c>
      <c r="C1406" s="243">
        <v>41603</v>
      </c>
      <c r="D1406" s="243">
        <v>41603</v>
      </c>
      <c r="E1406" s="589" t="s">
        <v>245</v>
      </c>
      <c r="F1406" s="589" t="s">
        <v>1392</v>
      </c>
      <c r="G1406" s="589" t="s">
        <v>991</v>
      </c>
      <c r="H1406" s="589">
        <v>45</v>
      </c>
      <c r="I1406" s="583">
        <v>45</v>
      </c>
      <c r="J1406" s="589"/>
      <c r="K1406" s="637" t="s">
        <v>1071</v>
      </c>
      <c r="L1406" s="809">
        <v>5</v>
      </c>
      <c r="M1406" s="809">
        <v>35</v>
      </c>
      <c r="N1406" s="807">
        <v>41610</v>
      </c>
    </row>
    <row r="1407" spans="1:14">
      <c r="A1407" s="804" t="s">
        <v>1759</v>
      </c>
      <c r="B1407" s="583" t="s">
        <v>1135</v>
      </c>
      <c r="C1407" s="243">
        <v>41603</v>
      </c>
      <c r="D1407" s="243">
        <v>41603</v>
      </c>
      <c r="E1407" s="589" t="s">
        <v>179</v>
      </c>
      <c r="F1407" s="589" t="s">
        <v>1392</v>
      </c>
      <c r="G1407" s="805" t="s">
        <v>1000</v>
      </c>
      <c r="H1407" s="589">
        <v>23</v>
      </c>
      <c r="I1407" s="583">
        <v>23</v>
      </c>
      <c r="J1407" s="589"/>
      <c r="K1407" s="589" t="s">
        <v>1071</v>
      </c>
      <c r="L1407" s="806">
        <v>2</v>
      </c>
      <c r="M1407" s="806">
        <v>8</v>
      </c>
      <c r="N1407" s="807">
        <v>41618</v>
      </c>
    </row>
    <row r="1408" spans="1:14">
      <c r="A1408" s="804" t="s">
        <v>1760</v>
      </c>
      <c r="B1408" s="583">
        <v>35</v>
      </c>
      <c r="C1408" s="243">
        <v>41603</v>
      </c>
      <c r="D1408" s="243">
        <v>41603</v>
      </c>
      <c r="E1408" s="584" t="s">
        <v>206</v>
      </c>
      <c r="F1408" s="589" t="s">
        <v>1392</v>
      </c>
      <c r="G1408" s="805" t="s">
        <v>996</v>
      </c>
      <c r="H1408" s="589">
        <v>255</v>
      </c>
      <c r="I1408" s="583">
        <v>255</v>
      </c>
      <c r="J1408" s="589"/>
      <c r="K1408" s="637" t="s">
        <v>1071</v>
      </c>
      <c r="L1408" s="806">
        <v>6</v>
      </c>
      <c r="M1408" s="806">
        <v>42</v>
      </c>
      <c r="N1408" s="807">
        <v>41618</v>
      </c>
    </row>
    <row r="1409" spans="1:14">
      <c r="A1409" s="804" t="s">
        <v>1760</v>
      </c>
      <c r="B1409" s="583">
        <v>35</v>
      </c>
      <c r="C1409" s="243">
        <v>41603</v>
      </c>
      <c r="D1409" s="243">
        <v>41603</v>
      </c>
      <c r="E1409" s="589" t="s">
        <v>185</v>
      </c>
      <c r="F1409" s="589" t="s">
        <v>1392</v>
      </c>
      <c r="G1409" s="589" t="s">
        <v>1483</v>
      </c>
      <c r="H1409" s="589">
        <v>251</v>
      </c>
      <c r="I1409" s="583">
        <v>251</v>
      </c>
      <c r="J1409" s="589"/>
      <c r="K1409" s="589" t="s">
        <v>1071</v>
      </c>
      <c r="L1409" s="806">
        <v>2</v>
      </c>
      <c r="M1409" s="806">
        <v>8</v>
      </c>
      <c r="N1409" s="807">
        <v>41604</v>
      </c>
    </row>
    <row r="1410" spans="1:14">
      <c r="A1410" s="804" t="s">
        <v>1760</v>
      </c>
      <c r="B1410" s="583">
        <v>35</v>
      </c>
      <c r="C1410" s="243">
        <v>41603</v>
      </c>
      <c r="D1410" s="243">
        <v>41603</v>
      </c>
      <c r="E1410" s="589" t="s">
        <v>245</v>
      </c>
      <c r="F1410" s="589" t="s">
        <v>1392</v>
      </c>
      <c r="G1410" s="589" t="s">
        <v>991</v>
      </c>
      <c r="H1410" s="589">
        <v>56</v>
      </c>
      <c r="I1410" s="583">
        <v>56</v>
      </c>
      <c r="J1410" s="589"/>
      <c r="K1410" s="637" t="s">
        <v>1071</v>
      </c>
      <c r="L1410" s="809">
        <v>5</v>
      </c>
      <c r="M1410" s="809">
        <v>35</v>
      </c>
      <c r="N1410" s="807">
        <v>41610</v>
      </c>
    </row>
    <row r="1411" spans="1:14">
      <c r="A1411" s="804" t="s">
        <v>1760</v>
      </c>
      <c r="B1411" s="583">
        <v>35</v>
      </c>
      <c r="C1411" s="243">
        <v>41603</v>
      </c>
      <c r="D1411" s="243">
        <v>41603</v>
      </c>
      <c r="E1411" s="589" t="s">
        <v>179</v>
      </c>
      <c r="F1411" s="589" t="s">
        <v>1392</v>
      </c>
      <c r="G1411" s="805" t="s">
        <v>1000</v>
      </c>
      <c r="H1411" s="589">
        <v>11</v>
      </c>
      <c r="I1411" s="583">
        <v>11</v>
      </c>
      <c r="J1411" s="589"/>
      <c r="K1411" s="589" t="s">
        <v>1071</v>
      </c>
      <c r="L1411" s="806">
        <v>2</v>
      </c>
      <c r="M1411" s="806">
        <v>8</v>
      </c>
      <c r="N1411" s="807">
        <v>41618</v>
      </c>
    </row>
    <row r="1412" spans="1:14">
      <c r="A1412" s="804" t="s">
        <v>1761</v>
      </c>
      <c r="B1412" s="583">
        <v>50</v>
      </c>
      <c r="C1412" s="243">
        <v>41603</v>
      </c>
      <c r="D1412" s="243">
        <v>41603</v>
      </c>
      <c r="E1412" s="584" t="s">
        <v>206</v>
      </c>
      <c r="F1412" s="589" t="s">
        <v>1392</v>
      </c>
      <c r="G1412" s="805" t="s">
        <v>996</v>
      </c>
      <c r="H1412" s="589">
        <v>268</v>
      </c>
      <c r="I1412" s="583">
        <v>268</v>
      </c>
      <c r="J1412" s="589"/>
      <c r="K1412" s="637" t="s">
        <v>1071</v>
      </c>
      <c r="L1412" s="806">
        <v>6</v>
      </c>
      <c r="M1412" s="806">
        <v>42</v>
      </c>
      <c r="N1412" s="807">
        <v>41618</v>
      </c>
    </row>
    <row r="1413" spans="1:14">
      <c r="A1413" s="804" t="s">
        <v>1761</v>
      </c>
      <c r="B1413" s="583">
        <v>50</v>
      </c>
      <c r="C1413" s="243">
        <v>41603</v>
      </c>
      <c r="D1413" s="243">
        <v>41603</v>
      </c>
      <c r="E1413" s="589" t="s">
        <v>185</v>
      </c>
      <c r="F1413" s="589" t="s">
        <v>1392</v>
      </c>
      <c r="G1413" s="589" t="s">
        <v>1483</v>
      </c>
      <c r="H1413" s="589">
        <v>143</v>
      </c>
      <c r="I1413" s="583">
        <v>143</v>
      </c>
      <c r="J1413" s="589"/>
      <c r="K1413" s="589" t="s">
        <v>1071</v>
      </c>
      <c r="L1413" s="806">
        <v>2</v>
      </c>
      <c r="M1413" s="806">
        <v>8</v>
      </c>
      <c r="N1413" s="807">
        <v>41604</v>
      </c>
    </row>
    <row r="1414" spans="1:14">
      <c r="A1414" s="804" t="s">
        <v>1761</v>
      </c>
      <c r="B1414" s="583">
        <v>50</v>
      </c>
      <c r="C1414" s="243">
        <v>41603</v>
      </c>
      <c r="D1414" s="243">
        <v>41603</v>
      </c>
      <c r="E1414" s="589" t="s">
        <v>245</v>
      </c>
      <c r="F1414" s="589" t="s">
        <v>1392</v>
      </c>
      <c r="G1414" s="589" t="s">
        <v>991</v>
      </c>
      <c r="H1414" s="589">
        <v>36</v>
      </c>
      <c r="I1414" s="583">
        <v>36</v>
      </c>
      <c r="J1414" s="589"/>
      <c r="K1414" s="637" t="s">
        <v>1071</v>
      </c>
      <c r="L1414" s="809">
        <v>5</v>
      </c>
      <c r="M1414" s="809">
        <v>35</v>
      </c>
      <c r="N1414" s="807">
        <v>41610</v>
      </c>
    </row>
    <row r="1415" spans="1:14">
      <c r="A1415" s="804" t="s">
        <v>1761</v>
      </c>
      <c r="B1415" s="583">
        <v>50</v>
      </c>
      <c r="C1415" s="243">
        <v>41603</v>
      </c>
      <c r="D1415" s="243">
        <v>41603</v>
      </c>
      <c r="E1415" s="589" t="s">
        <v>179</v>
      </c>
      <c r="F1415" s="589" t="s">
        <v>1392</v>
      </c>
      <c r="G1415" s="805" t="s">
        <v>1000</v>
      </c>
      <c r="H1415" s="589">
        <v>11</v>
      </c>
      <c r="I1415" s="583">
        <v>11</v>
      </c>
      <c r="J1415" s="589"/>
      <c r="K1415" s="589" t="s">
        <v>1071</v>
      </c>
      <c r="L1415" s="806">
        <v>2</v>
      </c>
      <c r="M1415" s="806">
        <v>8</v>
      </c>
      <c r="N1415" s="807">
        <v>41618</v>
      </c>
    </row>
    <row r="1416" spans="1:14">
      <c r="A1416" s="804" t="s">
        <v>1762</v>
      </c>
      <c r="B1416" s="583" t="s">
        <v>1049</v>
      </c>
      <c r="C1416" s="243">
        <v>41603</v>
      </c>
      <c r="D1416" s="243">
        <v>41603</v>
      </c>
      <c r="E1416" s="584" t="s">
        <v>206</v>
      </c>
      <c r="F1416" s="589" t="s">
        <v>1392</v>
      </c>
      <c r="G1416" s="805" t="s">
        <v>996</v>
      </c>
      <c r="H1416" s="589">
        <v>8464</v>
      </c>
      <c r="I1416" s="583">
        <v>8464</v>
      </c>
      <c r="J1416" s="589"/>
      <c r="K1416" s="637" t="s">
        <v>1071</v>
      </c>
      <c r="L1416" s="806">
        <v>6</v>
      </c>
      <c r="M1416" s="806">
        <v>42</v>
      </c>
      <c r="N1416" s="807">
        <v>41618</v>
      </c>
    </row>
    <row r="1417" spans="1:14">
      <c r="A1417" s="804" t="s">
        <v>1762</v>
      </c>
      <c r="B1417" s="583" t="s">
        <v>1049</v>
      </c>
      <c r="C1417" s="243">
        <v>41603</v>
      </c>
      <c r="D1417" s="243">
        <v>41603</v>
      </c>
      <c r="E1417" s="589" t="s">
        <v>185</v>
      </c>
      <c r="F1417" s="589" t="s">
        <v>1392</v>
      </c>
      <c r="G1417" s="589" t="s">
        <v>1483</v>
      </c>
      <c r="H1417" s="589">
        <v>6824</v>
      </c>
      <c r="I1417" s="583">
        <v>6824</v>
      </c>
      <c r="J1417" s="589"/>
      <c r="K1417" s="589" t="s">
        <v>1071</v>
      </c>
      <c r="L1417" s="806">
        <v>2</v>
      </c>
      <c r="M1417" s="806">
        <v>8</v>
      </c>
      <c r="N1417" s="807">
        <v>41604</v>
      </c>
    </row>
    <row r="1418" spans="1:14">
      <c r="A1418" s="804" t="s">
        <v>1762</v>
      </c>
      <c r="B1418" s="583" t="s">
        <v>1049</v>
      </c>
      <c r="C1418" s="243">
        <v>41603</v>
      </c>
      <c r="D1418" s="243">
        <v>41603</v>
      </c>
      <c r="E1418" s="589" t="s">
        <v>245</v>
      </c>
      <c r="F1418" s="589" t="s">
        <v>1392</v>
      </c>
      <c r="G1418" s="589" t="s">
        <v>991</v>
      </c>
      <c r="H1418" s="589">
        <v>130</v>
      </c>
      <c r="I1418" s="808" t="s">
        <v>1763</v>
      </c>
      <c r="J1418" s="688"/>
      <c r="K1418" s="637" t="s">
        <v>1071</v>
      </c>
      <c r="L1418" s="809">
        <v>5</v>
      </c>
      <c r="M1418" s="809">
        <v>35</v>
      </c>
      <c r="N1418" s="807">
        <v>41610</v>
      </c>
    </row>
    <row r="1419" spans="1:14">
      <c r="A1419" s="804" t="s">
        <v>1762</v>
      </c>
      <c r="B1419" s="583" t="s">
        <v>1049</v>
      </c>
      <c r="C1419" s="243">
        <v>41603</v>
      </c>
      <c r="D1419" s="243">
        <v>41603</v>
      </c>
      <c r="E1419" s="589" t="s">
        <v>179</v>
      </c>
      <c r="F1419" s="589" t="s">
        <v>1392</v>
      </c>
      <c r="G1419" s="805" t="s">
        <v>1000</v>
      </c>
      <c r="H1419" s="589">
        <v>178</v>
      </c>
      <c r="I1419" s="583">
        <v>178</v>
      </c>
      <c r="J1419" s="589"/>
      <c r="K1419" s="589" t="s">
        <v>1071</v>
      </c>
      <c r="L1419" s="806">
        <v>2</v>
      </c>
      <c r="M1419" s="806">
        <v>8</v>
      </c>
      <c r="N1419" s="807">
        <v>41618</v>
      </c>
    </row>
    <row r="1420" spans="1:14">
      <c r="A1420" s="804" t="s">
        <v>1764</v>
      </c>
      <c r="B1420" s="583" t="s">
        <v>1074</v>
      </c>
      <c r="C1420" s="243">
        <v>41603</v>
      </c>
      <c r="D1420" s="243">
        <v>41603</v>
      </c>
      <c r="E1420" s="584" t="s">
        <v>206</v>
      </c>
      <c r="F1420" s="589" t="s">
        <v>1392</v>
      </c>
      <c r="G1420" s="805" t="s">
        <v>996</v>
      </c>
      <c r="H1420" s="589">
        <v>5801</v>
      </c>
      <c r="I1420" s="583">
        <v>5801</v>
      </c>
      <c r="J1420" s="589"/>
      <c r="K1420" s="637" t="s">
        <v>1071</v>
      </c>
      <c r="L1420" s="806">
        <v>6</v>
      </c>
      <c r="M1420" s="806">
        <v>42</v>
      </c>
      <c r="N1420" s="807">
        <v>41618</v>
      </c>
    </row>
    <row r="1421" spans="1:14">
      <c r="A1421" s="804" t="s">
        <v>1764</v>
      </c>
      <c r="B1421" s="583" t="s">
        <v>1074</v>
      </c>
      <c r="C1421" s="243">
        <v>41603</v>
      </c>
      <c r="D1421" s="243">
        <v>41603</v>
      </c>
      <c r="E1421" s="589" t="s">
        <v>185</v>
      </c>
      <c r="F1421" s="589" t="s">
        <v>1392</v>
      </c>
      <c r="G1421" s="589" t="s">
        <v>1483</v>
      </c>
      <c r="H1421" s="589">
        <v>1055</v>
      </c>
      <c r="I1421" s="583">
        <v>1055</v>
      </c>
      <c r="J1421" s="589"/>
      <c r="K1421" s="589" t="s">
        <v>1071</v>
      </c>
      <c r="L1421" s="806">
        <v>2</v>
      </c>
      <c r="M1421" s="806">
        <v>8</v>
      </c>
      <c r="N1421" s="807">
        <v>41604</v>
      </c>
    </row>
    <row r="1422" spans="1:14">
      <c r="A1422" s="804" t="s">
        <v>1764</v>
      </c>
      <c r="B1422" s="583" t="s">
        <v>1074</v>
      </c>
      <c r="C1422" s="243">
        <v>41603</v>
      </c>
      <c r="D1422" s="243">
        <v>41603</v>
      </c>
      <c r="E1422" s="589" t="s">
        <v>245</v>
      </c>
      <c r="F1422" s="589" t="s">
        <v>1392</v>
      </c>
      <c r="G1422" s="589" t="s">
        <v>991</v>
      </c>
      <c r="H1422" s="589">
        <v>3294</v>
      </c>
      <c r="I1422" s="808" t="s">
        <v>1765</v>
      </c>
      <c r="J1422" s="589"/>
      <c r="K1422" s="637" t="s">
        <v>1071</v>
      </c>
      <c r="L1422" s="809">
        <v>5</v>
      </c>
      <c r="M1422" s="809">
        <v>35</v>
      </c>
      <c r="N1422" s="807">
        <v>41610</v>
      </c>
    </row>
    <row r="1423" spans="1:14">
      <c r="A1423" s="804" t="s">
        <v>1764</v>
      </c>
      <c r="B1423" s="583" t="s">
        <v>1074</v>
      </c>
      <c r="C1423" s="243">
        <v>41603</v>
      </c>
      <c r="D1423" s="243">
        <v>41603</v>
      </c>
      <c r="E1423" s="589" t="s">
        <v>179</v>
      </c>
      <c r="F1423" s="589" t="s">
        <v>1392</v>
      </c>
      <c r="G1423" s="805" t="s">
        <v>1000</v>
      </c>
      <c r="H1423" s="589">
        <v>225</v>
      </c>
      <c r="I1423" s="583">
        <v>225</v>
      </c>
      <c r="J1423" s="589"/>
      <c r="K1423" s="589" t="s">
        <v>1071</v>
      </c>
      <c r="L1423" s="806">
        <v>2</v>
      </c>
      <c r="M1423" s="806">
        <v>8</v>
      </c>
      <c r="N1423" s="807">
        <v>41618</v>
      </c>
    </row>
    <row r="1424" spans="1:14">
      <c r="A1424" s="804" t="s">
        <v>1766</v>
      </c>
      <c r="B1424" s="583" t="s">
        <v>1075</v>
      </c>
      <c r="C1424" s="243">
        <v>41603</v>
      </c>
      <c r="D1424" s="243">
        <v>41603</v>
      </c>
      <c r="E1424" s="584" t="s">
        <v>206</v>
      </c>
      <c r="F1424" s="589" t="s">
        <v>1392</v>
      </c>
      <c r="G1424" s="805" t="s">
        <v>996</v>
      </c>
      <c r="H1424" s="589">
        <v>20678</v>
      </c>
      <c r="I1424" s="583">
        <v>20678</v>
      </c>
      <c r="J1424" s="589"/>
      <c r="K1424" s="637" t="s">
        <v>1071</v>
      </c>
      <c r="L1424" s="806">
        <v>6</v>
      </c>
      <c r="M1424" s="806">
        <v>42</v>
      </c>
      <c r="N1424" s="807">
        <v>41618</v>
      </c>
    </row>
    <row r="1425" spans="1:14">
      <c r="A1425" s="804" t="s">
        <v>1766</v>
      </c>
      <c r="B1425" s="583" t="s">
        <v>1075</v>
      </c>
      <c r="C1425" s="243">
        <v>41603</v>
      </c>
      <c r="D1425" s="243">
        <v>41603</v>
      </c>
      <c r="E1425" s="589" t="s">
        <v>185</v>
      </c>
      <c r="F1425" s="589" t="s">
        <v>1392</v>
      </c>
      <c r="G1425" s="589" t="s">
        <v>1483</v>
      </c>
      <c r="H1425" s="589">
        <v>17195</v>
      </c>
      <c r="I1425" s="583">
        <v>17195</v>
      </c>
      <c r="J1425" s="589"/>
      <c r="K1425" s="589" t="s">
        <v>1071</v>
      </c>
      <c r="L1425" s="806">
        <v>2</v>
      </c>
      <c r="M1425" s="806">
        <v>8</v>
      </c>
      <c r="N1425" s="807">
        <v>41604</v>
      </c>
    </row>
    <row r="1426" spans="1:14">
      <c r="A1426" s="804" t="s">
        <v>1766</v>
      </c>
      <c r="B1426" s="583" t="s">
        <v>1075</v>
      </c>
      <c r="C1426" s="243">
        <v>41603</v>
      </c>
      <c r="D1426" s="243">
        <v>41603</v>
      </c>
      <c r="E1426" s="589" t="s">
        <v>245</v>
      </c>
      <c r="F1426" s="589" t="s">
        <v>1392</v>
      </c>
      <c r="G1426" s="589" t="s">
        <v>991</v>
      </c>
      <c r="H1426" s="589">
        <v>1243</v>
      </c>
      <c r="I1426" s="808" t="s">
        <v>1767</v>
      </c>
      <c r="J1426" s="589"/>
      <c r="K1426" s="637" t="s">
        <v>1071</v>
      </c>
      <c r="L1426" s="809">
        <v>5</v>
      </c>
      <c r="M1426" s="809">
        <v>35</v>
      </c>
      <c r="N1426" s="807">
        <v>41610</v>
      </c>
    </row>
    <row r="1427" spans="1:14">
      <c r="A1427" s="804" t="s">
        <v>1766</v>
      </c>
      <c r="B1427" s="583" t="s">
        <v>1075</v>
      </c>
      <c r="C1427" s="243">
        <v>41603</v>
      </c>
      <c r="D1427" s="243">
        <v>41603</v>
      </c>
      <c r="E1427" s="589" t="s">
        <v>179</v>
      </c>
      <c r="F1427" s="589" t="s">
        <v>1392</v>
      </c>
      <c r="G1427" s="805" t="s">
        <v>1000</v>
      </c>
      <c r="H1427" s="589">
        <v>364</v>
      </c>
      <c r="I1427" s="583">
        <v>364</v>
      </c>
      <c r="J1427" s="589"/>
      <c r="K1427" s="589" t="s">
        <v>1071</v>
      </c>
      <c r="L1427" s="806">
        <v>2</v>
      </c>
      <c r="M1427" s="806">
        <v>8</v>
      </c>
      <c r="N1427" s="807">
        <v>41618</v>
      </c>
    </row>
    <row r="1428" spans="1:14">
      <c r="A1428" s="804" t="s">
        <v>1768</v>
      </c>
      <c r="B1428" s="585" t="s">
        <v>404</v>
      </c>
      <c r="C1428" s="243">
        <v>41603</v>
      </c>
      <c r="D1428" s="243">
        <v>41603</v>
      </c>
      <c r="E1428" s="584" t="s">
        <v>206</v>
      </c>
      <c r="F1428" s="589" t="s">
        <v>1392</v>
      </c>
      <c r="G1428" s="805" t="s">
        <v>996</v>
      </c>
      <c r="H1428" s="589">
        <v>7137</v>
      </c>
      <c r="I1428" s="583">
        <v>7137</v>
      </c>
      <c r="J1428" s="589"/>
      <c r="K1428" s="637" t="s">
        <v>1071</v>
      </c>
      <c r="L1428" s="806">
        <v>6</v>
      </c>
      <c r="M1428" s="806">
        <v>42</v>
      </c>
      <c r="N1428" s="807">
        <v>41618</v>
      </c>
    </row>
    <row r="1429" spans="1:14">
      <c r="A1429" s="804" t="s">
        <v>1768</v>
      </c>
      <c r="B1429" s="585" t="s">
        <v>404</v>
      </c>
      <c r="C1429" s="243">
        <v>41603</v>
      </c>
      <c r="D1429" s="243">
        <v>41603</v>
      </c>
      <c r="E1429" s="589" t="s">
        <v>185</v>
      </c>
      <c r="F1429" s="589" t="s">
        <v>1392</v>
      </c>
      <c r="G1429" s="589" t="s">
        <v>1483</v>
      </c>
      <c r="H1429" s="589">
        <v>6765</v>
      </c>
      <c r="I1429" s="583">
        <v>6765</v>
      </c>
      <c r="J1429" s="589"/>
      <c r="K1429" s="589" t="s">
        <v>1071</v>
      </c>
      <c r="L1429" s="806">
        <v>2</v>
      </c>
      <c r="M1429" s="806">
        <v>8</v>
      </c>
      <c r="N1429" s="807">
        <v>41604</v>
      </c>
    </row>
    <row r="1430" spans="1:14">
      <c r="A1430" s="804" t="s">
        <v>1768</v>
      </c>
      <c r="B1430" s="585" t="s">
        <v>404</v>
      </c>
      <c r="C1430" s="243">
        <v>41603</v>
      </c>
      <c r="D1430" s="243">
        <v>41603</v>
      </c>
      <c r="E1430" s="589" t="s">
        <v>245</v>
      </c>
      <c r="F1430" s="589" t="s">
        <v>1392</v>
      </c>
      <c r="G1430" s="589" t="s">
        <v>991</v>
      </c>
      <c r="H1430" s="589">
        <v>106</v>
      </c>
      <c r="I1430" s="808" t="s">
        <v>1769</v>
      </c>
      <c r="J1430" s="589"/>
      <c r="K1430" s="637" t="s">
        <v>1071</v>
      </c>
      <c r="L1430" s="809">
        <v>5</v>
      </c>
      <c r="M1430" s="809">
        <v>35</v>
      </c>
      <c r="N1430" s="807">
        <v>41610</v>
      </c>
    </row>
    <row r="1431" spans="1:14">
      <c r="A1431" s="804" t="s">
        <v>1768</v>
      </c>
      <c r="B1431" s="585" t="s">
        <v>404</v>
      </c>
      <c r="C1431" s="243">
        <v>41603</v>
      </c>
      <c r="D1431" s="243">
        <v>41603</v>
      </c>
      <c r="E1431" s="589" t="s">
        <v>179</v>
      </c>
      <c r="F1431" s="589" t="s">
        <v>1392</v>
      </c>
      <c r="G1431" s="805" t="s">
        <v>1000</v>
      </c>
      <c r="H1431" s="589">
        <v>206</v>
      </c>
      <c r="I1431" s="583">
        <v>206</v>
      </c>
      <c r="J1431" s="589"/>
      <c r="K1431" s="589" t="s">
        <v>1071</v>
      </c>
      <c r="L1431" s="806">
        <v>2</v>
      </c>
      <c r="M1431" s="806">
        <v>8</v>
      </c>
      <c r="N1431" s="807">
        <v>41618</v>
      </c>
    </row>
    <row r="1432" spans="1:14">
      <c r="A1432" s="804" t="s">
        <v>1770</v>
      </c>
      <c r="B1432" s="583" t="s">
        <v>1076</v>
      </c>
      <c r="C1432" s="243">
        <v>41603</v>
      </c>
      <c r="D1432" s="243">
        <v>41603</v>
      </c>
      <c r="E1432" s="584" t="s">
        <v>206</v>
      </c>
      <c r="F1432" s="589" t="s">
        <v>1392</v>
      </c>
      <c r="G1432" s="805" t="s">
        <v>996</v>
      </c>
      <c r="H1432" s="589">
        <v>30193</v>
      </c>
      <c r="I1432" s="583">
        <v>30193</v>
      </c>
      <c r="J1432" s="589"/>
      <c r="K1432" s="637" t="s">
        <v>1071</v>
      </c>
      <c r="L1432" s="806">
        <v>6</v>
      </c>
      <c r="M1432" s="806">
        <v>42</v>
      </c>
      <c r="N1432" s="807">
        <v>41618</v>
      </c>
    </row>
    <row r="1433" spans="1:14">
      <c r="A1433" s="804" t="s">
        <v>1770</v>
      </c>
      <c r="B1433" s="583" t="s">
        <v>1076</v>
      </c>
      <c r="C1433" s="243">
        <v>41603</v>
      </c>
      <c r="D1433" s="243">
        <v>41603</v>
      </c>
      <c r="E1433" s="589" t="s">
        <v>185</v>
      </c>
      <c r="F1433" s="589" t="s">
        <v>1392</v>
      </c>
      <c r="G1433" s="589" t="s">
        <v>1483</v>
      </c>
      <c r="H1433" s="589">
        <v>25392</v>
      </c>
      <c r="I1433" s="583">
        <v>25392</v>
      </c>
      <c r="J1433" s="589"/>
      <c r="K1433" s="589" t="s">
        <v>1071</v>
      </c>
      <c r="L1433" s="806">
        <v>2</v>
      </c>
      <c r="M1433" s="806">
        <v>8</v>
      </c>
      <c r="N1433" s="807">
        <v>41604</v>
      </c>
    </row>
    <row r="1434" spans="1:14">
      <c r="A1434" s="804" t="s">
        <v>1770</v>
      </c>
      <c r="B1434" s="583" t="s">
        <v>1076</v>
      </c>
      <c r="C1434" s="243">
        <v>41603</v>
      </c>
      <c r="D1434" s="243">
        <v>41603</v>
      </c>
      <c r="E1434" s="589" t="s">
        <v>245</v>
      </c>
      <c r="F1434" s="589" t="s">
        <v>1392</v>
      </c>
      <c r="G1434" s="589" t="s">
        <v>991</v>
      </c>
      <c r="H1434" s="589">
        <v>228</v>
      </c>
      <c r="I1434" s="808" t="s">
        <v>1771</v>
      </c>
      <c r="J1434" s="589"/>
      <c r="K1434" s="637" t="s">
        <v>1071</v>
      </c>
      <c r="L1434" s="809">
        <v>5</v>
      </c>
      <c r="M1434" s="809">
        <v>35</v>
      </c>
      <c r="N1434" s="807">
        <v>41610</v>
      </c>
    </row>
    <row r="1435" spans="1:14">
      <c r="A1435" s="804" t="s">
        <v>1770</v>
      </c>
      <c r="B1435" s="583" t="s">
        <v>1076</v>
      </c>
      <c r="C1435" s="243">
        <v>41603</v>
      </c>
      <c r="D1435" s="243">
        <v>41603</v>
      </c>
      <c r="E1435" s="589" t="s">
        <v>179</v>
      </c>
      <c r="F1435" s="589" t="s">
        <v>1392</v>
      </c>
      <c r="G1435" s="805" t="s">
        <v>1000</v>
      </c>
      <c r="H1435" s="589">
        <v>502</v>
      </c>
      <c r="I1435" s="583">
        <v>502</v>
      </c>
      <c r="J1435" s="589"/>
      <c r="K1435" s="589" t="s">
        <v>1071</v>
      </c>
      <c r="L1435" s="806">
        <v>2</v>
      </c>
      <c r="M1435" s="806">
        <v>8</v>
      </c>
      <c r="N1435" s="807">
        <v>41618</v>
      </c>
    </row>
    <row r="1436" spans="1:14">
      <c r="A1436" s="804" t="s">
        <v>1772</v>
      </c>
      <c r="B1436" s="583" t="s">
        <v>1508</v>
      </c>
      <c r="C1436" s="243">
        <v>41603</v>
      </c>
      <c r="D1436" s="243">
        <v>41603</v>
      </c>
      <c r="E1436" s="584" t="s">
        <v>206</v>
      </c>
      <c r="F1436" s="589" t="s">
        <v>1392</v>
      </c>
      <c r="G1436" s="805" t="s">
        <v>996</v>
      </c>
      <c r="H1436" s="589">
        <v>2035</v>
      </c>
      <c r="I1436" s="583">
        <v>2035</v>
      </c>
      <c r="J1436" s="589"/>
      <c r="K1436" s="637" t="s">
        <v>1071</v>
      </c>
      <c r="L1436" s="806">
        <v>6</v>
      </c>
      <c r="M1436" s="806">
        <v>42</v>
      </c>
      <c r="N1436" s="807">
        <v>41618</v>
      </c>
    </row>
    <row r="1437" spans="1:14">
      <c r="A1437" s="804" t="s">
        <v>1772</v>
      </c>
      <c r="B1437" s="583" t="s">
        <v>1508</v>
      </c>
      <c r="C1437" s="243">
        <v>41603</v>
      </c>
      <c r="D1437" s="243">
        <v>41603</v>
      </c>
      <c r="E1437" s="589" t="s">
        <v>185</v>
      </c>
      <c r="F1437" s="589" t="s">
        <v>1392</v>
      </c>
      <c r="G1437" s="589" t="s">
        <v>1483</v>
      </c>
      <c r="H1437" s="589">
        <v>1242</v>
      </c>
      <c r="I1437" s="583">
        <v>1242</v>
      </c>
      <c r="J1437" s="589"/>
      <c r="K1437" s="589" t="s">
        <v>1071</v>
      </c>
      <c r="L1437" s="806">
        <v>2</v>
      </c>
      <c r="M1437" s="806">
        <v>8</v>
      </c>
      <c r="N1437" s="807">
        <v>41604</v>
      </c>
    </row>
    <row r="1438" spans="1:14">
      <c r="A1438" s="804" t="s">
        <v>1772</v>
      </c>
      <c r="B1438" s="583" t="s">
        <v>1508</v>
      </c>
      <c r="C1438" s="243">
        <v>41603</v>
      </c>
      <c r="D1438" s="243">
        <v>41603</v>
      </c>
      <c r="E1438" s="589" t="s">
        <v>245</v>
      </c>
      <c r="F1438" s="589" t="s">
        <v>1392</v>
      </c>
      <c r="G1438" s="589" t="s">
        <v>991</v>
      </c>
      <c r="H1438" s="589">
        <v>75</v>
      </c>
      <c r="I1438" s="808" t="s">
        <v>1773</v>
      </c>
      <c r="J1438" s="589"/>
      <c r="K1438" s="637" t="s">
        <v>1071</v>
      </c>
      <c r="L1438" s="809">
        <v>5</v>
      </c>
      <c r="M1438" s="809">
        <v>35</v>
      </c>
      <c r="N1438" s="807">
        <v>41610</v>
      </c>
    </row>
    <row r="1439" spans="1:14">
      <c r="A1439" s="804" t="s">
        <v>1772</v>
      </c>
      <c r="B1439" s="583" t="s">
        <v>1508</v>
      </c>
      <c r="C1439" s="243">
        <v>41603</v>
      </c>
      <c r="D1439" s="243">
        <v>41603</v>
      </c>
      <c r="E1439" s="589" t="s">
        <v>179</v>
      </c>
      <c r="F1439" s="589" t="s">
        <v>1392</v>
      </c>
      <c r="G1439" s="805" t="s">
        <v>1000</v>
      </c>
      <c r="H1439" s="589">
        <v>59</v>
      </c>
      <c r="I1439" s="583">
        <v>59</v>
      </c>
      <c r="J1439" s="589"/>
      <c r="K1439" s="589" t="s">
        <v>1071</v>
      </c>
      <c r="L1439" s="806">
        <v>2</v>
      </c>
      <c r="M1439" s="806">
        <v>8</v>
      </c>
      <c r="N1439" s="807">
        <v>41618</v>
      </c>
    </row>
    <row r="1441" spans="1:14">
      <c r="A1441" s="804" t="s">
        <v>1774</v>
      </c>
      <c r="B1441" s="583" t="s">
        <v>1095</v>
      </c>
      <c r="C1441" s="243">
        <v>41596</v>
      </c>
      <c r="D1441" s="243">
        <v>41596</v>
      </c>
      <c r="E1441" s="584" t="s">
        <v>206</v>
      </c>
      <c r="F1441" s="589" t="s">
        <v>1392</v>
      </c>
      <c r="G1441" s="805" t="s">
        <v>996</v>
      </c>
      <c r="H1441" s="589">
        <v>398</v>
      </c>
      <c r="I1441" s="583">
        <v>398</v>
      </c>
      <c r="J1441" s="589"/>
      <c r="K1441" s="637" t="s">
        <v>1071</v>
      </c>
      <c r="L1441" s="806">
        <v>6</v>
      </c>
      <c r="M1441" s="806">
        <v>42</v>
      </c>
      <c r="N1441" s="807">
        <v>41611</v>
      </c>
    </row>
    <row r="1442" spans="1:14">
      <c r="A1442" s="688" t="s">
        <v>1774</v>
      </c>
      <c r="B1442" s="583" t="s">
        <v>1095</v>
      </c>
      <c r="C1442" s="243">
        <v>41596</v>
      </c>
      <c r="D1442" s="243">
        <v>41596</v>
      </c>
      <c r="E1442" s="589" t="s">
        <v>185</v>
      </c>
      <c r="F1442" s="589" t="s">
        <v>1392</v>
      </c>
      <c r="G1442" s="589" t="s">
        <v>1483</v>
      </c>
      <c r="H1442" s="589">
        <v>174</v>
      </c>
      <c r="I1442" s="583">
        <v>174</v>
      </c>
      <c r="J1442" s="589"/>
      <c r="K1442" s="589" t="s">
        <v>1071</v>
      </c>
      <c r="L1442" s="806">
        <v>2</v>
      </c>
      <c r="M1442" s="806">
        <v>8</v>
      </c>
      <c r="N1442" s="807">
        <v>41598</v>
      </c>
    </row>
    <row r="1443" spans="1:14">
      <c r="A1443" s="688" t="s">
        <v>1774</v>
      </c>
      <c r="B1443" s="583" t="s">
        <v>1095</v>
      </c>
      <c r="C1443" s="243">
        <v>41596</v>
      </c>
      <c r="D1443" s="243">
        <v>41596</v>
      </c>
      <c r="E1443" s="589" t="s">
        <v>245</v>
      </c>
      <c r="F1443" s="589" t="s">
        <v>1392</v>
      </c>
      <c r="G1443" s="589" t="s">
        <v>991</v>
      </c>
      <c r="H1443" s="589">
        <v>47</v>
      </c>
      <c r="I1443" s="808" t="s">
        <v>1526</v>
      </c>
      <c r="J1443" s="589"/>
      <c r="K1443" s="637" t="s">
        <v>1071</v>
      </c>
      <c r="L1443" s="809">
        <v>5</v>
      </c>
      <c r="M1443" s="809">
        <v>35</v>
      </c>
      <c r="N1443" s="807">
        <v>41610</v>
      </c>
    </row>
    <row r="1444" spans="1:14">
      <c r="A1444" s="688" t="s">
        <v>1774</v>
      </c>
      <c r="B1444" s="583" t="s">
        <v>1095</v>
      </c>
      <c r="C1444" s="243">
        <v>41596</v>
      </c>
      <c r="D1444" s="243">
        <v>41596</v>
      </c>
      <c r="E1444" s="589" t="s">
        <v>179</v>
      </c>
      <c r="F1444" s="589" t="s">
        <v>1392</v>
      </c>
      <c r="G1444" s="805" t="s">
        <v>1000</v>
      </c>
      <c r="H1444" s="589">
        <v>20</v>
      </c>
      <c r="I1444" s="583">
        <v>20</v>
      </c>
      <c r="J1444" s="589"/>
      <c r="K1444" s="589" t="s">
        <v>1071</v>
      </c>
      <c r="L1444" s="806">
        <v>2</v>
      </c>
      <c r="M1444" s="806">
        <v>8</v>
      </c>
      <c r="N1444" s="807">
        <v>41611</v>
      </c>
    </row>
    <row r="1445" spans="1:14">
      <c r="A1445" s="589" t="s">
        <v>1774</v>
      </c>
      <c r="B1445" s="583" t="s">
        <v>1095</v>
      </c>
      <c r="C1445" s="243">
        <v>41596</v>
      </c>
      <c r="D1445" s="243">
        <v>41596</v>
      </c>
      <c r="E1445" s="590" t="s">
        <v>180</v>
      </c>
      <c r="F1445" s="589" t="s">
        <v>1392</v>
      </c>
      <c r="G1445" s="805" t="s">
        <v>1000</v>
      </c>
      <c r="H1445" s="591">
        <v>11</v>
      </c>
      <c r="I1445" s="590">
        <v>11</v>
      </c>
      <c r="J1445" s="637"/>
      <c r="K1445" s="589" t="s">
        <v>1071</v>
      </c>
      <c r="L1445" s="810">
        <v>2</v>
      </c>
      <c r="M1445" s="810">
        <v>8</v>
      </c>
      <c r="N1445" s="807">
        <v>41611</v>
      </c>
    </row>
    <row r="1446" spans="1:14">
      <c r="A1446" s="688" t="s">
        <v>1774</v>
      </c>
      <c r="B1446" s="583" t="s">
        <v>1095</v>
      </c>
      <c r="C1446" s="243">
        <v>41596</v>
      </c>
      <c r="D1446" s="243">
        <v>41596</v>
      </c>
      <c r="E1446" s="589" t="s">
        <v>184</v>
      </c>
      <c r="F1446" s="589" t="s">
        <v>1392</v>
      </c>
      <c r="G1446" s="589" t="s">
        <v>1471</v>
      </c>
      <c r="H1446" s="592"/>
      <c r="I1446" s="811"/>
      <c r="J1446" s="589"/>
      <c r="K1446" s="589" t="s">
        <v>1096</v>
      </c>
      <c r="L1446" s="806">
        <v>4</v>
      </c>
      <c r="M1446" s="806"/>
      <c r="N1446" s="807">
        <v>41599</v>
      </c>
    </row>
    <row r="1447" spans="1:14">
      <c r="A1447" s="804" t="s">
        <v>1775</v>
      </c>
      <c r="B1447" s="583" t="s">
        <v>1097</v>
      </c>
      <c r="C1447" s="243">
        <v>41596</v>
      </c>
      <c r="D1447" s="243">
        <v>41596</v>
      </c>
      <c r="E1447" s="584" t="s">
        <v>206</v>
      </c>
      <c r="F1447" s="589" t="s">
        <v>1392</v>
      </c>
      <c r="G1447" s="805" t="s">
        <v>996</v>
      </c>
      <c r="H1447" s="589">
        <v>683</v>
      </c>
      <c r="I1447" s="583">
        <v>683</v>
      </c>
      <c r="J1447" s="589"/>
      <c r="K1447" s="637" t="s">
        <v>1071</v>
      </c>
      <c r="L1447" s="806">
        <v>6</v>
      </c>
      <c r="M1447" s="806">
        <v>42</v>
      </c>
      <c r="N1447" s="807">
        <v>41611</v>
      </c>
    </row>
    <row r="1448" spans="1:14">
      <c r="A1448" s="688" t="s">
        <v>1775</v>
      </c>
      <c r="B1448" s="583" t="s">
        <v>1097</v>
      </c>
      <c r="C1448" s="243">
        <v>41596</v>
      </c>
      <c r="D1448" s="243">
        <v>41596</v>
      </c>
      <c r="E1448" s="589" t="s">
        <v>185</v>
      </c>
      <c r="F1448" s="589" t="s">
        <v>1392</v>
      </c>
      <c r="G1448" s="589" t="s">
        <v>1483</v>
      </c>
      <c r="H1448" s="589">
        <v>514</v>
      </c>
      <c r="I1448" s="583">
        <v>514</v>
      </c>
      <c r="J1448" s="589"/>
      <c r="K1448" s="589" t="s">
        <v>1071</v>
      </c>
      <c r="L1448" s="806">
        <v>2</v>
      </c>
      <c r="M1448" s="806">
        <v>8</v>
      </c>
      <c r="N1448" s="807">
        <v>41598</v>
      </c>
    </row>
    <row r="1449" spans="1:14">
      <c r="A1449" s="688" t="s">
        <v>1775</v>
      </c>
      <c r="B1449" s="583" t="s">
        <v>1097</v>
      </c>
      <c r="C1449" s="243">
        <v>41596</v>
      </c>
      <c r="D1449" s="243">
        <v>41596</v>
      </c>
      <c r="E1449" s="589" t="s">
        <v>245</v>
      </c>
      <c r="F1449" s="589" t="s">
        <v>1392</v>
      </c>
      <c r="G1449" s="589" t="s">
        <v>991</v>
      </c>
      <c r="H1449" s="589">
        <v>26</v>
      </c>
      <c r="I1449" s="808" t="s">
        <v>1776</v>
      </c>
      <c r="J1449" s="589" t="s">
        <v>1419</v>
      </c>
      <c r="K1449" s="637" t="s">
        <v>1071</v>
      </c>
      <c r="L1449" s="809">
        <v>5</v>
      </c>
      <c r="M1449" s="809">
        <v>35</v>
      </c>
      <c r="N1449" s="807">
        <v>41610</v>
      </c>
    </row>
    <row r="1450" spans="1:14">
      <c r="A1450" s="688" t="s">
        <v>1775</v>
      </c>
      <c r="B1450" s="583" t="s">
        <v>1097</v>
      </c>
      <c r="C1450" s="243">
        <v>41596</v>
      </c>
      <c r="D1450" s="243">
        <v>41596</v>
      </c>
      <c r="E1450" s="589" t="s">
        <v>179</v>
      </c>
      <c r="F1450" s="589" t="s">
        <v>1392</v>
      </c>
      <c r="G1450" s="805" t="s">
        <v>1000</v>
      </c>
      <c r="H1450" s="589">
        <v>17</v>
      </c>
      <c r="I1450" s="583">
        <v>17</v>
      </c>
      <c r="J1450" s="589"/>
      <c r="K1450" s="589" t="s">
        <v>1071</v>
      </c>
      <c r="L1450" s="806">
        <v>2</v>
      </c>
      <c r="M1450" s="806">
        <v>8</v>
      </c>
      <c r="N1450" s="807">
        <v>41611</v>
      </c>
    </row>
    <row r="1451" spans="1:14">
      <c r="A1451" s="589" t="s">
        <v>1775</v>
      </c>
      <c r="B1451" s="583" t="s">
        <v>1097</v>
      </c>
      <c r="C1451" s="243">
        <v>41596</v>
      </c>
      <c r="D1451" s="243">
        <v>41596</v>
      </c>
      <c r="E1451" s="590" t="s">
        <v>180</v>
      </c>
      <c r="F1451" s="589" t="s">
        <v>1392</v>
      </c>
      <c r="G1451" s="805" t="s">
        <v>1000</v>
      </c>
      <c r="H1451" s="591">
        <v>11</v>
      </c>
      <c r="I1451" s="590">
        <v>11</v>
      </c>
      <c r="J1451" s="637"/>
      <c r="K1451" s="589" t="s">
        <v>1071</v>
      </c>
      <c r="L1451" s="810">
        <v>2</v>
      </c>
      <c r="M1451" s="810">
        <v>8</v>
      </c>
      <c r="N1451" s="807">
        <v>41611</v>
      </c>
    </row>
    <row r="1452" spans="1:14">
      <c r="A1452" s="688" t="s">
        <v>1775</v>
      </c>
      <c r="B1452" s="583" t="s">
        <v>1097</v>
      </c>
      <c r="C1452" s="243">
        <v>41596</v>
      </c>
      <c r="D1452" s="243">
        <v>41596</v>
      </c>
      <c r="E1452" s="589" t="s">
        <v>184</v>
      </c>
      <c r="F1452" s="589" t="s">
        <v>1392</v>
      </c>
      <c r="G1452" s="589" t="s">
        <v>1471</v>
      </c>
      <c r="H1452" s="592">
        <v>4.8</v>
      </c>
      <c r="I1452" s="811">
        <v>4.8</v>
      </c>
      <c r="J1452" s="589"/>
      <c r="K1452" s="589" t="s">
        <v>1096</v>
      </c>
      <c r="L1452" s="806">
        <v>4</v>
      </c>
      <c r="M1452" s="806"/>
      <c r="N1452" s="807">
        <v>41599</v>
      </c>
    </row>
    <row r="1453" spans="1:14">
      <c r="A1453" s="589" t="s">
        <v>1777</v>
      </c>
      <c r="B1453" s="583">
        <v>45</v>
      </c>
      <c r="C1453" s="243">
        <v>41596</v>
      </c>
      <c r="D1453" s="243">
        <v>41596</v>
      </c>
      <c r="E1453" s="584" t="s">
        <v>206</v>
      </c>
      <c r="F1453" s="589" t="s">
        <v>1392</v>
      </c>
      <c r="G1453" s="805" t="s">
        <v>996</v>
      </c>
      <c r="H1453" s="589">
        <v>642</v>
      </c>
      <c r="I1453" s="583">
        <v>642</v>
      </c>
      <c r="J1453" s="589"/>
      <c r="K1453" s="637" t="s">
        <v>1071</v>
      </c>
      <c r="L1453" s="806">
        <v>6</v>
      </c>
      <c r="M1453" s="806">
        <v>42</v>
      </c>
      <c r="N1453" s="807">
        <v>41611</v>
      </c>
    </row>
    <row r="1454" spans="1:14">
      <c r="A1454" s="804" t="s">
        <v>1777</v>
      </c>
      <c r="B1454" s="583">
        <v>45</v>
      </c>
      <c r="C1454" s="243">
        <v>41596</v>
      </c>
      <c r="D1454" s="243">
        <v>41596</v>
      </c>
      <c r="E1454" s="589" t="s">
        <v>185</v>
      </c>
      <c r="F1454" s="589" t="s">
        <v>1392</v>
      </c>
      <c r="G1454" s="589" t="s">
        <v>1483</v>
      </c>
      <c r="H1454" s="589">
        <v>324</v>
      </c>
      <c r="I1454" s="583">
        <v>324</v>
      </c>
      <c r="J1454" s="589"/>
      <c r="K1454" s="589" t="s">
        <v>1071</v>
      </c>
      <c r="L1454" s="806">
        <v>2</v>
      </c>
      <c r="M1454" s="806">
        <v>8</v>
      </c>
      <c r="N1454" s="807">
        <v>41598</v>
      </c>
    </row>
    <row r="1455" spans="1:14">
      <c r="A1455" s="804" t="s">
        <v>1777</v>
      </c>
      <c r="B1455" s="583">
        <v>45</v>
      </c>
      <c r="C1455" s="243">
        <v>41596</v>
      </c>
      <c r="D1455" s="243">
        <v>41596</v>
      </c>
      <c r="E1455" s="589" t="s">
        <v>245</v>
      </c>
      <c r="F1455" s="589" t="s">
        <v>1392</v>
      </c>
      <c r="G1455" s="589" t="s">
        <v>991</v>
      </c>
      <c r="H1455" s="589">
        <v>106</v>
      </c>
      <c r="I1455" s="808" t="s">
        <v>1769</v>
      </c>
      <c r="J1455" s="589"/>
      <c r="K1455" s="637" t="s">
        <v>1071</v>
      </c>
      <c r="L1455" s="809">
        <v>5</v>
      </c>
      <c r="M1455" s="809">
        <v>35</v>
      </c>
      <c r="N1455" s="807">
        <v>41610</v>
      </c>
    </row>
    <row r="1456" spans="1:14">
      <c r="A1456" s="804" t="s">
        <v>1777</v>
      </c>
      <c r="B1456" s="583">
        <v>45</v>
      </c>
      <c r="C1456" s="243">
        <v>41596</v>
      </c>
      <c r="D1456" s="243">
        <v>41596</v>
      </c>
      <c r="E1456" s="589" t="s">
        <v>179</v>
      </c>
      <c r="F1456" s="589" t="s">
        <v>1392</v>
      </c>
      <c r="G1456" s="805" t="s">
        <v>1000</v>
      </c>
      <c r="H1456" s="589">
        <v>25</v>
      </c>
      <c r="I1456" s="583">
        <v>25</v>
      </c>
      <c r="J1456" s="589"/>
      <c r="K1456" s="589" t="s">
        <v>1071</v>
      </c>
      <c r="L1456" s="806">
        <v>2</v>
      </c>
      <c r="M1456" s="806">
        <v>8</v>
      </c>
      <c r="N1456" s="807">
        <v>41611</v>
      </c>
    </row>
    <row r="1457" spans="1:14">
      <c r="A1457" s="589" t="s">
        <v>1777</v>
      </c>
      <c r="B1457" s="583">
        <v>45</v>
      </c>
      <c r="C1457" s="243">
        <v>41596</v>
      </c>
      <c r="D1457" s="243">
        <v>41596</v>
      </c>
      <c r="E1457" s="590" t="s">
        <v>180</v>
      </c>
      <c r="F1457" s="589" t="s">
        <v>1392</v>
      </c>
      <c r="G1457" s="805" t="s">
        <v>1000</v>
      </c>
      <c r="H1457" s="591">
        <v>16</v>
      </c>
      <c r="I1457" s="590">
        <v>16</v>
      </c>
      <c r="J1457" s="637"/>
      <c r="K1457" s="589" t="s">
        <v>1071</v>
      </c>
      <c r="L1457" s="810">
        <v>2</v>
      </c>
      <c r="M1457" s="810">
        <v>8</v>
      </c>
      <c r="N1457" s="807">
        <v>41611</v>
      </c>
    </row>
    <row r="1458" spans="1:14">
      <c r="A1458" s="804" t="s">
        <v>1777</v>
      </c>
      <c r="B1458" s="583">
        <v>45</v>
      </c>
      <c r="C1458" s="243">
        <v>41596</v>
      </c>
      <c r="D1458" s="243">
        <v>41596</v>
      </c>
      <c r="E1458" s="589" t="s">
        <v>184</v>
      </c>
      <c r="F1458" s="589" t="s">
        <v>1392</v>
      </c>
      <c r="G1458" s="589" t="s">
        <v>1471</v>
      </c>
      <c r="H1458" s="592"/>
      <c r="I1458" s="811"/>
      <c r="J1458" s="589"/>
      <c r="K1458" s="589" t="s">
        <v>1096</v>
      </c>
      <c r="L1458" s="806">
        <v>4</v>
      </c>
      <c r="M1458" s="806"/>
      <c r="N1458" s="807">
        <v>41599</v>
      </c>
    </row>
    <row r="1459" spans="1:14">
      <c r="A1459" s="804" t="s">
        <v>1778</v>
      </c>
      <c r="B1459" s="585" t="s">
        <v>1098</v>
      </c>
      <c r="C1459" s="243">
        <v>41596</v>
      </c>
      <c r="D1459" s="243">
        <v>41596</v>
      </c>
      <c r="E1459" s="584" t="s">
        <v>206</v>
      </c>
      <c r="F1459" s="589" t="s">
        <v>1392</v>
      </c>
      <c r="G1459" s="805" t="s">
        <v>996</v>
      </c>
      <c r="H1459" s="589">
        <v>774</v>
      </c>
      <c r="I1459" s="583">
        <v>774</v>
      </c>
      <c r="J1459" s="589"/>
      <c r="K1459" s="637" t="s">
        <v>1071</v>
      </c>
      <c r="L1459" s="806">
        <v>6</v>
      </c>
      <c r="M1459" s="806">
        <v>42</v>
      </c>
      <c r="N1459" s="807">
        <v>41611</v>
      </c>
    </row>
    <row r="1460" spans="1:14">
      <c r="A1460" s="589" t="s">
        <v>1778</v>
      </c>
      <c r="B1460" s="585" t="s">
        <v>1098</v>
      </c>
      <c r="C1460" s="243">
        <v>41596</v>
      </c>
      <c r="D1460" s="243">
        <v>41596</v>
      </c>
      <c r="E1460" s="589" t="s">
        <v>185</v>
      </c>
      <c r="F1460" s="589" t="s">
        <v>1392</v>
      </c>
      <c r="G1460" s="589" t="s">
        <v>1483</v>
      </c>
      <c r="H1460" s="589">
        <v>316</v>
      </c>
      <c r="I1460" s="583">
        <v>316</v>
      </c>
      <c r="J1460" s="589"/>
      <c r="K1460" s="589" t="s">
        <v>1071</v>
      </c>
      <c r="L1460" s="806">
        <v>2</v>
      </c>
      <c r="M1460" s="806">
        <v>8</v>
      </c>
      <c r="N1460" s="807">
        <v>41598</v>
      </c>
    </row>
    <row r="1461" spans="1:14">
      <c r="A1461" s="589" t="s">
        <v>1778</v>
      </c>
      <c r="B1461" s="585" t="s">
        <v>1098</v>
      </c>
      <c r="C1461" s="243">
        <v>41596</v>
      </c>
      <c r="D1461" s="243">
        <v>41596</v>
      </c>
      <c r="E1461" s="589" t="s">
        <v>245</v>
      </c>
      <c r="F1461" s="589" t="s">
        <v>1392</v>
      </c>
      <c r="G1461" s="589" t="s">
        <v>991</v>
      </c>
      <c r="H1461" s="589">
        <v>143</v>
      </c>
      <c r="I1461" s="808" t="s">
        <v>1502</v>
      </c>
      <c r="J1461" s="688"/>
      <c r="K1461" s="637" t="s">
        <v>1071</v>
      </c>
      <c r="L1461" s="809">
        <v>5</v>
      </c>
      <c r="M1461" s="809">
        <v>35</v>
      </c>
      <c r="N1461" s="807">
        <v>41610</v>
      </c>
    </row>
    <row r="1462" spans="1:14">
      <c r="A1462" s="589" t="s">
        <v>1778</v>
      </c>
      <c r="B1462" s="585" t="s">
        <v>1098</v>
      </c>
      <c r="C1462" s="243">
        <v>41596</v>
      </c>
      <c r="D1462" s="243">
        <v>41596</v>
      </c>
      <c r="E1462" s="589" t="s">
        <v>179</v>
      </c>
      <c r="F1462" s="589" t="s">
        <v>1392</v>
      </c>
      <c r="G1462" s="805" t="s">
        <v>1000</v>
      </c>
      <c r="H1462" s="589">
        <v>47</v>
      </c>
      <c r="I1462" s="583">
        <v>47</v>
      </c>
      <c r="J1462" s="589"/>
      <c r="K1462" s="589" t="s">
        <v>1071</v>
      </c>
      <c r="L1462" s="806">
        <v>2</v>
      </c>
      <c r="M1462" s="806">
        <v>8</v>
      </c>
      <c r="N1462" s="807">
        <v>41611</v>
      </c>
    </row>
    <row r="1463" spans="1:14">
      <c r="A1463" s="589" t="s">
        <v>1778</v>
      </c>
      <c r="B1463" s="585" t="s">
        <v>1098</v>
      </c>
      <c r="C1463" s="243">
        <v>41596</v>
      </c>
      <c r="D1463" s="243">
        <v>41596</v>
      </c>
      <c r="E1463" s="590" t="s">
        <v>180</v>
      </c>
      <c r="F1463" s="589" t="s">
        <v>1392</v>
      </c>
      <c r="G1463" s="805" t="s">
        <v>1000</v>
      </c>
      <c r="H1463" s="591">
        <v>18</v>
      </c>
      <c r="I1463" s="590">
        <v>18</v>
      </c>
      <c r="J1463" s="637"/>
      <c r="K1463" s="589" t="s">
        <v>1071</v>
      </c>
      <c r="L1463" s="810">
        <v>2</v>
      </c>
      <c r="M1463" s="810">
        <v>8</v>
      </c>
      <c r="N1463" s="807">
        <v>41611</v>
      </c>
    </row>
    <row r="1464" spans="1:14">
      <c r="A1464" s="589" t="s">
        <v>1778</v>
      </c>
      <c r="B1464" s="585" t="s">
        <v>1098</v>
      </c>
      <c r="C1464" s="243">
        <v>41596</v>
      </c>
      <c r="D1464" s="243">
        <v>41596</v>
      </c>
      <c r="E1464" s="589" t="s">
        <v>184</v>
      </c>
      <c r="F1464" s="589" t="s">
        <v>1392</v>
      </c>
      <c r="G1464" s="589" t="s">
        <v>1471</v>
      </c>
      <c r="H1464" s="592">
        <v>5.6</v>
      </c>
      <c r="I1464" s="811">
        <v>5.6</v>
      </c>
      <c r="J1464" s="589"/>
      <c r="K1464" s="589" t="s">
        <v>1096</v>
      </c>
      <c r="L1464" s="806">
        <v>4</v>
      </c>
      <c r="M1464" s="806"/>
      <c r="N1464" s="807">
        <v>41599</v>
      </c>
    </row>
    <row r="1465" spans="1:14">
      <c r="A1465" s="804" t="s">
        <v>1778</v>
      </c>
      <c r="B1465" s="583" t="s">
        <v>1098</v>
      </c>
      <c r="C1465" s="243">
        <v>41596</v>
      </c>
      <c r="D1465" s="243">
        <v>41596</v>
      </c>
      <c r="E1465" s="584" t="s">
        <v>181</v>
      </c>
      <c r="F1465" s="804" t="s">
        <v>1392</v>
      </c>
      <c r="G1465" s="812" t="s">
        <v>1402</v>
      </c>
      <c r="H1465" s="332">
        <v>2</v>
      </c>
      <c r="I1465" s="813">
        <v>2</v>
      </c>
      <c r="J1465" s="814"/>
      <c r="K1465" s="589" t="s">
        <v>1071</v>
      </c>
      <c r="L1465" s="810">
        <v>0.1</v>
      </c>
      <c r="M1465" s="810"/>
      <c r="N1465" s="807">
        <v>41600</v>
      </c>
    </row>
    <row r="1466" spans="1:14">
      <c r="A1466" s="804" t="s">
        <v>1778</v>
      </c>
      <c r="B1466" s="583" t="s">
        <v>1098</v>
      </c>
      <c r="C1466" s="243">
        <v>41596</v>
      </c>
      <c r="D1466" s="243">
        <v>41596</v>
      </c>
      <c r="E1466" s="584" t="s">
        <v>181</v>
      </c>
      <c r="F1466" s="804" t="s">
        <v>1392</v>
      </c>
      <c r="G1466" s="812" t="s">
        <v>1402</v>
      </c>
      <c r="H1466" s="332">
        <v>1</v>
      </c>
      <c r="I1466" s="813">
        <v>1</v>
      </c>
      <c r="J1466" s="814"/>
      <c r="K1466" s="589" t="s">
        <v>1071</v>
      </c>
      <c r="L1466" s="810">
        <v>0.1</v>
      </c>
      <c r="M1466" s="810"/>
      <c r="N1466" s="807">
        <v>41600</v>
      </c>
    </row>
    <row r="1467" spans="1:14">
      <c r="A1467" s="589" t="s">
        <v>1779</v>
      </c>
      <c r="B1467" s="583" t="s">
        <v>1099</v>
      </c>
      <c r="C1467" s="243">
        <v>41596</v>
      </c>
      <c r="D1467" s="243">
        <v>41596</v>
      </c>
      <c r="E1467" s="584" t="s">
        <v>206</v>
      </c>
      <c r="F1467" s="589" t="s">
        <v>1392</v>
      </c>
      <c r="G1467" s="805" t="s">
        <v>996</v>
      </c>
      <c r="H1467" s="589">
        <v>625</v>
      </c>
      <c r="I1467" s="583">
        <v>625</v>
      </c>
      <c r="J1467" s="589"/>
      <c r="K1467" s="637" t="s">
        <v>1071</v>
      </c>
      <c r="L1467" s="806">
        <v>6</v>
      </c>
      <c r="M1467" s="806">
        <v>42</v>
      </c>
      <c r="N1467" s="807">
        <v>41611</v>
      </c>
    </row>
    <row r="1468" spans="1:14">
      <c r="A1468" s="589" t="s">
        <v>1779</v>
      </c>
      <c r="B1468" s="583" t="s">
        <v>1099</v>
      </c>
      <c r="C1468" s="243">
        <v>41596</v>
      </c>
      <c r="D1468" s="243">
        <v>41596</v>
      </c>
      <c r="E1468" s="589" t="s">
        <v>185</v>
      </c>
      <c r="F1468" s="589" t="s">
        <v>1392</v>
      </c>
      <c r="G1468" s="589" t="s">
        <v>1483</v>
      </c>
      <c r="H1468" s="589">
        <v>298</v>
      </c>
      <c r="I1468" s="583">
        <v>298</v>
      </c>
      <c r="J1468" s="589"/>
      <c r="K1468" s="589" t="s">
        <v>1071</v>
      </c>
      <c r="L1468" s="806">
        <v>2</v>
      </c>
      <c r="M1468" s="806">
        <v>8</v>
      </c>
      <c r="N1468" s="807">
        <v>41598</v>
      </c>
    </row>
    <row r="1469" spans="1:14">
      <c r="A1469" s="589" t="s">
        <v>1779</v>
      </c>
      <c r="B1469" s="583" t="s">
        <v>1099</v>
      </c>
      <c r="C1469" s="243">
        <v>41596</v>
      </c>
      <c r="D1469" s="243">
        <v>41596</v>
      </c>
      <c r="E1469" s="589" t="s">
        <v>245</v>
      </c>
      <c r="F1469" s="589" t="s">
        <v>1392</v>
      </c>
      <c r="G1469" s="589" t="s">
        <v>991</v>
      </c>
      <c r="H1469" s="589">
        <v>176</v>
      </c>
      <c r="I1469" s="808" t="s">
        <v>1780</v>
      </c>
      <c r="J1469" s="688"/>
      <c r="K1469" s="637" t="s">
        <v>1071</v>
      </c>
      <c r="L1469" s="809">
        <v>5</v>
      </c>
      <c r="M1469" s="809">
        <v>35</v>
      </c>
      <c r="N1469" s="807">
        <v>41610</v>
      </c>
    </row>
    <row r="1470" spans="1:14">
      <c r="A1470" s="589" t="s">
        <v>1779</v>
      </c>
      <c r="B1470" s="583" t="s">
        <v>1099</v>
      </c>
      <c r="C1470" s="243">
        <v>41596</v>
      </c>
      <c r="D1470" s="243">
        <v>41596</v>
      </c>
      <c r="E1470" s="589" t="s">
        <v>179</v>
      </c>
      <c r="F1470" s="589" t="s">
        <v>1392</v>
      </c>
      <c r="G1470" s="805" t="s">
        <v>1000</v>
      </c>
      <c r="H1470" s="589">
        <v>42</v>
      </c>
      <c r="I1470" s="583">
        <v>42</v>
      </c>
      <c r="J1470" s="589"/>
      <c r="K1470" s="589" t="s">
        <v>1071</v>
      </c>
      <c r="L1470" s="806">
        <v>2</v>
      </c>
      <c r="M1470" s="806">
        <v>8</v>
      </c>
      <c r="N1470" s="807">
        <v>41611</v>
      </c>
    </row>
    <row r="1471" spans="1:14">
      <c r="A1471" s="589" t="s">
        <v>1779</v>
      </c>
      <c r="B1471" s="583" t="s">
        <v>1099</v>
      </c>
      <c r="C1471" s="243">
        <v>41596</v>
      </c>
      <c r="D1471" s="243">
        <v>41596</v>
      </c>
      <c r="E1471" s="590" t="s">
        <v>180</v>
      </c>
      <c r="F1471" s="589" t="s">
        <v>1392</v>
      </c>
      <c r="G1471" s="805" t="s">
        <v>1000</v>
      </c>
      <c r="H1471" s="591">
        <v>16</v>
      </c>
      <c r="I1471" s="590">
        <v>16</v>
      </c>
      <c r="J1471" s="637"/>
      <c r="K1471" s="589" t="s">
        <v>1071</v>
      </c>
      <c r="L1471" s="810">
        <v>2</v>
      </c>
      <c r="M1471" s="810">
        <v>8</v>
      </c>
      <c r="N1471" s="807">
        <v>41611</v>
      </c>
    </row>
    <row r="1472" spans="1:14">
      <c r="A1472" s="589" t="s">
        <v>1779</v>
      </c>
      <c r="B1472" s="583" t="s">
        <v>1099</v>
      </c>
      <c r="C1472" s="243">
        <v>41596</v>
      </c>
      <c r="D1472" s="243">
        <v>41596</v>
      </c>
      <c r="E1472" s="589" t="s">
        <v>184</v>
      </c>
      <c r="F1472" s="589" t="s">
        <v>1392</v>
      </c>
      <c r="G1472" s="589" t="s">
        <v>1471</v>
      </c>
      <c r="H1472" s="592">
        <v>13.4</v>
      </c>
      <c r="I1472" s="811">
        <v>13.4</v>
      </c>
      <c r="J1472" s="589"/>
      <c r="K1472" s="589" t="s">
        <v>1096</v>
      </c>
      <c r="L1472" s="806">
        <v>4</v>
      </c>
      <c r="M1472" s="806"/>
      <c r="N1472" s="807">
        <v>41599</v>
      </c>
    </row>
    <row r="1473" spans="1:14">
      <c r="A1473" s="804" t="s">
        <v>1781</v>
      </c>
      <c r="B1473" s="583" t="s">
        <v>1405</v>
      </c>
      <c r="C1473" s="243">
        <v>41596</v>
      </c>
      <c r="D1473" s="243">
        <v>41596</v>
      </c>
      <c r="E1473" s="584" t="s">
        <v>206</v>
      </c>
      <c r="F1473" s="589" t="s">
        <v>1392</v>
      </c>
      <c r="G1473" s="805" t="s">
        <v>996</v>
      </c>
      <c r="H1473" s="589">
        <v>2010</v>
      </c>
      <c r="I1473" s="583">
        <v>2010</v>
      </c>
      <c r="J1473" s="589"/>
      <c r="K1473" s="637" t="s">
        <v>1071</v>
      </c>
      <c r="L1473" s="806">
        <v>6</v>
      </c>
      <c r="M1473" s="806">
        <v>42</v>
      </c>
      <c r="N1473" s="807">
        <v>41611</v>
      </c>
    </row>
    <row r="1474" spans="1:14">
      <c r="A1474" s="688" t="s">
        <v>1781</v>
      </c>
      <c r="B1474" s="583" t="s">
        <v>1405</v>
      </c>
      <c r="C1474" s="243">
        <v>41596</v>
      </c>
      <c r="D1474" s="243">
        <v>41596</v>
      </c>
      <c r="E1474" s="589" t="s">
        <v>185</v>
      </c>
      <c r="F1474" s="589" t="s">
        <v>1392</v>
      </c>
      <c r="G1474" s="589" t="s">
        <v>1483</v>
      </c>
      <c r="H1474" s="589">
        <v>1640</v>
      </c>
      <c r="I1474" s="583">
        <v>1640</v>
      </c>
      <c r="J1474" s="589"/>
      <c r="K1474" s="589" t="s">
        <v>1071</v>
      </c>
      <c r="L1474" s="806">
        <v>2</v>
      </c>
      <c r="M1474" s="806">
        <v>8</v>
      </c>
      <c r="N1474" s="807">
        <v>41598</v>
      </c>
    </row>
    <row r="1475" spans="1:14">
      <c r="A1475" s="688" t="s">
        <v>1781</v>
      </c>
      <c r="B1475" s="583" t="s">
        <v>1405</v>
      </c>
      <c r="C1475" s="243">
        <v>41596</v>
      </c>
      <c r="D1475" s="243">
        <v>41596</v>
      </c>
      <c r="E1475" s="589" t="s">
        <v>245</v>
      </c>
      <c r="F1475" s="589" t="s">
        <v>1392</v>
      </c>
      <c r="G1475" s="589" t="s">
        <v>991</v>
      </c>
      <c r="H1475" s="589">
        <v>35</v>
      </c>
      <c r="I1475" s="808" t="s">
        <v>1562</v>
      </c>
      <c r="J1475" s="589" t="s">
        <v>1419</v>
      </c>
      <c r="K1475" s="637" t="s">
        <v>1071</v>
      </c>
      <c r="L1475" s="809">
        <v>5</v>
      </c>
      <c r="M1475" s="809">
        <v>35</v>
      </c>
      <c r="N1475" s="807">
        <v>41610</v>
      </c>
    </row>
    <row r="1476" spans="1:14">
      <c r="A1476" s="688" t="s">
        <v>1781</v>
      </c>
      <c r="B1476" s="583" t="s">
        <v>1405</v>
      </c>
      <c r="C1476" s="243">
        <v>41596</v>
      </c>
      <c r="D1476" s="243">
        <v>41596</v>
      </c>
      <c r="E1476" s="589" t="s">
        <v>179</v>
      </c>
      <c r="F1476" s="589" t="s">
        <v>1392</v>
      </c>
      <c r="G1476" s="805" t="s">
        <v>1000</v>
      </c>
      <c r="H1476" s="589">
        <v>31</v>
      </c>
      <c r="I1476" s="583">
        <v>31</v>
      </c>
      <c r="J1476" s="589"/>
      <c r="K1476" s="589" t="s">
        <v>1071</v>
      </c>
      <c r="L1476" s="806">
        <v>2</v>
      </c>
      <c r="M1476" s="806">
        <v>8</v>
      </c>
      <c r="N1476" s="807">
        <v>41611</v>
      </c>
    </row>
    <row r="1477" spans="1:14">
      <c r="A1477" s="804" t="s">
        <v>1782</v>
      </c>
      <c r="B1477" s="583" t="s">
        <v>1408</v>
      </c>
      <c r="C1477" s="243">
        <v>41596</v>
      </c>
      <c r="D1477" s="243">
        <v>41596</v>
      </c>
      <c r="E1477" s="584" t="s">
        <v>206</v>
      </c>
      <c r="F1477" s="589" t="s">
        <v>1392</v>
      </c>
      <c r="G1477" s="805" t="s">
        <v>996</v>
      </c>
      <c r="H1477" s="589">
        <v>1875</v>
      </c>
      <c r="I1477" s="583">
        <v>1875</v>
      </c>
      <c r="J1477" s="589"/>
      <c r="K1477" s="637" t="s">
        <v>1071</v>
      </c>
      <c r="L1477" s="806">
        <v>6</v>
      </c>
      <c r="M1477" s="806">
        <v>42</v>
      </c>
      <c r="N1477" s="807">
        <v>41611</v>
      </c>
    </row>
    <row r="1478" spans="1:14">
      <c r="A1478" s="688" t="s">
        <v>1782</v>
      </c>
      <c r="B1478" s="583" t="s">
        <v>1408</v>
      </c>
      <c r="C1478" s="243">
        <v>41596</v>
      </c>
      <c r="D1478" s="243">
        <v>41596</v>
      </c>
      <c r="E1478" s="589" t="s">
        <v>185</v>
      </c>
      <c r="F1478" s="589" t="s">
        <v>1392</v>
      </c>
      <c r="G1478" s="589" t="s">
        <v>1483</v>
      </c>
      <c r="H1478" s="589">
        <v>1421</v>
      </c>
      <c r="I1478" s="583">
        <v>1421</v>
      </c>
      <c r="J1478" s="589"/>
      <c r="K1478" s="589" t="s">
        <v>1071</v>
      </c>
      <c r="L1478" s="806">
        <v>2</v>
      </c>
      <c r="M1478" s="806">
        <v>8</v>
      </c>
      <c r="N1478" s="807">
        <v>41598</v>
      </c>
    </row>
    <row r="1479" spans="1:14">
      <c r="A1479" s="688" t="s">
        <v>1782</v>
      </c>
      <c r="B1479" s="583" t="s">
        <v>1408</v>
      </c>
      <c r="C1479" s="243">
        <v>41596</v>
      </c>
      <c r="D1479" s="243">
        <v>41596</v>
      </c>
      <c r="E1479" s="589" t="s">
        <v>245</v>
      </c>
      <c r="F1479" s="589" t="s">
        <v>1392</v>
      </c>
      <c r="G1479" s="589" t="s">
        <v>991</v>
      </c>
      <c r="H1479" s="589">
        <v>55</v>
      </c>
      <c r="I1479" s="808" t="s">
        <v>1783</v>
      </c>
      <c r="J1479" s="589"/>
      <c r="K1479" s="637" t="s">
        <v>1071</v>
      </c>
      <c r="L1479" s="809">
        <v>5</v>
      </c>
      <c r="M1479" s="809">
        <v>35</v>
      </c>
      <c r="N1479" s="807">
        <v>41610</v>
      </c>
    </row>
    <row r="1480" spans="1:14">
      <c r="A1480" s="688" t="s">
        <v>1782</v>
      </c>
      <c r="B1480" s="583" t="s">
        <v>1408</v>
      </c>
      <c r="C1480" s="243">
        <v>41596</v>
      </c>
      <c r="D1480" s="243">
        <v>41596</v>
      </c>
      <c r="E1480" s="589" t="s">
        <v>179</v>
      </c>
      <c r="F1480" s="589" t="s">
        <v>1392</v>
      </c>
      <c r="G1480" s="805" t="s">
        <v>1000</v>
      </c>
      <c r="H1480" s="589">
        <v>38</v>
      </c>
      <c r="I1480" s="583">
        <v>38</v>
      </c>
      <c r="J1480" s="589"/>
      <c r="K1480" s="589" t="s">
        <v>1071</v>
      </c>
      <c r="L1480" s="806">
        <v>2</v>
      </c>
      <c r="M1480" s="806">
        <v>8</v>
      </c>
      <c r="N1480" s="807">
        <v>41611</v>
      </c>
    </row>
    <row r="1481" spans="1:14">
      <c r="A1481" s="804" t="s">
        <v>1784</v>
      </c>
      <c r="B1481" s="583">
        <v>52</v>
      </c>
      <c r="C1481" s="243">
        <v>41596</v>
      </c>
      <c r="D1481" s="243">
        <v>41596</v>
      </c>
      <c r="E1481" s="584" t="s">
        <v>206</v>
      </c>
      <c r="F1481" s="589" t="s">
        <v>1392</v>
      </c>
      <c r="G1481" s="805" t="s">
        <v>996</v>
      </c>
      <c r="H1481" s="589">
        <v>516</v>
      </c>
      <c r="I1481" s="583">
        <v>516</v>
      </c>
      <c r="J1481" s="589"/>
      <c r="K1481" s="637" t="s">
        <v>1071</v>
      </c>
      <c r="L1481" s="806">
        <v>6</v>
      </c>
      <c r="M1481" s="806">
        <v>42</v>
      </c>
      <c r="N1481" s="807">
        <v>41611</v>
      </c>
    </row>
    <row r="1482" spans="1:14">
      <c r="A1482" s="804" t="s">
        <v>1784</v>
      </c>
      <c r="B1482" s="583">
        <v>52</v>
      </c>
      <c r="C1482" s="243">
        <v>41596</v>
      </c>
      <c r="D1482" s="243">
        <v>41596</v>
      </c>
      <c r="E1482" s="589" t="s">
        <v>185</v>
      </c>
      <c r="F1482" s="589" t="s">
        <v>1392</v>
      </c>
      <c r="G1482" s="589" t="s">
        <v>1483</v>
      </c>
      <c r="H1482" s="589">
        <v>309</v>
      </c>
      <c r="I1482" s="583">
        <v>309</v>
      </c>
      <c r="J1482" s="589"/>
      <c r="K1482" s="589" t="s">
        <v>1071</v>
      </c>
      <c r="L1482" s="806">
        <v>2</v>
      </c>
      <c r="M1482" s="806">
        <v>8</v>
      </c>
      <c r="N1482" s="807">
        <v>41598</v>
      </c>
    </row>
    <row r="1483" spans="1:14">
      <c r="A1483" s="804" t="s">
        <v>1784</v>
      </c>
      <c r="B1483" s="583">
        <v>52</v>
      </c>
      <c r="C1483" s="243">
        <v>41596</v>
      </c>
      <c r="D1483" s="243">
        <v>41596</v>
      </c>
      <c r="E1483" s="589" t="s">
        <v>245</v>
      </c>
      <c r="F1483" s="589" t="s">
        <v>1392</v>
      </c>
      <c r="G1483" s="589" t="s">
        <v>991</v>
      </c>
      <c r="H1483" s="589">
        <v>30</v>
      </c>
      <c r="I1483" s="808" t="s">
        <v>1785</v>
      </c>
      <c r="J1483" s="589" t="s">
        <v>1419</v>
      </c>
      <c r="K1483" s="637" t="s">
        <v>1071</v>
      </c>
      <c r="L1483" s="809">
        <v>5</v>
      </c>
      <c r="M1483" s="809">
        <v>35</v>
      </c>
      <c r="N1483" s="807">
        <v>41610</v>
      </c>
    </row>
    <row r="1484" spans="1:14">
      <c r="A1484" s="804" t="s">
        <v>1784</v>
      </c>
      <c r="B1484" s="583">
        <v>52</v>
      </c>
      <c r="C1484" s="243">
        <v>41596</v>
      </c>
      <c r="D1484" s="243">
        <v>41596</v>
      </c>
      <c r="E1484" s="589" t="s">
        <v>179</v>
      </c>
      <c r="F1484" s="589" t="s">
        <v>1392</v>
      </c>
      <c r="G1484" s="805" t="s">
        <v>1000</v>
      </c>
      <c r="H1484" s="589">
        <v>19</v>
      </c>
      <c r="I1484" s="583">
        <v>19</v>
      </c>
      <c r="J1484" s="589"/>
      <c r="K1484" s="589" t="s">
        <v>1071</v>
      </c>
      <c r="L1484" s="806">
        <v>2</v>
      </c>
      <c r="M1484" s="806">
        <v>8</v>
      </c>
      <c r="N1484" s="807">
        <v>41611</v>
      </c>
    </row>
    <row r="1485" spans="1:14">
      <c r="A1485" s="804" t="s">
        <v>1784</v>
      </c>
      <c r="B1485" s="583">
        <v>53</v>
      </c>
      <c r="C1485" s="243">
        <v>41596</v>
      </c>
      <c r="D1485" s="243">
        <v>41596</v>
      </c>
      <c r="E1485" s="584" t="s">
        <v>206</v>
      </c>
      <c r="F1485" s="589" t="s">
        <v>1392</v>
      </c>
      <c r="G1485" s="805" t="s">
        <v>996</v>
      </c>
      <c r="H1485" s="589">
        <v>238</v>
      </c>
      <c r="I1485" s="583">
        <v>238</v>
      </c>
      <c r="J1485" s="589"/>
      <c r="K1485" s="637" t="s">
        <v>1071</v>
      </c>
      <c r="L1485" s="806">
        <v>6</v>
      </c>
      <c r="M1485" s="806">
        <v>42</v>
      </c>
      <c r="N1485" s="807">
        <v>41611</v>
      </c>
    </row>
    <row r="1486" spans="1:14">
      <c r="A1486" s="804" t="s">
        <v>1784</v>
      </c>
      <c r="B1486" s="583">
        <v>53</v>
      </c>
      <c r="C1486" s="243">
        <v>41596</v>
      </c>
      <c r="D1486" s="243">
        <v>41596</v>
      </c>
      <c r="E1486" s="589" t="s">
        <v>185</v>
      </c>
      <c r="F1486" s="589" t="s">
        <v>1392</v>
      </c>
      <c r="G1486" s="589" t="s">
        <v>1483</v>
      </c>
      <c r="H1486" s="589">
        <v>99</v>
      </c>
      <c r="I1486" s="583">
        <v>99</v>
      </c>
      <c r="J1486" s="589"/>
      <c r="K1486" s="589" t="s">
        <v>1071</v>
      </c>
      <c r="L1486" s="806">
        <v>2</v>
      </c>
      <c r="M1486" s="806">
        <v>8</v>
      </c>
      <c r="N1486" s="807">
        <v>41598</v>
      </c>
    </row>
    <row r="1487" spans="1:14">
      <c r="A1487" s="804" t="s">
        <v>1784</v>
      </c>
      <c r="B1487" s="583">
        <v>53</v>
      </c>
      <c r="C1487" s="243">
        <v>41596</v>
      </c>
      <c r="D1487" s="243">
        <v>41596</v>
      </c>
      <c r="E1487" s="589" t="s">
        <v>245</v>
      </c>
      <c r="F1487" s="589" t="s">
        <v>1392</v>
      </c>
      <c r="G1487" s="589" t="s">
        <v>991</v>
      </c>
      <c r="H1487" s="589">
        <v>43</v>
      </c>
      <c r="I1487" s="808" t="s">
        <v>1399</v>
      </c>
      <c r="J1487" s="589"/>
      <c r="K1487" s="637" t="s">
        <v>1071</v>
      </c>
      <c r="L1487" s="809">
        <v>5</v>
      </c>
      <c r="M1487" s="809">
        <v>35</v>
      </c>
      <c r="N1487" s="807">
        <v>41610</v>
      </c>
    </row>
    <row r="1488" spans="1:14">
      <c r="A1488" s="804" t="s">
        <v>1784</v>
      </c>
      <c r="B1488" s="583">
        <v>53</v>
      </c>
      <c r="C1488" s="243">
        <v>41596</v>
      </c>
      <c r="D1488" s="243">
        <v>41596</v>
      </c>
      <c r="E1488" s="589" t="s">
        <v>179</v>
      </c>
      <c r="F1488" s="589" t="s">
        <v>1392</v>
      </c>
      <c r="G1488" s="805" t="s">
        <v>1000</v>
      </c>
      <c r="H1488" s="589">
        <v>15</v>
      </c>
      <c r="I1488" s="583">
        <v>15</v>
      </c>
      <c r="J1488" s="589"/>
      <c r="K1488" s="589" t="s">
        <v>1071</v>
      </c>
      <c r="L1488" s="806">
        <v>2</v>
      </c>
      <c r="M1488" s="806">
        <v>8</v>
      </c>
      <c r="N1488" s="807">
        <v>41611</v>
      </c>
    </row>
    <row r="1489" spans="1:14">
      <c r="A1489" s="804" t="s">
        <v>1786</v>
      </c>
      <c r="B1489" s="583">
        <v>54</v>
      </c>
      <c r="C1489" s="243">
        <v>41596</v>
      </c>
      <c r="D1489" s="243">
        <v>41596</v>
      </c>
      <c r="E1489" s="584" t="s">
        <v>206</v>
      </c>
      <c r="F1489" s="589" t="s">
        <v>1392</v>
      </c>
      <c r="G1489" s="805" t="s">
        <v>996</v>
      </c>
      <c r="H1489" s="589">
        <v>280</v>
      </c>
      <c r="I1489" s="583">
        <v>280</v>
      </c>
      <c r="J1489" s="589"/>
      <c r="K1489" s="637" t="s">
        <v>1071</v>
      </c>
      <c r="L1489" s="806">
        <v>6</v>
      </c>
      <c r="M1489" s="806">
        <v>42</v>
      </c>
      <c r="N1489" s="807">
        <v>41611</v>
      </c>
    </row>
    <row r="1490" spans="1:14">
      <c r="A1490" s="804" t="s">
        <v>1786</v>
      </c>
      <c r="B1490" s="583">
        <v>54</v>
      </c>
      <c r="C1490" s="243">
        <v>41596</v>
      </c>
      <c r="D1490" s="243">
        <v>41596</v>
      </c>
      <c r="E1490" s="589" t="s">
        <v>185</v>
      </c>
      <c r="F1490" s="589" t="s">
        <v>1392</v>
      </c>
      <c r="G1490" s="589" t="s">
        <v>1483</v>
      </c>
      <c r="H1490" s="589">
        <v>117</v>
      </c>
      <c r="I1490" s="583">
        <v>117</v>
      </c>
      <c r="J1490" s="589"/>
      <c r="K1490" s="589" t="s">
        <v>1071</v>
      </c>
      <c r="L1490" s="806">
        <v>2</v>
      </c>
      <c r="M1490" s="806">
        <v>8</v>
      </c>
      <c r="N1490" s="807">
        <v>41598</v>
      </c>
    </row>
    <row r="1491" spans="1:14">
      <c r="A1491" s="804" t="s">
        <v>1786</v>
      </c>
      <c r="B1491" s="583">
        <v>54</v>
      </c>
      <c r="C1491" s="243">
        <v>41596</v>
      </c>
      <c r="D1491" s="243">
        <v>41596</v>
      </c>
      <c r="E1491" s="589" t="s">
        <v>245</v>
      </c>
      <c r="F1491" s="589" t="s">
        <v>1392</v>
      </c>
      <c r="G1491" s="589" t="s">
        <v>991</v>
      </c>
      <c r="H1491" s="589">
        <v>45</v>
      </c>
      <c r="I1491" s="808" t="s">
        <v>1787</v>
      </c>
      <c r="J1491" s="589"/>
      <c r="K1491" s="637" t="s">
        <v>1071</v>
      </c>
      <c r="L1491" s="809">
        <v>5</v>
      </c>
      <c r="M1491" s="809">
        <v>35</v>
      </c>
      <c r="N1491" s="807">
        <v>41610</v>
      </c>
    </row>
    <row r="1492" spans="1:14">
      <c r="A1492" s="804" t="s">
        <v>1786</v>
      </c>
      <c r="B1492" s="583">
        <v>54</v>
      </c>
      <c r="C1492" s="243">
        <v>41596</v>
      </c>
      <c r="D1492" s="243">
        <v>41596</v>
      </c>
      <c r="E1492" s="589" t="s">
        <v>179</v>
      </c>
      <c r="F1492" s="589" t="s">
        <v>1392</v>
      </c>
      <c r="G1492" s="805" t="s">
        <v>1000</v>
      </c>
      <c r="H1492" s="589">
        <v>22</v>
      </c>
      <c r="I1492" s="583">
        <v>22</v>
      </c>
      <c r="J1492" s="589"/>
      <c r="K1492" s="589" t="s">
        <v>1071</v>
      </c>
      <c r="L1492" s="806">
        <v>2</v>
      </c>
      <c r="M1492" s="806">
        <v>8</v>
      </c>
      <c r="N1492" s="807">
        <v>41611</v>
      </c>
    </row>
    <row r="1493" spans="1:14">
      <c r="A1493" s="804" t="s">
        <v>1788</v>
      </c>
      <c r="B1493" s="583">
        <v>55</v>
      </c>
      <c r="C1493" s="243">
        <v>41596</v>
      </c>
      <c r="D1493" s="243">
        <v>41596</v>
      </c>
      <c r="E1493" s="584" t="s">
        <v>206</v>
      </c>
      <c r="F1493" s="589" t="s">
        <v>1392</v>
      </c>
      <c r="G1493" s="805" t="s">
        <v>996</v>
      </c>
      <c r="H1493" s="589">
        <v>199</v>
      </c>
      <c r="I1493" s="583">
        <v>199</v>
      </c>
      <c r="J1493" s="589"/>
      <c r="K1493" s="637" t="s">
        <v>1071</v>
      </c>
      <c r="L1493" s="806">
        <v>6</v>
      </c>
      <c r="M1493" s="806">
        <v>42</v>
      </c>
      <c r="N1493" s="807">
        <v>41611</v>
      </c>
    </row>
    <row r="1494" spans="1:14">
      <c r="A1494" s="804" t="s">
        <v>1788</v>
      </c>
      <c r="B1494" s="583">
        <v>55</v>
      </c>
      <c r="C1494" s="243">
        <v>41596</v>
      </c>
      <c r="D1494" s="243">
        <v>41596</v>
      </c>
      <c r="E1494" s="589" t="s">
        <v>185</v>
      </c>
      <c r="F1494" s="589" t="s">
        <v>1392</v>
      </c>
      <c r="G1494" s="589" t="s">
        <v>1483</v>
      </c>
      <c r="H1494" s="589">
        <v>7</v>
      </c>
      <c r="I1494" s="583">
        <v>7</v>
      </c>
      <c r="J1494" s="589" t="s">
        <v>1419</v>
      </c>
      <c r="K1494" s="589" t="s">
        <v>1071</v>
      </c>
      <c r="L1494" s="806">
        <v>2</v>
      </c>
      <c r="M1494" s="806">
        <v>8</v>
      </c>
      <c r="N1494" s="807">
        <v>41598</v>
      </c>
    </row>
    <row r="1495" spans="1:14">
      <c r="A1495" s="804" t="s">
        <v>1788</v>
      </c>
      <c r="B1495" s="583">
        <v>55</v>
      </c>
      <c r="C1495" s="243">
        <v>41596</v>
      </c>
      <c r="D1495" s="243">
        <v>41596</v>
      </c>
      <c r="E1495" s="589" t="s">
        <v>245</v>
      </c>
      <c r="F1495" s="589" t="s">
        <v>1392</v>
      </c>
      <c r="G1495" s="589" t="s">
        <v>991</v>
      </c>
      <c r="H1495" s="589">
        <v>48</v>
      </c>
      <c r="I1495" s="808" t="s">
        <v>1789</v>
      </c>
      <c r="J1495" s="589"/>
      <c r="K1495" s="637" t="s">
        <v>1071</v>
      </c>
      <c r="L1495" s="809">
        <v>5</v>
      </c>
      <c r="M1495" s="809">
        <v>35</v>
      </c>
      <c r="N1495" s="807">
        <v>41610</v>
      </c>
    </row>
    <row r="1496" spans="1:14">
      <c r="A1496" s="804" t="s">
        <v>1788</v>
      </c>
      <c r="B1496" s="583">
        <v>55</v>
      </c>
      <c r="C1496" s="243">
        <v>41596</v>
      </c>
      <c r="D1496" s="243">
        <v>41596</v>
      </c>
      <c r="E1496" s="589" t="s">
        <v>179</v>
      </c>
      <c r="F1496" s="589" t="s">
        <v>1392</v>
      </c>
      <c r="G1496" s="805" t="s">
        <v>1000</v>
      </c>
      <c r="H1496" s="589">
        <v>23</v>
      </c>
      <c r="I1496" s="583">
        <v>23</v>
      </c>
      <c r="J1496" s="589"/>
      <c r="K1496" s="589" t="s">
        <v>1071</v>
      </c>
      <c r="L1496" s="806">
        <v>2</v>
      </c>
      <c r="M1496" s="806">
        <v>8</v>
      </c>
      <c r="N1496" s="807">
        <v>41611</v>
      </c>
    </row>
    <row r="1498" spans="1:14">
      <c r="A1498" s="804" t="s">
        <v>1790</v>
      </c>
      <c r="B1498" s="583" t="s">
        <v>1095</v>
      </c>
      <c r="C1498" s="243">
        <v>41624</v>
      </c>
      <c r="D1498" s="243">
        <v>41624</v>
      </c>
      <c r="E1498" s="584" t="s">
        <v>206</v>
      </c>
      <c r="F1498" s="589" t="s">
        <v>1392</v>
      </c>
      <c r="G1498" s="805" t="s">
        <v>996</v>
      </c>
      <c r="H1498" s="589">
        <v>735</v>
      </c>
      <c r="I1498" s="583">
        <v>735</v>
      </c>
      <c r="J1498" s="589"/>
      <c r="K1498" s="637" t="s">
        <v>1071</v>
      </c>
      <c r="L1498" s="806">
        <v>6</v>
      </c>
      <c r="M1498" s="806">
        <v>42</v>
      </c>
      <c r="N1498" s="807">
        <v>41627</v>
      </c>
    </row>
    <row r="1499" spans="1:14">
      <c r="A1499" s="688" t="s">
        <v>1790</v>
      </c>
      <c r="B1499" s="583" t="s">
        <v>1095</v>
      </c>
      <c r="C1499" s="243">
        <v>41624</v>
      </c>
      <c r="D1499" s="243">
        <v>41624</v>
      </c>
      <c r="E1499" s="589" t="s">
        <v>185</v>
      </c>
      <c r="F1499" s="589" t="s">
        <v>1392</v>
      </c>
      <c r="G1499" s="589" t="s">
        <v>1483</v>
      </c>
      <c r="H1499" s="589">
        <v>492</v>
      </c>
      <c r="I1499" s="583">
        <v>492</v>
      </c>
      <c r="J1499" s="589"/>
      <c r="K1499" s="589" t="s">
        <v>1071</v>
      </c>
      <c r="L1499" s="806">
        <v>2</v>
      </c>
      <c r="M1499" s="806">
        <v>8</v>
      </c>
      <c r="N1499" s="807">
        <v>41626</v>
      </c>
    </row>
    <row r="1500" spans="1:14">
      <c r="A1500" s="688" t="s">
        <v>1790</v>
      </c>
      <c r="B1500" s="583" t="s">
        <v>1095</v>
      </c>
      <c r="C1500" s="243">
        <v>41624</v>
      </c>
      <c r="D1500" s="243">
        <v>41624</v>
      </c>
      <c r="E1500" s="589" t="s">
        <v>245</v>
      </c>
      <c r="F1500" s="589" t="s">
        <v>1392</v>
      </c>
      <c r="G1500" s="589" t="s">
        <v>991</v>
      </c>
      <c r="H1500" s="589">
        <v>13</v>
      </c>
      <c r="I1500" s="583">
        <v>13</v>
      </c>
      <c r="J1500" s="589" t="s">
        <v>1419</v>
      </c>
      <c r="K1500" s="637" t="s">
        <v>1071</v>
      </c>
      <c r="L1500" s="809">
        <v>5</v>
      </c>
      <c r="M1500" s="809">
        <v>35</v>
      </c>
      <c r="N1500" s="807">
        <v>41625</v>
      </c>
    </row>
    <row r="1501" spans="1:14">
      <c r="A1501" s="688" t="s">
        <v>1790</v>
      </c>
      <c r="B1501" s="583" t="s">
        <v>1095</v>
      </c>
      <c r="C1501" s="243">
        <v>41624</v>
      </c>
      <c r="D1501" s="243">
        <v>41624</v>
      </c>
      <c r="E1501" s="589" t="s">
        <v>179</v>
      </c>
      <c r="F1501" s="589" t="s">
        <v>1392</v>
      </c>
      <c r="G1501" s="805" t="s">
        <v>1000</v>
      </c>
      <c r="H1501" s="589">
        <v>9</v>
      </c>
      <c r="I1501" s="583">
        <v>9</v>
      </c>
      <c r="J1501" s="589"/>
      <c r="K1501" s="589" t="s">
        <v>1071</v>
      </c>
      <c r="L1501" s="806">
        <v>2</v>
      </c>
      <c r="M1501" s="806">
        <v>8</v>
      </c>
      <c r="N1501" s="807">
        <v>41627</v>
      </c>
    </row>
    <row r="1502" spans="1:14">
      <c r="A1502" s="589" t="s">
        <v>1790</v>
      </c>
      <c r="B1502" s="583" t="s">
        <v>1095</v>
      </c>
      <c r="C1502" s="243">
        <v>41624</v>
      </c>
      <c r="D1502" s="243">
        <v>41624</v>
      </c>
      <c r="E1502" s="590" t="s">
        <v>180</v>
      </c>
      <c r="F1502" s="589" t="s">
        <v>1392</v>
      </c>
      <c r="G1502" s="805" t="s">
        <v>1000</v>
      </c>
      <c r="H1502" s="591"/>
      <c r="I1502" s="590"/>
      <c r="J1502" s="637" t="s">
        <v>1395</v>
      </c>
      <c r="K1502" s="589" t="s">
        <v>1071</v>
      </c>
      <c r="L1502" s="810">
        <v>2</v>
      </c>
      <c r="M1502" s="810">
        <v>8</v>
      </c>
      <c r="N1502" s="807">
        <v>41629</v>
      </c>
    </row>
    <row r="1503" spans="1:14">
      <c r="A1503" s="688" t="s">
        <v>1790</v>
      </c>
      <c r="B1503" s="583" t="s">
        <v>1095</v>
      </c>
      <c r="C1503" s="243">
        <v>41624</v>
      </c>
      <c r="D1503" s="243">
        <v>41624</v>
      </c>
      <c r="E1503" s="589" t="s">
        <v>184</v>
      </c>
      <c r="F1503" s="589" t="s">
        <v>1392</v>
      </c>
      <c r="G1503" s="589" t="s">
        <v>1471</v>
      </c>
      <c r="H1503" s="592"/>
      <c r="I1503" s="811"/>
      <c r="J1503" s="589" t="s">
        <v>1395</v>
      </c>
      <c r="K1503" s="589" t="s">
        <v>1096</v>
      </c>
      <c r="L1503" s="806">
        <v>4</v>
      </c>
      <c r="M1503" s="806"/>
      <c r="N1503" s="807">
        <v>41626</v>
      </c>
    </row>
    <row r="1504" spans="1:14">
      <c r="A1504" s="804" t="s">
        <v>1791</v>
      </c>
      <c r="B1504" s="583" t="s">
        <v>1097</v>
      </c>
      <c r="C1504" s="243">
        <v>41624</v>
      </c>
      <c r="D1504" s="243">
        <v>41624</v>
      </c>
      <c r="E1504" s="584" t="s">
        <v>206</v>
      </c>
      <c r="F1504" s="589" t="s">
        <v>1392</v>
      </c>
      <c r="G1504" s="805" t="s">
        <v>996</v>
      </c>
      <c r="H1504" s="589">
        <v>693</v>
      </c>
      <c r="I1504" s="583">
        <v>693</v>
      </c>
      <c r="J1504" s="589"/>
      <c r="K1504" s="637" t="s">
        <v>1071</v>
      </c>
      <c r="L1504" s="806">
        <v>6</v>
      </c>
      <c r="M1504" s="806">
        <v>42</v>
      </c>
      <c r="N1504" s="807">
        <v>41627</v>
      </c>
    </row>
    <row r="1505" spans="1:14">
      <c r="A1505" s="688" t="s">
        <v>1791</v>
      </c>
      <c r="B1505" s="583" t="s">
        <v>1097</v>
      </c>
      <c r="C1505" s="243">
        <v>41624</v>
      </c>
      <c r="D1505" s="243">
        <v>41624</v>
      </c>
      <c r="E1505" s="589" t="s">
        <v>185</v>
      </c>
      <c r="F1505" s="589" t="s">
        <v>1392</v>
      </c>
      <c r="G1505" s="589" t="s">
        <v>1483</v>
      </c>
      <c r="H1505" s="589">
        <v>472</v>
      </c>
      <c r="I1505" s="583">
        <v>472</v>
      </c>
      <c r="J1505" s="589"/>
      <c r="K1505" s="589" t="s">
        <v>1071</v>
      </c>
      <c r="L1505" s="806">
        <v>2</v>
      </c>
      <c r="M1505" s="806">
        <v>8</v>
      </c>
      <c r="N1505" s="807">
        <v>41626</v>
      </c>
    </row>
    <row r="1506" spans="1:14">
      <c r="A1506" s="688" t="s">
        <v>1791</v>
      </c>
      <c r="B1506" s="583" t="s">
        <v>1097</v>
      </c>
      <c r="C1506" s="243">
        <v>41624</v>
      </c>
      <c r="D1506" s="243">
        <v>41624</v>
      </c>
      <c r="E1506" s="589" t="s">
        <v>245</v>
      </c>
      <c r="F1506" s="589" t="s">
        <v>1392</v>
      </c>
      <c r="G1506" s="589" t="s">
        <v>991</v>
      </c>
      <c r="H1506" s="589"/>
      <c r="I1506" s="583"/>
      <c r="J1506" s="589" t="s">
        <v>1395</v>
      </c>
      <c r="K1506" s="637" t="s">
        <v>1071</v>
      </c>
      <c r="L1506" s="809">
        <v>5</v>
      </c>
      <c r="M1506" s="809">
        <v>35</v>
      </c>
      <c r="N1506" s="807">
        <v>41625</v>
      </c>
    </row>
    <row r="1507" spans="1:14">
      <c r="A1507" s="688" t="s">
        <v>1791</v>
      </c>
      <c r="B1507" s="583" t="s">
        <v>1097</v>
      </c>
      <c r="C1507" s="243">
        <v>41624</v>
      </c>
      <c r="D1507" s="243">
        <v>41624</v>
      </c>
      <c r="E1507" s="589" t="s">
        <v>179</v>
      </c>
      <c r="F1507" s="589" t="s">
        <v>1392</v>
      </c>
      <c r="G1507" s="805" t="s">
        <v>1000</v>
      </c>
      <c r="H1507" s="589">
        <v>20</v>
      </c>
      <c r="I1507" s="583">
        <v>20</v>
      </c>
      <c r="J1507" s="589"/>
      <c r="K1507" s="589" t="s">
        <v>1071</v>
      </c>
      <c r="L1507" s="806">
        <v>2</v>
      </c>
      <c r="M1507" s="806">
        <v>8</v>
      </c>
      <c r="N1507" s="807">
        <v>41627</v>
      </c>
    </row>
    <row r="1508" spans="1:14">
      <c r="A1508" s="589" t="s">
        <v>1791</v>
      </c>
      <c r="B1508" s="583" t="s">
        <v>1097</v>
      </c>
      <c r="C1508" s="243">
        <v>41624</v>
      </c>
      <c r="D1508" s="243">
        <v>41624</v>
      </c>
      <c r="E1508" s="590" t="s">
        <v>180</v>
      </c>
      <c r="F1508" s="589" t="s">
        <v>1392</v>
      </c>
      <c r="G1508" s="805" t="s">
        <v>1000</v>
      </c>
      <c r="H1508" s="591">
        <v>3</v>
      </c>
      <c r="I1508" s="590">
        <v>3</v>
      </c>
      <c r="J1508" s="637" t="s">
        <v>1419</v>
      </c>
      <c r="K1508" s="589" t="s">
        <v>1071</v>
      </c>
      <c r="L1508" s="810">
        <v>2</v>
      </c>
      <c r="M1508" s="810">
        <v>8</v>
      </c>
      <c r="N1508" s="807">
        <v>41629</v>
      </c>
    </row>
    <row r="1509" spans="1:14">
      <c r="A1509" s="688" t="s">
        <v>1791</v>
      </c>
      <c r="B1509" s="583" t="s">
        <v>1097</v>
      </c>
      <c r="C1509" s="243">
        <v>41624</v>
      </c>
      <c r="D1509" s="243">
        <v>41624</v>
      </c>
      <c r="E1509" s="589" t="s">
        <v>184</v>
      </c>
      <c r="F1509" s="589" t="s">
        <v>1392</v>
      </c>
      <c r="G1509" s="589" t="s">
        <v>1471</v>
      </c>
      <c r="H1509" s="592">
        <v>4.5999999999999996</v>
      </c>
      <c r="I1509" s="811">
        <v>4.5999999999999996</v>
      </c>
      <c r="J1509" s="589"/>
      <c r="K1509" s="589" t="s">
        <v>1096</v>
      </c>
      <c r="L1509" s="806">
        <v>4</v>
      </c>
      <c r="M1509" s="806"/>
      <c r="N1509" s="807">
        <v>41626</v>
      </c>
    </row>
    <row r="1510" spans="1:14">
      <c r="A1510" s="589" t="s">
        <v>1792</v>
      </c>
      <c r="B1510" s="583">
        <v>45</v>
      </c>
      <c r="C1510" s="243">
        <v>41624</v>
      </c>
      <c r="D1510" s="243">
        <v>41624</v>
      </c>
      <c r="E1510" s="584" t="s">
        <v>206</v>
      </c>
      <c r="F1510" s="589" t="s">
        <v>1392</v>
      </c>
      <c r="G1510" s="805" t="s">
        <v>996</v>
      </c>
      <c r="H1510" s="589">
        <v>685</v>
      </c>
      <c r="I1510" s="583">
        <v>685</v>
      </c>
      <c r="J1510" s="589"/>
      <c r="K1510" s="637" t="s">
        <v>1071</v>
      </c>
      <c r="L1510" s="806">
        <v>6</v>
      </c>
      <c r="M1510" s="806">
        <v>42</v>
      </c>
      <c r="N1510" s="807">
        <v>41627</v>
      </c>
    </row>
    <row r="1511" spans="1:14">
      <c r="A1511" s="804" t="s">
        <v>1792</v>
      </c>
      <c r="B1511" s="583">
        <v>45</v>
      </c>
      <c r="C1511" s="243">
        <v>41624</v>
      </c>
      <c r="D1511" s="243">
        <v>41624</v>
      </c>
      <c r="E1511" s="589" t="s">
        <v>185</v>
      </c>
      <c r="F1511" s="589" t="s">
        <v>1392</v>
      </c>
      <c r="G1511" s="589" t="s">
        <v>1483</v>
      </c>
      <c r="H1511" s="589">
        <v>427</v>
      </c>
      <c r="I1511" s="583">
        <v>427</v>
      </c>
      <c r="J1511" s="589"/>
      <c r="K1511" s="589" t="s">
        <v>1071</v>
      </c>
      <c r="L1511" s="806">
        <v>2</v>
      </c>
      <c r="M1511" s="806">
        <v>8</v>
      </c>
      <c r="N1511" s="807">
        <v>41626</v>
      </c>
    </row>
    <row r="1512" spans="1:14">
      <c r="A1512" s="804" t="s">
        <v>1792</v>
      </c>
      <c r="B1512" s="583">
        <v>45</v>
      </c>
      <c r="C1512" s="243">
        <v>41624</v>
      </c>
      <c r="D1512" s="243">
        <v>41624</v>
      </c>
      <c r="E1512" s="589" t="s">
        <v>245</v>
      </c>
      <c r="F1512" s="589" t="s">
        <v>1392</v>
      </c>
      <c r="G1512" s="589" t="s">
        <v>991</v>
      </c>
      <c r="H1512" s="589">
        <v>60</v>
      </c>
      <c r="I1512" s="583">
        <v>60</v>
      </c>
      <c r="J1512" s="589"/>
      <c r="K1512" s="637" t="s">
        <v>1071</v>
      </c>
      <c r="L1512" s="809">
        <v>5</v>
      </c>
      <c r="M1512" s="809">
        <v>35</v>
      </c>
      <c r="N1512" s="807">
        <v>41625</v>
      </c>
    </row>
    <row r="1513" spans="1:14">
      <c r="A1513" s="804" t="s">
        <v>1792</v>
      </c>
      <c r="B1513" s="583">
        <v>45</v>
      </c>
      <c r="C1513" s="243">
        <v>41624</v>
      </c>
      <c r="D1513" s="243">
        <v>41624</v>
      </c>
      <c r="E1513" s="589" t="s">
        <v>179</v>
      </c>
      <c r="F1513" s="589" t="s">
        <v>1392</v>
      </c>
      <c r="G1513" s="805" t="s">
        <v>1000</v>
      </c>
      <c r="H1513" s="589">
        <v>15</v>
      </c>
      <c r="I1513" s="583">
        <v>15</v>
      </c>
      <c r="J1513" s="589"/>
      <c r="K1513" s="589" t="s">
        <v>1071</v>
      </c>
      <c r="L1513" s="806">
        <v>2</v>
      </c>
      <c r="M1513" s="806">
        <v>8</v>
      </c>
      <c r="N1513" s="807">
        <v>41627</v>
      </c>
    </row>
    <row r="1514" spans="1:14">
      <c r="A1514" s="589" t="s">
        <v>1792</v>
      </c>
      <c r="B1514" s="583">
        <v>45</v>
      </c>
      <c r="C1514" s="243">
        <v>41624</v>
      </c>
      <c r="D1514" s="243">
        <v>41624</v>
      </c>
      <c r="E1514" s="590" t="s">
        <v>180</v>
      </c>
      <c r="F1514" s="589" t="s">
        <v>1392</v>
      </c>
      <c r="G1514" s="805" t="s">
        <v>1000</v>
      </c>
      <c r="H1514" s="591">
        <v>6</v>
      </c>
      <c r="I1514" s="590">
        <v>6</v>
      </c>
      <c r="J1514" s="637" t="s">
        <v>1419</v>
      </c>
      <c r="K1514" s="589" t="s">
        <v>1071</v>
      </c>
      <c r="L1514" s="810">
        <v>2</v>
      </c>
      <c r="M1514" s="810">
        <v>8</v>
      </c>
      <c r="N1514" s="807">
        <v>41629</v>
      </c>
    </row>
    <row r="1515" spans="1:14">
      <c r="A1515" s="804" t="s">
        <v>1792</v>
      </c>
      <c r="B1515" s="583">
        <v>45</v>
      </c>
      <c r="C1515" s="243">
        <v>41624</v>
      </c>
      <c r="D1515" s="243">
        <v>41624</v>
      </c>
      <c r="E1515" s="589" t="s">
        <v>184</v>
      </c>
      <c r="F1515" s="589" t="s">
        <v>1392</v>
      </c>
      <c r="G1515" s="589" t="s">
        <v>1471</v>
      </c>
      <c r="H1515" s="592"/>
      <c r="I1515" s="811"/>
      <c r="J1515" s="589" t="s">
        <v>1395</v>
      </c>
      <c r="K1515" s="589" t="s">
        <v>1096</v>
      </c>
      <c r="L1515" s="806">
        <v>4</v>
      </c>
      <c r="M1515" s="806"/>
      <c r="N1515" s="807">
        <v>41626</v>
      </c>
    </row>
    <row r="1516" spans="1:14">
      <c r="A1516" s="804" t="s">
        <v>1793</v>
      </c>
      <c r="B1516" s="585" t="s">
        <v>1098</v>
      </c>
      <c r="C1516" s="243">
        <v>41624</v>
      </c>
      <c r="D1516" s="243">
        <v>41624</v>
      </c>
      <c r="E1516" s="584" t="s">
        <v>206</v>
      </c>
      <c r="F1516" s="589" t="s">
        <v>1392</v>
      </c>
      <c r="G1516" s="805" t="s">
        <v>996</v>
      </c>
      <c r="H1516" s="589">
        <v>746</v>
      </c>
      <c r="I1516" s="583">
        <v>746</v>
      </c>
      <c r="J1516" s="589"/>
      <c r="K1516" s="637" t="s">
        <v>1071</v>
      </c>
      <c r="L1516" s="806">
        <v>6</v>
      </c>
      <c r="M1516" s="806">
        <v>42</v>
      </c>
      <c r="N1516" s="807">
        <v>41627</v>
      </c>
    </row>
    <row r="1517" spans="1:14">
      <c r="A1517" s="589" t="s">
        <v>1793</v>
      </c>
      <c r="B1517" s="585" t="s">
        <v>1098</v>
      </c>
      <c r="C1517" s="243">
        <v>41624</v>
      </c>
      <c r="D1517" s="243">
        <v>41624</v>
      </c>
      <c r="E1517" s="589" t="s">
        <v>185</v>
      </c>
      <c r="F1517" s="589" t="s">
        <v>1392</v>
      </c>
      <c r="G1517" s="589" t="s">
        <v>1483</v>
      </c>
      <c r="H1517" s="589">
        <v>426</v>
      </c>
      <c r="I1517" s="583">
        <v>426</v>
      </c>
      <c r="J1517" s="589"/>
      <c r="K1517" s="589" t="s">
        <v>1071</v>
      </c>
      <c r="L1517" s="806">
        <v>2</v>
      </c>
      <c r="M1517" s="806">
        <v>8</v>
      </c>
      <c r="N1517" s="807">
        <v>41626</v>
      </c>
    </row>
    <row r="1518" spans="1:14">
      <c r="A1518" s="688" t="s">
        <v>1793</v>
      </c>
      <c r="B1518" s="585" t="s">
        <v>1098</v>
      </c>
      <c r="C1518" s="243">
        <v>41624</v>
      </c>
      <c r="D1518" s="243">
        <v>41624</v>
      </c>
      <c r="E1518" s="589" t="s">
        <v>245</v>
      </c>
      <c r="F1518" s="589" t="s">
        <v>1392</v>
      </c>
      <c r="G1518" s="589" t="s">
        <v>991</v>
      </c>
      <c r="H1518" s="589">
        <v>40</v>
      </c>
      <c r="I1518" s="583">
        <v>40</v>
      </c>
      <c r="J1518" s="589"/>
      <c r="K1518" s="637" t="s">
        <v>1071</v>
      </c>
      <c r="L1518" s="809">
        <v>5</v>
      </c>
      <c r="M1518" s="809">
        <v>35</v>
      </c>
      <c r="N1518" s="807">
        <v>41625</v>
      </c>
    </row>
    <row r="1519" spans="1:14">
      <c r="A1519" s="589" t="s">
        <v>1793</v>
      </c>
      <c r="B1519" s="585" t="s">
        <v>1098</v>
      </c>
      <c r="C1519" s="243">
        <v>41624</v>
      </c>
      <c r="D1519" s="243">
        <v>41624</v>
      </c>
      <c r="E1519" s="589" t="s">
        <v>179</v>
      </c>
      <c r="F1519" s="589" t="s">
        <v>1392</v>
      </c>
      <c r="G1519" s="805" t="s">
        <v>1000</v>
      </c>
      <c r="H1519" s="589">
        <v>16</v>
      </c>
      <c r="I1519" s="583">
        <v>16</v>
      </c>
      <c r="J1519" s="589"/>
      <c r="K1519" s="589" t="s">
        <v>1071</v>
      </c>
      <c r="L1519" s="806">
        <v>2</v>
      </c>
      <c r="M1519" s="806">
        <v>8</v>
      </c>
      <c r="N1519" s="807">
        <v>41627</v>
      </c>
    </row>
    <row r="1520" spans="1:14">
      <c r="A1520" s="589" t="s">
        <v>1793</v>
      </c>
      <c r="B1520" s="585" t="s">
        <v>1098</v>
      </c>
      <c r="C1520" s="243">
        <v>41624</v>
      </c>
      <c r="D1520" s="243">
        <v>41624</v>
      </c>
      <c r="E1520" s="590" t="s">
        <v>180</v>
      </c>
      <c r="F1520" s="589" t="s">
        <v>1392</v>
      </c>
      <c r="G1520" s="805" t="s">
        <v>1000</v>
      </c>
      <c r="H1520" s="591">
        <v>5</v>
      </c>
      <c r="I1520" s="590">
        <v>5</v>
      </c>
      <c r="J1520" s="637" t="s">
        <v>1419</v>
      </c>
      <c r="K1520" s="589" t="s">
        <v>1071</v>
      </c>
      <c r="L1520" s="810">
        <v>2</v>
      </c>
      <c r="M1520" s="810">
        <v>8</v>
      </c>
      <c r="N1520" s="807">
        <v>41629</v>
      </c>
    </row>
    <row r="1521" spans="1:14">
      <c r="A1521" s="589" t="s">
        <v>1793</v>
      </c>
      <c r="B1521" s="585" t="s">
        <v>1098</v>
      </c>
      <c r="C1521" s="243">
        <v>41624</v>
      </c>
      <c r="D1521" s="243">
        <v>41624</v>
      </c>
      <c r="E1521" s="589" t="s">
        <v>184</v>
      </c>
      <c r="F1521" s="589" t="s">
        <v>1392</v>
      </c>
      <c r="G1521" s="589" t="s">
        <v>1471</v>
      </c>
      <c r="H1521" s="592"/>
      <c r="I1521" s="811"/>
      <c r="J1521" s="589" t="s">
        <v>1395</v>
      </c>
      <c r="K1521" s="589" t="s">
        <v>1096</v>
      </c>
      <c r="L1521" s="806">
        <v>4</v>
      </c>
      <c r="M1521" s="806"/>
      <c r="N1521" s="807">
        <v>41626</v>
      </c>
    </row>
    <row r="1522" spans="1:14">
      <c r="A1522" s="804" t="s">
        <v>1793</v>
      </c>
      <c r="B1522" s="583" t="s">
        <v>1098</v>
      </c>
      <c r="C1522" s="243">
        <v>41624</v>
      </c>
      <c r="D1522" s="243">
        <v>41624</v>
      </c>
      <c r="E1522" s="584" t="s">
        <v>181</v>
      </c>
      <c r="F1522" s="804" t="s">
        <v>1392</v>
      </c>
      <c r="G1522" s="812" t="s">
        <v>1402</v>
      </c>
      <c r="H1522" s="332">
        <v>2.7</v>
      </c>
      <c r="I1522" s="813">
        <v>2.7</v>
      </c>
      <c r="J1522" s="814"/>
      <c r="K1522" s="589" t="s">
        <v>1071</v>
      </c>
      <c r="L1522" s="810">
        <v>0.1</v>
      </c>
      <c r="M1522" s="810"/>
      <c r="N1522" s="807">
        <v>41626</v>
      </c>
    </row>
    <row r="1523" spans="1:14">
      <c r="A1523" s="804" t="s">
        <v>1793</v>
      </c>
      <c r="B1523" s="583" t="s">
        <v>1098</v>
      </c>
      <c r="C1523" s="243">
        <v>41624</v>
      </c>
      <c r="D1523" s="243">
        <v>41624</v>
      </c>
      <c r="E1523" s="584" t="s">
        <v>181</v>
      </c>
      <c r="F1523" s="804" t="s">
        <v>1392</v>
      </c>
      <c r="G1523" s="812" t="s">
        <v>1402</v>
      </c>
      <c r="H1523" s="332">
        <v>2.9</v>
      </c>
      <c r="I1523" s="813">
        <v>2.9</v>
      </c>
      <c r="J1523" s="814"/>
      <c r="K1523" s="589" t="s">
        <v>1071</v>
      </c>
      <c r="L1523" s="810">
        <v>0.1</v>
      </c>
      <c r="M1523" s="810"/>
      <c r="N1523" s="807">
        <v>41626</v>
      </c>
    </row>
    <row r="1524" spans="1:14">
      <c r="A1524" s="589" t="s">
        <v>1794</v>
      </c>
      <c r="B1524" s="583" t="s">
        <v>1099</v>
      </c>
      <c r="C1524" s="243">
        <v>41624</v>
      </c>
      <c r="D1524" s="243">
        <v>41624</v>
      </c>
      <c r="E1524" s="584" t="s">
        <v>206</v>
      </c>
      <c r="F1524" s="589" t="s">
        <v>1392</v>
      </c>
      <c r="G1524" s="805" t="s">
        <v>996</v>
      </c>
      <c r="H1524" s="589">
        <v>748</v>
      </c>
      <c r="I1524" s="583">
        <v>748</v>
      </c>
      <c r="J1524" s="589"/>
      <c r="K1524" s="637" t="s">
        <v>1071</v>
      </c>
      <c r="L1524" s="806">
        <v>6</v>
      </c>
      <c r="M1524" s="806">
        <v>42</v>
      </c>
      <c r="N1524" s="807">
        <v>41627</v>
      </c>
    </row>
    <row r="1525" spans="1:14">
      <c r="A1525" s="589" t="s">
        <v>1794</v>
      </c>
      <c r="B1525" s="583" t="s">
        <v>1099</v>
      </c>
      <c r="C1525" s="243">
        <v>41624</v>
      </c>
      <c r="D1525" s="243">
        <v>41624</v>
      </c>
      <c r="E1525" s="589" t="s">
        <v>185</v>
      </c>
      <c r="F1525" s="589" t="s">
        <v>1392</v>
      </c>
      <c r="G1525" s="589" t="s">
        <v>1483</v>
      </c>
      <c r="H1525" s="589">
        <v>394</v>
      </c>
      <c r="I1525" s="583">
        <v>394</v>
      </c>
      <c r="J1525" s="589"/>
      <c r="K1525" s="589" t="s">
        <v>1071</v>
      </c>
      <c r="L1525" s="806">
        <v>2</v>
      </c>
      <c r="M1525" s="806">
        <v>8</v>
      </c>
      <c r="N1525" s="807">
        <v>41626</v>
      </c>
    </row>
    <row r="1526" spans="1:14">
      <c r="A1526" s="688" t="s">
        <v>1794</v>
      </c>
      <c r="B1526" s="583" t="s">
        <v>1099</v>
      </c>
      <c r="C1526" s="243">
        <v>41624</v>
      </c>
      <c r="D1526" s="243">
        <v>41624</v>
      </c>
      <c r="E1526" s="589" t="s">
        <v>245</v>
      </c>
      <c r="F1526" s="589" t="s">
        <v>1392</v>
      </c>
      <c r="G1526" s="589" t="s">
        <v>991</v>
      </c>
      <c r="H1526" s="589">
        <v>190</v>
      </c>
      <c r="I1526" s="583">
        <v>190</v>
      </c>
      <c r="J1526" s="589"/>
      <c r="K1526" s="637" t="s">
        <v>1071</v>
      </c>
      <c r="L1526" s="809">
        <v>5</v>
      </c>
      <c r="M1526" s="809">
        <v>35</v>
      </c>
      <c r="N1526" s="807">
        <v>41625</v>
      </c>
    </row>
    <row r="1527" spans="1:14">
      <c r="A1527" s="589" t="s">
        <v>1794</v>
      </c>
      <c r="B1527" s="583" t="s">
        <v>1099</v>
      </c>
      <c r="C1527" s="243">
        <v>41624</v>
      </c>
      <c r="D1527" s="243">
        <v>41624</v>
      </c>
      <c r="E1527" s="589" t="s">
        <v>179</v>
      </c>
      <c r="F1527" s="589" t="s">
        <v>1392</v>
      </c>
      <c r="G1527" s="805" t="s">
        <v>1000</v>
      </c>
      <c r="H1527" s="589">
        <v>113</v>
      </c>
      <c r="I1527" s="583">
        <v>113</v>
      </c>
      <c r="J1527" s="589"/>
      <c r="K1527" s="589" t="s">
        <v>1071</v>
      </c>
      <c r="L1527" s="806">
        <v>2</v>
      </c>
      <c r="M1527" s="806">
        <v>8</v>
      </c>
      <c r="N1527" s="807">
        <v>41627</v>
      </c>
    </row>
    <row r="1528" spans="1:14">
      <c r="A1528" s="589" t="s">
        <v>1794</v>
      </c>
      <c r="B1528" s="583" t="s">
        <v>1099</v>
      </c>
      <c r="C1528" s="243">
        <v>41624</v>
      </c>
      <c r="D1528" s="243">
        <v>41624</v>
      </c>
      <c r="E1528" s="590" t="s">
        <v>180</v>
      </c>
      <c r="F1528" s="589" t="s">
        <v>1392</v>
      </c>
      <c r="G1528" s="805" t="s">
        <v>1000</v>
      </c>
      <c r="H1528" s="591">
        <v>9</v>
      </c>
      <c r="I1528" s="590">
        <v>9</v>
      </c>
      <c r="J1528" s="637"/>
      <c r="K1528" s="589" t="s">
        <v>1071</v>
      </c>
      <c r="L1528" s="810">
        <v>2</v>
      </c>
      <c r="M1528" s="810">
        <v>8</v>
      </c>
      <c r="N1528" s="807">
        <v>41629</v>
      </c>
    </row>
    <row r="1529" spans="1:14">
      <c r="A1529" s="589" t="s">
        <v>1794</v>
      </c>
      <c r="B1529" s="583" t="s">
        <v>1099</v>
      </c>
      <c r="C1529" s="243">
        <v>41624</v>
      </c>
      <c r="D1529" s="243">
        <v>41624</v>
      </c>
      <c r="E1529" s="589" t="s">
        <v>184</v>
      </c>
      <c r="F1529" s="589" t="s">
        <v>1392</v>
      </c>
      <c r="G1529" s="589" t="s">
        <v>1471</v>
      </c>
      <c r="H1529" s="592">
        <v>67.400000000000006</v>
      </c>
      <c r="I1529" s="811">
        <v>67.400000000000006</v>
      </c>
      <c r="J1529" s="589"/>
      <c r="K1529" s="589" t="s">
        <v>1096</v>
      </c>
      <c r="L1529" s="806">
        <v>4</v>
      </c>
      <c r="M1529" s="806"/>
      <c r="N1529" s="807">
        <v>41626</v>
      </c>
    </row>
    <row r="1530" spans="1:14">
      <c r="A1530" s="589" t="s">
        <v>1795</v>
      </c>
      <c r="B1530" s="583">
        <v>52</v>
      </c>
      <c r="C1530" s="243">
        <v>41624</v>
      </c>
      <c r="D1530" s="243">
        <v>41624</v>
      </c>
      <c r="E1530" s="584" t="s">
        <v>206</v>
      </c>
      <c r="F1530" s="589" t="s">
        <v>1392</v>
      </c>
      <c r="G1530" s="805" t="s">
        <v>996</v>
      </c>
      <c r="H1530" s="589">
        <v>633</v>
      </c>
      <c r="I1530" s="583">
        <v>633</v>
      </c>
      <c r="J1530" s="589"/>
      <c r="K1530" s="637" t="s">
        <v>1071</v>
      </c>
      <c r="L1530" s="806">
        <v>6</v>
      </c>
      <c r="M1530" s="806">
        <v>42</v>
      </c>
      <c r="N1530" s="807">
        <v>41627</v>
      </c>
    </row>
    <row r="1531" spans="1:14">
      <c r="A1531" s="589" t="s">
        <v>1795</v>
      </c>
      <c r="B1531" s="583">
        <v>52</v>
      </c>
      <c r="C1531" s="243">
        <v>41624</v>
      </c>
      <c r="D1531" s="243">
        <v>41624</v>
      </c>
      <c r="E1531" s="589" t="s">
        <v>185</v>
      </c>
      <c r="F1531" s="589" t="s">
        <v>1392</v>
      </c>
      <c r="G1531" s="589" t="s">
        <v>1483</v>
      </c>
      <c r="H1531" s="589">
        <v>483</v>
      </c>
      <c r="I1531" s="583">
        <v>483</v>
      </c>
      <c r="J1531" s="589"/>
      <c r="K1531" s="589" t="s">
        <v>1071</v>
      </c>
      <c r="L1531" s="806">
        <v>2</v>
      </c>
      <c r="M1531" s="806">
        <v>8</v>
      </c>
      <c r="N1531" s="807">
        <v>41626</v>
      </c>
    </row>
    <row r="1532" spans="1:14">
      <c r="A1532" s="589" t="s">
        <v>1795</v>
      </c>
      <c r="B1532" s="583">
        <v>52</v>
      </c>
      <c r="C1532" s="243">
        <v>41624</v>
      </c>
      <c r="D1532" s="243">
        <v>41624</v>
      </c>
      <c r="E1532" s="589" t="s">
        <v>245</v>
      </c>
      <c r="F1532" s="589" t="s">
        <v>1392</v>
      </c>
      <c r="G1532" s="589" t="s">
        <v>991</v>
      </c>
      <c r="H1532" s="589"/>
      <c r="I1532" s="583"/>
      <c r="J1532" s="589" t="s">
        <v>1395</v>
      </c>
      <c r="K1532" s="637" t="s">
        <v>1071</v>
      </c>
      <c r="L1532" s="809">
        <v>5</v>
      </c>
      <c r="M1532" s="809">
        <v>35</v>
      </c>
      <c r="N1532" s="807">
        <v>41625</v>
      </c>
    </row>
    <row r="1533" spans="1:14">
      <c r="A1533" s="589" t="s">
        <v>1795</v>
      </c>
      <c r="B1533" s="583">
        <v>52</v>
      </c>
      <c r="C1533" s="243">
        <v>41624</v>
      </c>
      <c r="D1533" s="243">
        <v>41624</v>
      </c>
      <c r="E1533" s="589" t="s">
        <v>179</v>
      </c>
      <c r="F1533" s="589" t="s">
        <v>1392</v>
      </c>
      <c r="G1533" s="805" t="s">
        <v>1000</v>
      </c>
      <c r="H1533" s="589">
        <v>16</v>
      </c>
      <c r="I1533" s="583">
        <v>16</v>
      </c>
      <c r="J1533" s="589"/>
      <c r="K1533" s="589" t="s">
        <v>1071</v>
      </c>
      <c r="L1533" s="806">
        <v>2</v>
      </c>
      <c r="M1533" s="806">
        <v>8</v>
      </c>
      <c r="N1533" s="807">
        <v>41627</v>
      </c>
    </row>
    <row r="1534" spans="1:14">
      <c r="A1534" s="589" t="s">
        <v>1796</v>
      </c>
      <c r="B1534" s="585">
        <v>53</v>
      </c>
      <c r="C1534" s="243">
        <v>41624</v>
      </c>
      <c r="D1534" s="243">
        <v>41624</v>
      </c>
      <c r="E1534" s="584" t="s">
        <v>206</v>
      </c>
      <c r="F1534" s="589" t="s">
        <v>1392</v>
      </c>
      <c r="G1534" s="805" t="s">
        <v>996</v>
      </c>
      <c r="H1534" s="589">
        <v>437</v>
      </c>
      <c r="I1534" s="583">
        <v>437</v>
      </c>
      <c r="J1534" s="589"/>
      <c r="K1534" s="637" t="s">
        <v>1071</v>
      </c>
      <c r="L1534" s="806">
        <v>6</v>
      </c>
      <c r="M1534" s="806">
        <v>42</v>
      </c>
      <c r="N1534" s="807">
        <v>41627</v>
      </c>
    </row>
    <row r="1535" spans="1:14">
      <c r="A1535" s="589" t="s">
        <v>1796</v>
      </c>
      <c r="B1535" s="585">
        <v>53</v>
      </c>
      <c r="C1535" s="243">
        <v>41624</v>
      </c>
      <c r="D1535" s="243">
        <v>41624</v>
      </c>
      <c r="E1535" s="589" t="s">
        <v>185</v>
      </c>
      <c r="F1535" s="589" t="s">
        <v>1392</v>
      </c>
      <c r="G1535" s="589" t="s">
        <v>1483</v>
      </c>
      <c r="H1535" s="589">
        <v>219</v>
      </c>
      <c r="I1535" s="583">
        <v>219</v>
      </c>
      <c r="J1535" s="589"/>
      <c r="K1535" s="589" t="s">
        <v>1071</v>
      </c>
      <c r="L1535" s="806">
        <v>2</v>
      </c>
      <c r="M1535" s="806">
        <v>8</v>
      </c>
      <c r="N1535" s="807">
        <v>41626</v>
      </c>
    </row>
    <row r="1536" spans="1:14">
      <c r="A1536" s="589" t="s">
        <v>1796</v>
      </c>
      <c r="B1536" s="585">
        <v>53</v>
      </c>
      <c r="C1536" s="243">
        <v>41624</v>
      </c>
      <c r="D1536" s="243">
        <v>41624</v>
      </c>
      <c r="E1536" s="589" t="s">
        <v>245</v>
      </c>
      <c r="F1536" s="589" t="s">
        <v>1392</v>
      </c>
      <c r="G1536" s="589" t="s">
        <v>991</v>
      </c>
      <c r="H1536" s="589"/>
      <c r="I1536" s="583"/>
      <c r="J1536" s="589" t="s">
        <v>1395</v>
      </c>
      <c r="K1536" s="637" t="s">
        <v>1071</v>
      </c>
      <c r="L1536" s="809">
        <v>5</v>
      </c>
      <c r="M1536" s="809">
        <v>35</v>
      </c>
      <c r="N1536" s="807">
        <v>41625</v>
      </c>
    </row>
    <row r="1537" spans="1:14">
      <c r="A1537" s="589" t="s">
        <v>1796</v>
      </c>
      <c r="B1537" s="585">
        <v>53</v>
      </c>
      <c r="C1537" s="243">
        <v>41624</v>
      </c>
      <c r="D1537" s="243">
        <v>41624</v>
      </c>
      <c r="E1537" s="589" t="s">
        <v>179</v>
      </c>
      <c r="F1537" s="589" t="s">
        <v>1392</v>
      </c>
      <c r="G1537" s="805" t="s">
        <v>1000</v>
      </c>
      <c r="H1537" s="589">
        <v>16</v>
      </c>
      <c r="I1537" s="583">
        <v>16</v>
      </c>
      <c r="J1537" s="589"/>
      <c r="K1537" s="589" t="s">
        <v>1071</v>
      </c>
      <c r="L1537" s="806">
        <v>2</v>
      </c>
      <c r="M1537" s="806">
        <v>8</v>
      </c>
      <c r="N1537" s="807">
        <v>41627</v>
      </c>
    </row>
    <row r="1538" spans="1:14">
      <c r="A1538" s="589" t="s">
        <v>1797</v>
      </c>
      <c r="B1538" s="583">
        <v>54</v>
      </c>
      <c r="C1538" s="243">
        <v>41624</v>
      </c>
      <c r="D1538" s="243">
        <v>41624</v>
      </c>
      <c r="E1538" s="584" t="s">
        <v>206</v>
      </c>
      <c r="F1538" s="589" t="s">
        <v>1392</v>
      </c>
      <c r="G1538" s="805" t="s">
        <v>996</v>
      </c>
      <c r="H1538" s="589">
        <v>469</v>
      </c>
      <c r="I1538" s="583">
        <v>469</v>
      </c>
      <c r="J1538" s="589"/>
      <c r="K1538" s="637" t="s">
        <v>1071</v>
      </c>
      <c r="L1538" s="806">
        <v>6</v>
      </c>
      <c r="M1538" s="806">
        <v>42</v>
      </c>
      <c r="N1538" s="807">
        <v>41627</v>
      </c>
    </row>
    <row r="1539" spans="1:14">
      <c r="A1539" s="589" t="s">
        <v>1797</v>
      </c>
      <c r="B1539" s="583">
        <v>54</v>
      </c>
      <c r="C1539" s="243">
        <v>41624</v>
      </c>
      <c r="D1539" s="243">
        <v>41624</v>
      </c>
      <c r="E1539" s="589" t="s">
        <v>185</v>
      </c>
      <c r="F1539" s="589" t="s">
        <v>1392</v>
      </c>
      <c r="G1539" s="589" t="s">
        <v>1483</v>
      </c>
      <c r="H1539" s="589">
        <v>285</v>
      </c>
      <c r="I1539" s="583">
        <v>285</v>
      </c>
      <c r="J1539" s="589"/>
      <c r="K1539" s="589" t="s">
        <v>1071</v>
      </c>
      <c r="L1539" s="806">
        <v>2</v>
      </c>
      <c r="M1539" s="806">
        <v>8</v>
      </c>
      <c r="N1539" s="807">
        <v>41626</v>
      </c>
    </row>
    <row r="1540" spans="1:14">
      <c r="A1540" s="589" t="s">
        <v>1797</v>
      </c>
      <c r="B1540" s="583">
        <v>54</v>
      </c>
      <c r="C1540" s="243">
        <v>41624</v>
      </c>
      <c r="D1540" s="243">
        <v>41624</v>
      </c>
      <c r="E1540" s="589" t="s">
        <v>245</v>
      </c>
      <c r="F1540" s="589" t="s">
        <v>1392</v>
      </c>
      <c r="G1540" s="589" t="s">
        <v>991</v>
      </c>
      <c r="H1540" s="589"/>
      <c r="I1540" s="583"/>
      <c r="J1540" s="589" t="s">
        <v>1395</v>
      </c>
      <c r="K1540" s="637" t="s">
        <v>1071</v>
      </c>
      <c r="L1540" s="809">
        <v>5</v>
      </c>
      <c r="M1540" s="809">
        <v>35</v>
      </c>
      <c r="N1540" s="807">
        <v>41625</v>
      </c>
    </row>
    <row r="1541" spans="1:14">
      <c r="A1541" s="589" t="s">
        <v>1797</v>
      </c>
      <c r="B1541" s="583">
        <v>54</v>
      </c>
      <c r="C1541" s="243">
        <v>41624</v>
      </c>
      <c r="D1541" s="243">
        <v>41624</v>
      </c>
      <c r="E1541" s="589" t="s">
        <v>179</v>
      </c>
      <c r="F1541" s="589" t="s">
        <v>1392</v>
      </c>
      <c r="G1541" s="805" t="s">
        <v>1000</v>
      </c>
      <c r="H1541" s="589">
        <v>25</v>
      </c>
      <c r="I1541" s="583">
        <v>25</v>
      </c>
      <c r="J1541" s="589"/>
      <c r="K1541" s="589" t="s">
        <v>1071</v>
      </c>
      <c r="L1541" s="806">
        <v>2</v>
      </c>
      <c r="M1541" s="806">
        <v>8</v>
      </c>
      <c r="N1541" s="807">
        <v>41627</v>
      </c>
    </row>
    <row r="1542" spans="1:14">
      <c r="A1542" s="589" t="s">
        <v>1798</v>
      </c>
      <c r="B1542" s="583">
        <v>55</v>
      </c>
      <c r="C1542" s="243">
        <v>41624</v>
      </c>
      <c r="D1542" s="243">
        <v>41624</v>
      </c>
      <c r="E1542" s="584" t="s">
        <v>206</v>
      </c>
      <c r="F1542" s="589" t="s">
        <v>1392</v>
      </c>
      <c r="G1542" s="805" t="s">
        <v>996</v>
      </c>
      <c r="H1542" s="589">
        <v>262</v>
      </c>
      <c r="I1542" s="583">
        <v>262</v>
      </c>
      <c r="J1542" s="589"/>
      <c r="K1542" s="637" t="s">
        <v>1071</v>
      </c>
      <c r="L1542" s="806">
        <v>6</v>
      </c>
      <c r="M1542" s="806">
        <v>42</v>
      </c>
      <c r="N1542" s="807">
        <v>41627</v>
      </c>
    </row>
    <row r="1543" spans="1:14">
      <c r="A1543" s="589" t="s">
        <v>1798</v>
      </c>
      <c r="B1543" s="583">
        <v>55</v>
      </c>
      <c r="C1543" s="243">
        <v>41624</v>
      </c>
      <c r="D1543" s="243">
        <v>41624</v>
      </c>
      <c r="E1543" s="589" t="s">
        <v>185</v>
      </c>
      <c r="F1543" s="589" t="s">
        <v>1392</v>
      </c>
      <c r="G1543" s="589" t="s">
        <v>1483</v>
      </c>
      <c r="H1543" s="589">
        <v>78</v>
      </c>
      <c r="I1543" s="583">
        <v>78</v>
      </c>
      <c r="J1543" s="589"/>
      <c r="K1543" s="589" t="s">
        <v>1071</v>
      </c>
      <c r="L1543" s="806">
        <v>2</v>
      </c>
      <c r="M1543" s="806">
        <v>8</v>
      </c>
      <c r="N1543" s="807">
        <v>41626</v>
      </c>
    </row>
    <row r="1544" spans="1:14">
      <c r="A1544" s="589" t="s">
        <v>1798</v>
      </c>
      <c r="B1544" s="583">
        <v>55</v>
      </c>
      <c r="C1544" s="243">
        <v>41624</v>
      </c>
      <c r="D1544" s="243">
        <v>41624</v>
      </c>
      <c r="E1544" s="589" t="s">
        <v>245</v>
      </c>
      <c r="F1544" s="589" t="s">
        <v>1392</v>
      </c>
      <c r="G1544" s="589" t="s">
        <v>991</v>
      </c>
      <c r="H1544" s="589">
        <v>14</v>
      </c>
      <c r="I1544" s="583">
        <v>14</v>
      </c>
      <c r="J1544" s="589" t="s">
        <v>1419</v>
      </c>
      <c r="K1544" s="637" t="s">
        <v>1071</v>
      </c>
      <c r="L1544" s="809">
        <v>5</v>
      </c>
      <c r="M1544" s="809">
        <v>35</v>
      </c>
      <c r="N1544" s="807">
        <v>41625</v>
      </c>
    </row>
    <row r="1545" spans="1:14">
      <c r="A1545" s="589" t="s">
        <v>1798</v>
      </c>
      <c r="B1545" s="583">
        <v>55</v>
      </c>
      <c r="C1545" s="243">
        <v>41624</v>
      </c>
      <c r="D1545" s="243">
        <v>41624</v>
      </c>
      <c r="E1545" s="589" t="s">
        <v>179</v>
      </c>
      <c r="F1545" s="589" t="s">
        <v>1392</v>
      </c>
      <c r="G1545" s="805" t="s">
        <v>1000</v>
      </c>
      <c r="H1545" s="589">
        <v>58</v>
      </c>
      <c r="I1545" s="583">
        <v>58</v>
      </c>
      <c r="J1545" s="589"/>
      <c r="K1545" s="589" t="s">
        <v>1071</v>
      </c>
      <c r="L1545" s="806">
        <v>2</v>
      </c>
      <c r="M1545" s="806">
        <v>8</v>
      </c>
      <c r="N1545" s="807">
        <v>41627</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92D050"/>
  </sheetPr>
  <dimension ref="A2:N45"/>
  <sheetViews>
    <sheetView workbookViewId="0">
      <selection activeCell="J9" sqref="J9"/>
    </sheetView>
  </sheetViews>
  <sheetFormatPr defaultRowHeight="12.5"/>
  <cols>
    <col min="2" max="2" width="12" bestFit="1" customWidth="1"/>
    <col min="3" max="4" width="10.08984375" bestFit="1" customWidth="1"/>
    <col min="5" max="5" width="25.54296875" bestFit="1" customWidth="1"/>
    <col min="14" max="14" width="10.08984375" bestFit="1" customWidth="1"/>
  </cols>
  <sheetData>
    <row r="2" spans="1:14">
      <c r="A2" s="589" t="s">
        <v>1404</v>
      </c>
      <c r="B2" s="583" t="s">
        <v>1405</v>
      </c>
      <c r="C2" s="243">
        <v>41324</v>
      </c>
      <c r="D2" s="243">
        <v>41324</v>
      </c>
      <c r="E2" s="589" t="s">
        <v>185</v>
      </c>
      <c r="F2" s="589" t="s">
        <v>1392</v>
      </c>
      <c r="G2" s="589" t="s">
        <v>563</v>
      </c>
      <c r="H2" s="589">
        <v>1756</v>
      </c>
      <c r="I2" s="583">
        <v>1756</v>
      </c>
      <c r="J2" s="589"/>
      <c r="K2" s="589" t="s">
        <v>1071</v>
      </c>
      <c r="L2" s="806">
        <v>2</v>
      </c>
      <c r="N2" s="807">
        <v>41326</v>
      </c>
    </row>
    <row r="3" spans="1:14">
      <c r="A3" s="589" t="s">
        <v>1404</v>
      </c>
      <c r="B3" s="583" t="s">
        <v>1405</v>
      </c>
      <c r="C3" s="243">
        <v>41324</v>
      </c>
      <c r="D3" s="243">
        <v>41324</v>
      </c>
      <c r="E3" s="589" t="s">
        <v>245</v>
      </c>
      <c r="F3" s="589" t="s">
        <v>1392</v>
      </c>
      <c r="G3" s="589" t="s">
        <v>565</v>
      </c>
      <c r="H3" s="589">
        <v>36</v>
      </c>
      <c r="I3" s="808" t="s">
        <v>1406</v>
      </c>
      <c r="J3" s="688"/>
      <c r="K3" s="637" t="s">
        <v>1071</v>
      </c>
      <c r="L3" s="809">
        <v>3</v>
      </c>
      <c r="N3" s="807">
        <v>41341</v>
      </c>
    </row>
    <row r="4" spans="1:14">
      <c r="A4" s="589" t="s">
        <v>1404</v>
      </c>
      <c r="B4" s="583" t="s">
        <v>1405</v>
      </c>
      <c r="C4" s="243">
        <v>41324</v>
      </c>
      <c r="D4" s="243">
        <v>41324</v>
      </c>
      <c r="E4" s="589" t="s">
        <v>179</v>
      </c>
      <c r="F4" s="589" t="s">
        <v>1392</v>
      </c>
      <c r="G4" s="805" t="s">
        <v>564</v>
      </c>
      <c r="H4" s="589">
        <v>30</v>
      </c>
      <c r="I4" s="583">
        <v>30</v>
      </c>
      <c r="J4" s="589"/>
      <c r="K4" s="589" t="s">
        <v>1071</v>
      </c>
      <c r="L4" s="806">
        <v>2</v>
      </c>
      <c r="N4" s="807">
        <v>41339</v>
      </c>
    </row>
    <row r="5" spans="1:14">
      <c r="A5" s="589" t="s">
        <v>1404</v>
      </c>
      <c r="B5" s="583" t="s">
        <v>1405</v>
      </c>
      <c r="C5" s="243">
        <v>41324</v>
      </c>
      <c r="D5" s="243">
        <v>41324</v>
      </c>
      <c r="E5" s="584" t="s">
        <v>206</v>
      </c>
      <c r="F5" s="589" t="s">
        <v>1392</v>
      </c>
      <c r="G5" s="805" t="s">
        <v>995</v>
      </c>
      <c r="H5" s="589">
        <v>1898</v>
      </c>
      <c r="I5" s="583">
        <v>1898</v>
      </c>
      <c r="J5" s="589"/>
      <c r="K5" s="637" t="s">
        <v>1071</v>
      </c>
      <c r="L5" s="806">
        <v>2</v>
      </c>
      <c r="N5" s="807">
        <v>41340</v>
      </c>
    </row>
    <row r="6" spans="1:14">
      <c r="A6" s="589" t="s">
        <v>1407</v>
      </c>
      <c r="B6" s="583" t="s">
        <v>1408</v>
      </c>
      <c r="C6" s="243">
        <v>41324</v>
      </c>
      <c r="D6" s="243">
        <v>41324</v>
      </c>
      <c r="E6" s="589" t="s">
        <v>185</v>
      </c>
      <c r="F6" s="589" t="s">
        <v>1392</v>
      </c>
      <c r="G6" s="589" t="s">
        <v>563</v>
      </c>
      <c r="H6" s="589">
        <v>1513</v>
      </c>
      <c r="I6" s="583">
        <v>1513</v>
      </c>
      <c r="J6" s="589"/>
      <c r="K6" s="589" t="s">
        <v>1071</v>
      </c>
      <c r="L6" s="806">
        <v>2</v>
      </c>
      <c r="N6" s="807">
        <v>41326</v>
      </c>
    </row>
    <row r="7" spans="1:14">
      <c r="A7" s="589" t="s">
        <v>1407</v>
      </c>
      <c r="B7" s="583" t="s">
        <v>1408</v>
      </c>
      <c r="C7" s="243">
        <v>41324</v>
      </c>
      <c r="D7" s="243">
        <v>41324</v>
      </c>
      <c r="E7" s="589" t="s">
        <v>245</v>
      </c>
      <c r="F7" s="589" t="s">
        <v>1392</v>
      </c>
      <c r="G7" s="589" t="s">
        <v>565</v>
      </c>
      <c r="H7" s="589">
        <v>28</v>
      </c>
      <c r="I7" s="808" t="s">
        <v>1409</v>
      </c>
      <c r="J7" s="688"/>
      <c r="K7" s="637" t="s">
        <v>1071</v>
      </c>
      <c r="L7" s="809">
        <v>3</v>
      </c>
      <c r="N7" s="807">
        <v>41341</v>
      </c>
    </row>
    <row r="8" spans="1:14">
      <c r="A8" s="589" t="s">
        <v>1407</v>
      </c>
      <c r="B8" s="583" t="s">
        <v>1408</v>
      </c>
      <c r="C8" s="243">
        <v>41324</v>
      </c>
      <c r="D8" s="243">
        <v>41324</v>
      </c>
      <c r="E8" s="589" t="s">
        <v>179</v>
      </c>
      <c r="F8" s="589" t="s">
        <v>1392</v>
      </c>
      <c r="G8" s="805" t="s">
        <v>564</v>
      </c>
      <c r="H8" s="589">
        <v>15</v>
      </c>
      <c r="I8" s="583">
        <v>15</v>
      </c>
      <c r="J8" s="589"/>
      <c r="K8" s="589" t="s">
        <v>1071</v>
      </c>
      <c r="L8" s="806">
        <v>2</v>
      </c>
      <c r="N8" s="807">
        <v>41339</v>
      </c>
    </row>
    <row r="9" spans="1:14">
      <c r="A9" s="589" t="s">
        <v>1407</v>
      </c>
      <c r="B9" s="583" t="s">
        <v>1408</v>
      </c>
      <c r="C9" s="243">
        <v>41324</v>
      </c>
      <c r="D9" s="243">
        <v>41324</v>
      </c>
      <c r="E9" s="584" t="s">
        <v>206</v>
      </c>
      <c r="F9" s="589" t="s">
        <v>1392</v>
      </c>
      <c r="G9" s="805" t="s">
        <v>995</v>
      </c>
      <c r="H9" s="589">
        <v>1667</v>
      </c>
      <c r="I9" s="583">
        <v>1667</v>
      </c>
      <c r="J9" s="589"/>
      <c r="K9" s="637" t="s">
        <v>1071</v>
      </c>
      <c r="L9" s="806">
        <v>2</v>
      </c>
      <c r="N9" s="807">
        <v>41340</v>
      </c>
    </row>
    <row r="11" spans="1:14">
      <c r="A11" s="804" t="s">
        <v>1480</v>
      </c>
      <c r="B11" s="583" t="s">
        <v>1405</v>
      </c>
      <c r="C11" s="243">
        <v>41386</v>
      </c>
      <c r="D11" s="243">
        <v>41386</v>
      </c>
      <c r="E11" s="584" t="s">
        <v>206</v>
      </c>
      <c r="F11" s="589" t="s">
        <v>1392</v>
      </c>
      <c r="G11" s="805" t="s">
        <v>996</v>
      </c>
      <c r="H11" s="589">
        <v>1214</v>
      </c>
      <c r="I11" s="583">
        <v>1214</v>
      </c>
      <c r="J11" s="589"/>
      <c r="K11" s="637" t="s">
        <v>1071</v>
      </c>
      <c r="L11" s="806">
        <v>6</v>
      </c>
      <c r="M11" s="806">
        <v>42</v>
      </c>
      <c r="N11" s="807">
        <v>41401</v>
      </c>
    </row>
    <row r="12" spans="1:14">
      <c r="A12" s="688" t="s">
        <v>1480</v>
      </c>
      <c r="B12" s="583" t="s">
        <v>1405</v>
      </c>
      <c r="C12" s="243">
        <v>41386</v>
      </c>
      <c r="D12" s="243">
        <v>41386</v>
      </c>
      <c r="E12" s="589" t="s">
        <v>185</v>
      </c>
      <c r="F12" s="589" t="s">
        <v>1392</v>
      </c>
      <c r="G12" s="589" t="s">
        <v>563</v>
      </c>
      <c r="H12" s="589">
        <v>800</v>
      </c>
      <c r="I12" s="583">
        <v>800</v>
      </c>
      <c r="J12" s="589"/>
      <c r="K12" s="589" t="s">
        <v>1071</v>
      </c>
      <c r="L12" s="806">
        <v>2</v>
      </c>
      <c r="M12" s="806">
        <v>14</v>
      </c>
      <c r="N12" s="807">
        <v>41395</v>
      </c>
    </row>
    <row r="13" spans="1:14">
      <c r="A13" s="688" t="s">
        <v>1480</v>
      </c>
      <c r="B13" s="583" t="s">
        <v>1405</v>
      </c>
      <c r="C13" s="243">
        <v>41386</v>
      </c>
      <c r="D13" s="243">
        <v>41386</v>
      </c>
      <c r="E13" s="589" t="s">
        <v>245</v>
      </c>
      <c r="F13" s="589" t="s">
        <v>1392</v>
      </c>
      <c r="G13" s="589" t="s">
        <v>990</v>
      </c>
      <c r="H13" s="589">
        <v>14</v>
      </c>
      <c r="I13" s="808" t="s">
        <v>1466</v>
      </c>
      <c r="J13" s="589" t="s">
        <v>1419</v>
      </c>
      <c r="K13" s="637" t="s">
        <v>1071</v>
      </c>
      <c r="L13" s="809">
        <v>3</v>
      </c>
      <c r="M13" s="809">
        <v>21</v>
      </c>
      <c r="N13" s="807">
        <v>41402</v>
      </c>
    </row>
    <row r="14" spans="1:14">
      <c r="A14" s="688" t="s">
        <v>1480</v>
      </c>
      <c r="B14" s="583" t="s">
        <v>1405</v>
      </c>
      <c r="C14" s="243">
        <v>41386</v>
      </c>
      <c r="D14" s="243">
        <v>41386</v>
      </c>
      <c r="E14" s="589" t="s">
        <v>179</v>
      </c>
      <c r="F14" s="589" t="s">
        <v>1392</v>
      </c>
      <c r="G14" s="805" t="s">
        <v>1000</v>
      </c>
      <c r="H14" s="589">
        <v>37</v>
      </c>
      <c r="I14" s="583">
        <v>37</v>
      </c>
      <c r="J14" s="589"/>
      <c r="K14" s="589" t="s">
        <v>1071</v>
      </c>
      <c r="L14" s="806">
        <v>2</v>
      </c>
      <c r="M14" s="806">
        <v>14</v>
      </c>
      <c r="N14" s="807">
        <v>41401</v>
      </c>
    </row>
    <row r="15" spans="1:14">
      <c r="A15" s="804" t="s">
        <v>1481</v>
      </c>
      <c r="B15" s="583" t="s">
        <v>1408</v>
      </c>
      <c r="C15" s="243">
        <v>41386</v>
      </c>
      <c r="D15" s="243">
        <v>41386</v>
      </c>
      <c r="E15" s="584" t="s">
        <v>206</v>
      </c>
      <c r="F15" s="589" t="s">
        <v>1392</v>
      </c>
      <c r="G15" s="805" t="s">
        <v>996</v>
      </c>
      <c r="H15" s="589">
        <v>1066</v>
      </c>
      <c r="I15" s="583">
        <v>1066</v>
      </c>
      <c r="J15" s="589"/>
      <c r="K15" s="637" t="s">
        <v>1071</v>
      </c>
      <c r="L15" s="806">
        <v>6</v>
      </c>
      <c r="M15" s="806">
        <v>42</v>
      </c>
      <c r="N15" s="807">
        <v>41401</v>
      </c>
    </row>
    <row r="16" spans="1:14">
      <c r="A16" s="688" t="s">
        <v>1481</v>
      </c>
      <c r="B16" s="583" t="s">
        <v>1408</v>
      </c>
      <c r="C16" s="243">
        <v>41386</v>
      </c>
      <c r="D16" s="243">
        <v>41386</v>
      </c>
      <c r="E16" s="589" t="s">
        <v>185</v>
      </c>
      <c r="F16" s="589" t="s">
        <v>1392</v>
      </c>
      <c r="G16" s="589" t="s">
        <v>563</v>
      </c>
      <c r="H16" s="589">
        <v>660</v>
      </c>
      <c r="I16" s="583">
        <v>660</v>
      </c>
      <c r="J16" s="589"/>
      <c r="K16" s="589" t="s">
        <v>1071</v>
      </c>
      <c r="L16" s="806">
        <v>2</v>
      </c>
      <c r="M16" s="806">
        <v>14</v>
      </c>
      <c r="N16" s="807">
        <v>41395</v>
      </c>
    </row>
    <row r="17" spans="1:14">
      <c r="A17" s="688" t="s">
        <v>1481</v>
      </c>
      <c r="B17" s="583" t="s">
        <v>1408</v>
      </c>
      <c r="C17" s="243">
        <v>41386</v>
      </c>
      <c r="D17" s="243">
        <v>41386</v>
      </c>
      <c r="E17" s="589" t="s">
        <v>245</v>
      </c>
      <c r="F17" s="589" t="s">
        <v>1392</v>
      </c>
      <c r="G17" s="589" t="s">
        <v>990</v>
      </c>
      <c r="H17" s="589">
        <v>14</v>
      </c>
      <c r="I17" s="808" t="s">
        <v>1466</v>
      </c>
      <c r="J17" s="589" t="s">
        <v>1419</v>
      </c>
      <c r="K17" s="637" t="s">
        <v>1071</v>
      </c>
      <c r="L17" s="809">
        <v>3</v>
      </c>
      <c r="M17" s="809">
        <v>21</v>
      </c>
      <c r="N17" s="807">
        <v>41402</v>
      </c>
    </row>
    <row r="18" spans="1:14">
      <c r="A18" s="688" t="s">
        <v>1481</v>
      </c>
      <c r="B18" s="583" t="s">
        <v>1408</v>
      </c>
      <c r="C18" s="243">
        <v>41386</v>
      </c>
      <c r="D18" s="243">
        <v>41386</v>
      </c>
      <c r="E18" s="589" t="s">
        <v>179</v>
      </c>
      <c r="F18" s="589" t="s">
        <v>1392</v>
      </c>
      <c r="G18" s="805" t="s">
        <v>1000</v>
      </c>
      <c r="H18" s="589">
        <v>12</v>
      </c>
      <c r="I18" s="583">
        <v>12</v>
      </c>
      <c r="J18" s="589" t="s">
        <v>1419</v>
      </c>
      <c r="K18" s="589" t="s">
        <v>1071</v>
      </c>
      <c r="L18" s="806">
        <v>2</v>
      </c>
      <c r="M18" s="806">
        <v>14</v>
      </c>
      <c r="N18" s="807">
        <v>41401</v>
      </c>
    </row>
    <row r="20" spans="1:14">
      <c r="A20" s="804" t="s">
        <v>1556</v>
      </c>
      <c r="B20" s="583" t="s">
        <v>1557</v>
      </c>
      <c r="C20" s="243">
        <v>41442</v>
      </c>
      <c r="D20" s="243">
        <v>41442</v>
      </c>
      <c r="E20" s="584" t="s">
        <v>206</v>
      </c>
      <c r="F20" s="589" t="s">
        <v>1392</v>
      </c>
      <c r="G20" s="805" t="s">
        <v>996</v>
      </c>
      <c r="H20" s="589">
        <v>982</v>
      </c>
      <c r="I20" s="583">
        <v>982</v>
      </c>
      <c r="J20" s="589"/>
      <c r="K20" s="637" t="s">
        <v>1071</v>
      </c>
      <c r="L20" s="806">
        <v>6</v>
      </c>
      <c r="M20" s="806">
        <v>42</v>
      </c>
      <c r="N20" s="807">
        <v>41445</v>
      </c>
    </row>
    <row r="21" spans="1:14">
      <c r="A21" s="688" t="s">
        <v>1556</v>
      </c>
      <c r="B21" s="583" t="s">
        <v>1557</v>
      </c>
      <c r="C21" s="243">
        <v>41442</v>
      </c>
      <c r="D21" s="243">
        <v>41442</v>
      </c>
      <c r="E21" s="589" t="s">
        <v>185</v>
      </c>
      <c r="F21" s="589" t="s">
        <v>1392</v>
      </c>
      <c r="G21" s="589" t="s">
        <v>1483</v>
      </c>
      <c r="H21" s="589">
        <v>465</v>
      </c>
      <c r="I21" s="583">
        <v>465</v>
      </c>
      <c r="J21" s="589"/>
      <c r="K21" s="589" t="s">
        <v>1071</v>
      </c>
      <c r="L21" s="806">
        <v>2</v>
      </c>
      <c r="M21" s="806">
        <v>8</v>
      </c>
      <c r="N21" s="807">
        <v>41444</v>
      </c>
    </row>
    <row r="22" spans="1:14">
      <c r="A22" s="688" t="s">
        <v>1556</v>
      </c>
      <c r="B22" s="583" t="s">
        <v>1557</v>
      </c>
      <c r="C22" s="243">
        <v>41442</v>
      </c>
      <c r="D22" s="243">
        <v>41442</v>
      </c>
      <c r="E22" s="589" t="s">
        <v>245</v>
      </c>
      <c r="F22" s="589" t="s">
        <v>1392</v>
      </c>
      <c r="G22" s="589" t="s">
        <v>991</v>
      </c>
      <c r="H22" s="589">
        <v>41</v>
      </c>
      <c r="I22" s="808" t="s">
        <v>1558</v>
      </c>
      <c r="J22" s="589"/>
      <c r="K22" s="637" t="s">
        <v>1071</v>
      </c>
      <c r="L22" s="809">
        <v>5</v>
      </c>
      <c r="M22" s="809">
        <v>35</v>
      </c>
      <c r="N22" s="807">
        <v>41446</v>
      </c>
    </row>
    <row r="23" spans="1:14">
      <c r="A23" s="688" t="s">
        <v>1556</v>
      </c>
      <c r="B23" s="583" t="s">
        <v>1557</v>
      </c>
      <c r="C23" s="243">
        <v>41442</v>
      </c>
      <c r="D23" s="243">
        <v>41442</v>
      </c>
      <c r="E23" s="589" t="s">
        <v>179</v>
      </c>
      <c r="F23" s="589" t="s">
        <v>1392</v>
      </c>
      <c r="G23" s="805" t="s">
        <v>1000</v>
      </c>
      <c r="H23" s="589">
        <v>87</v>
      </c>
      <c r="I23" s="583">
        <v>87</v>
      </c>
      <c r="J23" s="589"/>
      <c r="K23" s="589" t="s">
        <v>1071</v>
      </c>
      <c r="L23" s="806">
        <v>2</v>
      </c>
      <c r="M23" s="806">
        <v>8</v>
      </c>
      <c r="N23" s="807">
        <v>41445</v>
      </c>
    </row>
    <row r="24" spans="1:14">
      <c r="A24" s="804" t="s">
        <v>1559</v>
      </c>
      <c r="B24" s="583" t="s">
        <v>1560</v>
      </c>
      <c r="C24" s="243">
        <v>41442</v>
      </c>
      <c r="D24" s="243">
        <v>41442</v>
      </c>
      <c r="E24" s="584" t="s">
        <v>206</v>
      </c>
      <c r="F24" s="589" t="s">
        <v>1392</v>
      </c>
      <c r="G24" s="805" t="s">
        <v>996</v>
      </c>
      <c r="H24" s="589">
        <v>1192</v>
      </c>
      <c r="I24" s="583">
        <v>1192</v>
      </c>
      <c r="J24" s="589"/>
      <c r="K24" s="637" t="s">
        <v>1071</v>
      </c>
      <c r="L24" s="806">
        <v>6</v>
      </c>
      <c r="M24" s="806">
        <v>42</v>
      </c>
      <c r="N24" s="807">
        <v>41445</v>
      </c>
    </row>
    <row r="25" spans="1:14">
      <c r="A25" s="688" t="s">
        <v>1559</v>
      </c>
      <c r="B25" s="583" t="s">
        <v>1560</v>
      </c>
      <c r="C25" s="243">
        <v>41442</v>
      </c>
      <c r="D25" s="243">
        <v>41442</v>
      </c>
      <c r="E25" s="589" t="s">
        <v>185</v>
      </c>
      <c r="F25" s="589" t="s">
        <v>1392</v>
      </c>
      <c r="G25" s="589" t="s">
        <v>1483</v>
      </c>
      <c r="H25" s="589">
        <v>427</v>
      </c>
      <c r="I25" s="583">
        <v>427</v>
      </c>
      <c r="J25" s="589"/>
      <c r="K25" s="589" t="s">
        <v>1071</v>
      </c>
      <c r="L25" s="806">
        <v>2</v>
      </c>
      <c r="M25" s="806">
        <v>8</v>
      </c>
      <c r="N25" s="807">
        <v>41444</v>
      </c>
    </row>
    <row r="26" spans="1:14">
      <c r="A26" s="688" t="s">
        <v>1559</v>
      </c>
      <c r="B26" s="583" t="s">
        <v>1560</v>
      </c>
      <c r="C26" s="243">
        <v>41442</v>
      </c>
      <c r="D26" s="243">
        <v>41442</v>
      </c>
      <c r="E26" s="589" t="s">
        <v>245</v>
      </c>
      <c r="F26" s="589" t="s">
        <v>1392</v>
      </c>
      <c r="G26" s="589" t="s">
        <v>991</v>
      </c>
      <c r="H26" s="589">
        <v>47</v>
      </c>
      <c r="I26" s="808" t="s">
        <v>1526</v>
      </c>
      <c r="J26" s="589"/>
      <c r="K26" s="637" t="s">
        <v>1071</v>
      </c>
      <c r="L26" s="809">
        <v>5</v>
      </c>
      <c r="M26" s="809">
        <v>35</v>
      </c>
      <c r="N26" s="807">
        <v>41446</v>
      </c>
    </row>
    <row r="27" spans="1:14">
      <c r="A27" s="688" t="s">
        <v>1559</v>
      </c>
      <c r="B27" s="583" t="s">
        <v>1560</v>
      </c>
      <c r="C27" s="243">
        <v>41442</v>
      </c>
      <c r="D27" s="243">
        <v>41442</v>
      </c>
      <c r="E27" s="589" t="s">
        <v>179</v>
      </c>
      <c r="F27" s="589" t="s">
        <v>1392</v>
      </c>
      <c r="G27" s="805" t="s">
        <v>1000</v>
      </c>
      <c r="H27" s="589">
        <v>123</v>
      </c>
      <c r="I27" s="583">
        <v>123</v>
      </c>
      <c r="J27" s="589"/>
      <c r="K27" s="589" t="s">
        <v>1071</v>
      </c>
      <c r="L27" s="806">
        <v>2</v>
      </c>
      <c r="M27" s="806">
        <v>8</v>
      </c>
      <c r="N27" s="807">
        <v>41445</v>
      </c>
    </row>
    <row r="29" spans="1:14">
      <c r="A29" s="804" t="s">
        <v>1633</v>
      </c>
      <c r="B29" s="583" t="s">
        <v>1405</v>
      </c>
      <c r="C29" s="243">
        <v>41512</v>
      </c>
      <c r="D29" s="243">
        <v>41512</v>
      </c>
      <c r="E29" s="584" t="s">
        <v>206</v>
      </c>
      <c r="F29" s="589" t="s">
        <v>1392</v>
      </c>
      <c r="G29" s="805" t="s">
        <v>996</v>
      </c>
      <c r="H29" s="589">
        <v>1199</v>
      </c>
      <c r="I29" s="583">
        <v>1199</v>
      </c>
      <c r="J29" s="589"/>
      <c r="K29" s="637" t="s">
        <v>1071</v>
      </c>
      <c r="L29" s="806">
        <v>6</v>
      </c>
      <c r="M29" s="806">
        <v>42</v>
      </c>
      <c r="N29" s="807">
        <v>41516</v>
      </c>
    </row>
    <row r="30" spans="1:14">
      <c r="A30" s="688" t="s">
        <v>1633</v>
      </c>
      <c r="B30" s="583" t="s">
        <v>1405</v>
      </c>
      <c r="C30" s="243">
        <v>41512</v>
      </c>
      <c r="D30" s="243">
        <v>41512</v>
      </c>
      <c r="E30" s="589" t="s">
        <v>185</v>
      </c>
      <c r="F30" s="589" t="s">
        <v>1392</v>
      </c>
      <c r="G30" s="589" t="s">
        <v>1483</v>
      </c>
      <c r="H30" s="589">
        <v>305</v>
      </c>
      <c r="I30" s="583">
        <v>305</v>
      </c>
      <c r="J30" s="589"/>
      <c r="K30" s="589" t="s">
        <v>1071</v>
      </c>
      <c r="L30" s="806">
        <v>2</v>
      </c>
      <c r="M30" s="806">
        <v>8</v>
      </c>
      <c r="N30" s="807">
        <v>41514</v>
      </c>
    </row>
    <row r="31" spans="1:14">
      <c r="A31" s="688" t="s">
        <v>1633</v>
      </c>
      <c r="B31" s="583" t="s">
        <v>1405</v>
      </c>
      <c r="C31" s="243">
        <v>41512</v>
      </c>
      <c r="D31" s="243">
        <v>41512</v>
      </c>
      <c r="E31" s="589" t="s">
        <v>245</v>
      </c>
      <c r="F31" s="589" t="s">
        <v>1392</v>
      </c>
      <c r="G31" s="589" t="s">
        <v>991</v>
      </c>
      <c r="H31" s="589">
        <v>45</v>
      </c>
      <c r="I31" s="808">
        <v>45</v>
      </c>
      <c r="J31" s="589"/>
      <c r="K31" s="637" t="s">
        <v>1071</v>
      </c>
      <c r="L31" s="809">
        <v>5</v>
      </c>
      <c r="M31" s="809">
        <v>35</v>
      </c>
      <c r="N31" s="807">
        <v>41527</v>
      </c>
    </row>
    <row r="32" spans="1:14">
      <c r="A32" s="688" t="s">
        <v>1633</v>
      </c>
      <c r="B32" s="583" t="s">
        <v>1405</v>
      </c>
      <c r="C32" s="243">
        <v>41512</v>
      </c>
      <c r="D32" s="243">
        <v>41512</v>
      </c>
      <c r="E32" s="589" t="s">
        <v>179</v>
      </c>
      <c r="F32" s="589" t="s">
        <v>1392</v>
      </c>
      <c r="G32" s="805" t="s">
        <v>1000</v>
      </c>
      <c r="H32" s="589">
        <v>103</v>
      </c>
      <c r="I32" s="583">
        <v>103</v>
      </c>
      <c r="J32" s="589"/>
      <c r="K32" s="589" t="s">
        <v>1071</v>
      </c>
      <c r="L32" s="806">
        <v>2</v>
      </c>
      <c r="M32" s="806">
        <v>8</v>
      </c>
      <c r="N32" s="807">
        <v>41516</v>
      </c>
    </row>
    <row r="33" spans="1:14">
      <c r="A33" s="804" t="s">
        <v>1634</v>
      </c>
      <c r="B33" s="583" t="s">
        <v>1408</v>
      </c>
      <c r="C33" s="243">
        <v>41512</v>
      </c>
      <c r="D33" s="243">
        <v>41512</v>
      </c>
      <c r="E33" s="584" t="s">
        <v>206</v>
      </c>
      <c r="F33" s="589" t="s">
        <v>1392</v>
      </c>
      <c r="G33" s="805" t="s">
        <v>996</v>
      </c>
      <c r="H33" s="589">
        <v>1023</v>
      </c>
      <c r="I33" s="583">
        <v>1023</v>
      </c>
      <c r="J33" s="589"/>
      <c r="K33" s="637" t="s">
        <v>1071</v>
      </c>
      <c r="L33" s="806">
        <v>6</v>
      </c>
      <c r="M33" s="806">
        <v>42</v>
      </c>
      <c r="N33" s="807">
        <v>41516</v>
      </c>
    </row>
    <row r="34" spans="1:14">
      <c r="A34" s="688" t="s">
        <v>1634</v>
      </c>
      <c r="B34" s="583" t="s">
        <v>1408</v>
      </c>
      <c r="C34" s="243">
        <v>41512</v>
      </c>
      <c r="D34" s="243">
        <v>41512</v>
      </c>
      <c r="E34" s="589" t="s">
        <v>185</v>
      </c>
      <c r="F34" s="589" t="s">
        <v>1392</v>
      </c>
      <c r="G34" s="589" t="s">
        <v>1483</v>
      </c>
      <c r="H34" s="589">
        <v>149</v>
      </c>
      <c r="I34" s="583">
        <v>149</v>
      </c>
      <c r="J34" s="589"/>
      <c r="K34" s="589" t="s">
        <v>1071</v>
      </c>
      <c r="L34" s="806">
        <v>2</v>
      </c>
      <c r="M34" s="806">
        <v>8</v>
      </c>
      <c r="N34" s="807">
        <v>41514</v>
      </c>
    </row>
    <row r="35" spans="1:14">
      <c r="A35" s="688" t="s">
        <v>1634</v>
      </c>
      <c r="B35" s="583" t="s">
        <v>1408</v>
      </c>
      <c r="C35" s="243">
        <v>41512</v>
      </c>
      <c r="D35" s="243">
        <v>41512</v>
      </c>
      <c r="E35" s="589" t="s">
        <v>245</v>
      </c>
      <c r="F35" s="589" t="s">
        <v>1392</v>
      </c>
      <c r="G35" s="589" t="s">
        <v>991</v>
      </c>
      <c r="H35" s="589">
        <v>64</v>
      </c>
      <c r="I35" s="808">
        <v>64</v>
      </c>
      <c r="J35" s="589"/>
      <c r="K35" s="637" t="s">
        <v>1071</v>
      </c>
      <c r="L35" s="809">
        <v>5</v>
      </c>
      <c r="M35" s="809">
        <v>35</v>
      </c>
      <c r="N35" s="807">
        <v>41527</v>
      </c>
    </row>
    <row r="36" spans="1:14">
      <c r="A36" s="688" t="s">
        <v>1634</v>
      </c>
      <c r="B36" s="583" t="s">
        <v>1408</v>
      </c>
      <c r="C36" s="243">
        <v>41512</v>
      </c>
      <c r="D36" s="243">
        <v>41512</v>
      </c>
      <c r="E36" s="589" t="s">
        <v>179</v>
      </c>
      <c r="F36" s="589" t="s">
        <v>1392</v>
      </c>
      <c r="G36" s="805" t="s">
        <v>1000</v>
      </c>
      <c r="H36" s="589">
        <v>89</v>
      </c>
      <c r="I36" s="583">
        <v>89</v>
      </c>
      <c r="J36" s="589"/>
      <c r="K36" s="589" t="s">
        <v>1071</v>
      </c>
      <c r="L36" s="806">
        <v>2</v>
      </c>
      <c r="M36" s="806">
        <v>8</v>
      </c>
      <c r="N36" s="807">
        <v>41516</v>
      </c>
    </row>
    <row r="38" spans="1:14">
      <c r="A38" s="804" t="s">
        <v>1781</v>
      </c>
      <c r="B38" s="583" t="s">
        <v>1405</v>
      </c>
      <c r="C38" s="243">
        <v>41596</v>
      </c>
      <c r="D38" s="243">
        <v>41596</v>
      </c>
      <c r="E38" s="584" t="s">
        <v>206</v>
      </c>
      <c r="F38" s="589" t="s">
        <v>1392</v>
      </c>
      <c r="G38" s="805" t="s">
        <v>996</v>
      </c>
      <c r="H38" s="589">
        <v>2010</v>
      </c>
      <c r="I38" s="583">
        <v>2010</v>
      </c>
      <c r="J38" s="589"/>
      <c r="K38" s="637" t="s">
        <v>1071</v>
      </c>
      <c r="L38" s="806">
        <v>6</v>
      </c>
      <c r="M38" s="806">
        <v>42</v>
      </c>
      <c r="N38" s="807">
        <v>41611</v>
      </c>
    </row>
    <row r="39" spans="1:14">
      <c r="A39" s="688" t="s">
        <v>1781</v>
      </c>
      <c r="B39" s="583" t="s">
        <v>1405</v>
      </c>
      <c r="C39" s="243">
        <v>41596</v>
      </c>
      <c r="D39" s="243">
        <v>41596</v>
      </c>
      <c r="E39" s="589" t="s">
        <v>185</v>
      </c>
      <c r="F39" s="589" t="s">
        <v>1392</v>
      </c>
      <c r="G39" s="589" t="s">
        <v>1483</v>
      </c>
      <c r="H39" s="589">
        <v>1640</v>
      </c>
      <c r="I39" s="583">
        <v>1640</v>
      </c>
      <c r="J39" s="589"/>
      <c r="K39" s="589" t="s">
        <v>1071</v>
      </c>
      <c r="L39" s="806">
        <v>2</v>
      </c>
      <c r="M39" s="806">
        <v>8</v>
      </c>
      <c r="N39" s="807">
        <v>41598</v>
      </c>
    </row>
    <row r="40" spans="1:14">
      <c r="A40" s="688" t="s">
        <v>1781</v>
      </c>
      <c r="B40" s="583" t="s">
        <v>1405</v>
      </c>
      <c r="C40" s="243">
        <v>41596</v>
      </c>
      <c r="D40" s="243">
        <v>41596</v>
      </c>
      <c r="E40" s="589" t="s">
        <v>245</v>
      </c>
      <c r="F40" s="589" t="s">
        <v>1392</v>
      </c>
      <c r="G40" s="589" t="s">
        <v>991</v>
      </c>
      <c r="H40" s="589">
        <v>35</v>
      </c>
      <c r="I40" s="808" t="s">
        <v>1562</v>
      </c>
      <c r="J40" s="589" t="s">
        <v>1419</v>
      </c>
      <c r="K40" s="637" t="s">
        <v>1071</v>
      </c>
      <c r="L40" s="809">
        <v>5</v>
      </c>
      <c r="M40" s="809">
        <v>35</v>
      </c>
      <c r="N40" s="807">
        <v>41610</v>
      </c>
    </row>
    <row r="41" spans="1:14">
      <c r="A41" s="688" t="s">
        <v>1781</v>
      </c>
      <c r="B41" s="583" t="s">
        <v>1405</v>
      </c>
      <c r="C41" s="243">
        <v>41596</v>
      </c>
      <c r="D41" s="243">
        <v>41596</v>
      </c>
      <c r="E41" s="589" t="s">
        <v>179</v>
      </c>
      <c r="F41" s="589" t="s">
        <v>1392</v>
      </c>
      <c r="G41" s="805" t="s">
        <v>1000</v>
      </c>
      <c r="H41" s="589">
        <v>31</v>
      </c>
      <c r="I41" s="583">
        <v>31</v>
      </c>
      <c r="J41" s="589"/>
      <c r="K41" s="589" t="s">
        <v>1071</v>
      </c>
      <c r="L41" s="806">
        <v>2</v>
      </c>
      <c r="M41" s="806">
        <v>8</v>
      </c>
      <c r="N41" s="807">
        <v>41611</v>
      </c>
    </row>
    <row r="42" spans="1:14">
      <c r="A42" s="804" t="s">
        <v>1782</v>
      </c>
      <c r="B42" s="583" t="s">
        <v>1408</v>
      </c>
      <c r="C42" s="243">
        <v>41596</v>
      </c>
      <c r="D42" s="243">
        <v>41596</v>
      </c>
      <c r="E42" s="584" t="s">
        <v>206</v>
      </c>
      <c r="F42" s="589" t="s">
        <v>1392</v>
      </c>
      <c r="G42" s="805" t="s">
        <v>996</v>
      </c>
      <c r="H42" s="589">
        <v>1875</v>
      </c>
      <c r="I42" s="583">
        <v>1875</v>
      </c>
      <c r="J42" s="589"/>
      <c r="K42" s="637" t="s">
        <v>1071</v>
      </c>
      <c r="L42" s="806">
        <v>6</v>
      </c>
      <c r="M42" s="806">
        <v>42</v>
      </c>
      <c r="N42" s="807">
        <v>41611</v>
      </c>
    </row>
    <row r="43" spans="1:14">
      <c r="A43" s="688" t="s">
        <v>1782</v>
      </c>
      <c r="B43" s="583" t="s">
        <v>1408</v>
      </c>
      <c r="C43" s="243">
        <v>41596</v>
      </c>
      <c r="D43" s="243">
        <v>41596</v>
      </c>
      <c r="E43" s="589" t="s">
        <v>185</v>
      </c>
      <c r="F43" s="589" t="s">
        <v>1392</v>
      </c>
      <c r="G43" s="589" t="s">
        <v>1483</v>
      </c>
      <c r="H43" s="589">
        <v>1421</v>
      </c>
      <c r="I43" s="583">
        <v>1421</v>
      </c>
      <c r="J43" s="589"/>
      <c r="K43" s="589" t="s">
        <v>1071</v>
      </c>
      <c r="L43" s="806">
        <v>2</v>
      </c>
      <c r="M43" s="806">
        <v>8</v>
      </c>
      <c r="N43" s="807">
        <v>41598</v>
      </c>
    </row>
    <row r="44" spans="1:14">
      <c r="A44" s="688" t="s">
        <v>1782</v>
      </c>
      <c r="B44" s="583" t="s">
        <v>1408</v>
      </c>
      <c r="C44" s="243">
        <v>41596</v>
      </c>
      <c r="D44" s="243">
        <v>41596</v>
      </c>
      <c r="E44" s="589" t="s">
        <v>245</v>
      </c>
      <c r="F44" s="589" t="s">
        <v>1392</v>
      </c>
      <c r="G44" s="589" t="s">
        <v>991</v>
      </c>
      <c r="H44" s="589">
        <v>55</v>
      </c>
      <c r="I44" s="808" t="s">
        <v>1783</v>
      </c>
      <c r="J44" s="589"/>
      <c r="K44" s="637" t="s">
        <v>1071</v>
      </c>
      <c r="L44" s="809">
        <v>5</v>
      </c>
      <c r="M44" s="809">
        <v>35</v>
      </c>
      <c r="N44" s="807">
        <v>41610</v>
      </c>
    </row>
    <row r="45" spans="1:14">
      <c r="A45" s="688" t="s">
        <v>1782</v>
      </c>
      <c r="B45" s="583" t="s">
        <v>1408</v>
      </c>
      <c r="C45" s="243">
        <v>41596</v>
      </c>
      <c r="D45" s="243">
        <v>41596</v>
      </c>
      <c r="E45" s="589" t="s">
        <v>179</v>
      </c>
      <c r="F45" s="589" t="s">
        <v>1392</v>
      </c>
      <c r="G45" s="805" t="s">
        <v>1000</v>
      </c>
      <c r="H45" s="589">
        <v>38</v>
      </c>
      <c r="I45" s="583">
        <v>38</v>
      </c>
      <c r="J45" s="589"/>
      <c r="K45" s="589" t="s">
        <v>1071</v>
      </c>
      <c r="L45" s="806">
        <v>2</v>
      </c>
      <c r="M45" s="806">
        <v>8</v>
      </c>
      <c r="N45" s="807">
        <v>41611</v>
      </c>
    </row>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92D050"/>
  </sheetPr>
  <dimension ref="A3:N171"/>
  <sheetViews>
    <sheetView topLeftCell="A4" workbookViewId="0">
      <selection activeCell="R38" sqref="R38"/>
    </sheetView>
  </sheetViews>
  <sheetFormatPr defaultRowHeight="12.5"/>
  <cols>
    <col min="3" max="4" width="10.08984375" bestFit="1" customWidth="1"/>
    <col min="5" max="5" width="25.54296875" bestFit="1" customWidth="1"/>
    <col min="7" max="7" width="23.36328125" bestFit="1" customWidth="1"/>
    <col min="14" max="14" width="10.08984375" bestFit="1" customWidth="1"/>
  </cols>
  <sheetData>
    <row r="3" spans="1:14">
      <c r="A3" s="589" t="s">
        <v>1424</v>
      </c>
      <c r="B3" s="583">
        <v>52</v>
      </c>
      <c r="C3" s="243">
        <v>41358</v>
      </c>
      <c r="D3" s="243">
        <v>41358</v>
      </c>
      <c r="E3" s="589" t="s">
        <v>185</v>
      </c>
      <c r="F3" s="589" t="s">
        <v>1392</v>
      </c>
      <c r="G3" s="589" t="s">
        <v>563</v>
      </c>
      <c r="H3" s="589">
        <v>425</v>
      </c>
      <c r="I3" s="583">
        <v>425</v>
      </c>
      <c r="J3" s="589"/>
      <c r="K3" s="589" t="s">
        <v>1071</v>
      </c>
      <c r="L3" s="806">
        <v>2</v>
      </c>
      <c r="M3" s="806">
        <v>14</v>
      </c>
      <c r="N3" s="807">
        <v>41360</v>
      </c>
    </row>
    <row r="4" spans="1:14">
      <c r="A4" s="589" t="s">
        <v>1424</v>
      </c>
      <c r="B4" s="583">
        <v>52</v>
      </c>
      <c r="C4" s="243">
        <v>41358</v>
      </c>
      <c r="D4" s="243">
        <v>41358</v>
      </c>
      <c r="E4" s="589" t="s">
        <v>245</v>
      </c>
      <c r="F4" s="589" t="s">
        <v>1392</v>
      </c>
      <c r="G4" s="589" t="s">
        <v>565</v>
      </c>
      <c r="H4" s="589">
        <v>39</v>
      </c>
      <c r="I4" s="808">
        <v>39</v>
      </c>
      <c r="J4" s="688"/>
      <c r="K4" s="637" t="s">
        <v>1071</v>
      </c>
      <c r="L4" s="809">
        <v>3</v>
      </c>
      <c r="M4" s="809">
        <v>21</v>
      </c>
      <c r="N4" s="807">
        <v>41375</v>
      </c>
    </row>
    <row r="5" spans="1:14">
      <c r="A5" s="589" t="s">
        <v>1424</v>
      </c>
      <c r="B5" s="583">
        <v>52</v>
      </c>
      <c r="C5" s="243">
        <v>41358</v>
      </c>
      <c r="D5" s="243">
        <v>41358</v>
      </c>
      <c r="E5" s="589" t="s">
        <v>179</v>
      </c>
      <c r="F5" s="589" t="s">
        <v>1392</v>
      </c>
      <c r="G5" s="805" t="s">
        <v>1000</v>
      </c>
      <c r="H5" s="589">
        <v>51</v>
      </c>
      <c r="I5" s="583">
        <v>51</v>
      </c>
      <c r="J5" s="589"/>
      <c r="K5" s="589" t="s">
        <v>1071</v>
      </c>
      <c r="L5" s="806">
        <v>2</v>
      </c>
      <c r="M5" s="806">
        <v>14</v>
      </c>
      <c r="N5" s="807">
        <v>41372</v>
      </c>
    </row>
    <row r="6" spans="1:14">
      <c r="A6" s="589" t="s">
        <v>1424</v>
      </c>
      <c r="B6" s="583">
        <v>52</v>
      </c>
      <c r="C6" s="243">
        <v>41358</v>
      </c>
      <c r="D6" s="243">
        <v>41358</v>
      </c>
      <c r="E6" s="584" t="s">
        <v>206</v>
      </c>
      <c r="F6" s="589" t="s">
        <v>1392</v>
      </c>
      <c r="G6" s="805" t="s">
        <v>1070</v>
      </c>
      <c r="H6" s="589">
        <v>651</v>
      </c>
      <c r="I6" s="583">
        <v>651</v>
      </c>
      <c r="J6" s="589"/>
      <c r="K6" s="637" t="s">
        <v>1071</v>
      </c>
      <c r="L6" s="806">
        <v>4</v>
      </c>
      <c r="M6" s="806">
        <v>28</v>
      </c>
      <c r="N6" s="807">
        <v>41372</v>
      </c>
    </row>
    <row r="7" spans="1:14">
      <c r="A7" s="589" t="s">
        <v>1425</v>
      </c>
      <c r="B7" s="583">
        <v>53</v>
      </c>
      <c r="C7" s="243">
        <v>41358</v>
      </c>
      <c r="D7" s="243">
        <v>41358</v>
      </c>
      <c r="E7" s="589" t="s">
        <v>185</v>
      </c>
      <c r="F7" s="589" t="s">
        <v>1392</v>
      </c>
      <c r="G7" s="589" t="s">
        <v>563</v>
      </c>
      <c r="H7" s="589">
        <v>139</v>
      </c>
      <c r="I7" s="583">
        <v>139</v>
      </c>
      <c r="J7" s="589"/>
      <c r="K7" s="589" t="s">
        <v>1071</v>
      </c>
      <c r="L7" s="806">
        <v>2</v>
      </c>
      <c r="M7" s="806">
        <v>14</v>
      </c>
      <c r="N7" s="807">
        <v>41360</v>
      </c>
    </row>
    <row r="8" spans="1:14">
      <c r="A8" s="589" t="s">
        <v>1425</v>
      </c>
      <c r="B8" s="583">
        <v>53</v>
      </c>
      <c r="C8" s="243">
        <v>41358</v>
      </c>
      <c r="D8" s="243">
        <v>41358</v>
      </c>
      <c r="E8" s="589" t="s">
        <v>245</v>
      </c>
      <c r="F8" s="589" t="s">
        <v>1392</v>
      </c>
      <c r="G8" s="589" t="s">
        <v>565</v>
      </c>
      <c r="H8" s="589">
        <v>33</v>
      </c>
      <c r="I8" s="808">
        <v>33</v>
      </c>
      <c r="J8" s="688"/>
      <c r="K8" s="637" t="s">
        <v>1071</v>
      </c>
      <c r="L8" s="809">
        <v>3</v>
      </c>
      <c r="M8" s="809">
        <v>21</v>
      </c>
      <c r="N8" s="807">
        <v>41375</v>
      </c>
    </row>
    <row r="9" spans="1:14">
      <c r="A9" s="589" t="s">
        <v>1425</v>
      </c>
      <c r="B9" s="583">
        <v>53</v>
      </c>
      <c r="C9" s="243">
        <v>41358</v>
      </c>
      <c r="D9" s="243">
        <v>41358</v>
      </c>
      <c r="E9" s="589" t="s">
        <v>179</v>
      </c>
      <c r="F9" s="589" t="s">
        <v>1392</v>
      </c>
      <c r="G9" s="805" t="s">
        <v>1000</v>
      </c>
      <c r="H9" s="589">
        <v>9</v>
      </c>
      <c r="I9" s="583">
        <v>9</v>
      </c>
      <c r="J9" s="589" t="s">
        <v>1419</v>
      </c>
      <c r="K9" s="589" t="s">
        <v>1071</v>
      </c>
      <c r="L9" s="806">
        <v>2</v>
      </c>
      <c r="M9" s="806">
        <v>14</v>
      </c>
      <c r="N9" s="807">
        <v>41372</v>
      </c>
    </row>
    <row r="10" spans="1:14">
      <c r="A10" s="589" t="s">
        <v>1425</v>
      </c>
      <c r="B10" s="583">
        <v>53</v>
      </c>
      <c r="C10" s="243">
        <v>41358</v>
      </c>
      <c r="D10" s="243">
        <v>41358</v>
      </c>
      <c r="E10" s="584" t="s">
        <v>206</v>
      </c>
      <c r="F10" s="589" t="s">
        <v>1392</v>
      </c>
      <c r="G10" s="805" t="s">
        <v>1070</v>
      </c>
      <c r="H10" s="589">
        <v>291</v>
      </c>
      <c r="I10" s="583">
        <v>291</v>
      </c>
      <c r="J10" s="589"/>
      <c r="K10" s="637" t="s">
        <v>1071</v>
      </c>
      <c r="L10" s="806">
        <v>4</v>
      </c>
      <c r="M10" s="806">
        <v>28</v>
      </c>
      <c r="N10" s="807">
        <v>41372</v>
      </c>
    </row>
    <row r="11" spans="1:14">
      <c r="A11" s="589" t="s">
        <v>1426</v>
      </c>
      <c r="B11" s="583">
        <v>54</v>
      </c>
      <c r="C11" s="243">
        <v>41358</v>
      </c>
      <c r="D11" s="243">
        <v>41358</v>
      </c>
      <c r="E11" s="589" t="s">
        <v>185</v>
      </c>
      <c r="F11" s="589" t="s">
        <v>1392</v>
      </c>
      <c r="G11" s="589" t="s">
        <v>563</v>
      </c>
      <c r="H11" s="589">
        <v>149</v>
      </c>
      <c r="I11" s="583">
        <v>149</v>
      </c>
      <c r="J11" s="589"/>
      <c r="K11" s="589" t="s">
        <v>1071</v>
      </c>
      <c r="L11" s="806">
        <v>2</v>
      </c>
      <c r="M11" s="806">
        <v>14</v>
      </c>
      <c r="N11" s="807">
        <v>41360</v>
      </c>
    </row>
    <row r="12" spans="1:14">
      <c r="A12" s="589" t="s">
        <v>1426</v>
      </c>
      <c r="B12" s="583">
        <v>54</v>
      </c>
      <c r="C12" s="243">
        <v>41358</v>
      </c>
      <c r="D12" s="243">
        <v>41358</v>
      </c>
      <c r="E12" s="589" t="s">
        <v>245</v>
      </c>
      <c r="F12" s="589" t="s">
        <v>1392</v>
      </c>
      <c r="G12" s="589" t="s">
        <v>565</v>
      </c>
      <c r="H12" s="589">
        <v>27</v>
      </c>
      <c r="I12" s="808">
        <v>27</v>
      </c>
      <c r="J12" s="688"/>
      <c r="K12" s="637" t="s">
        <v>1071</v>
      </c>
      <c r="L12" s="809">
        <v>3</v>
      </c>
      <c r="M12" s="809">
        <v>21</v>
      </c>
      <c r="N12" s="807">
        <v>41375</v>
      </c>
    </row>
    <row r="13" spans="1:14">
      <c r="A13" s="589" t="s">
        <v>1426</v>
      </c>
      <c r="B13" s="583">
        <v>54</v>
      </c>
      <c r="C13" s="243">
        <v>41358</v>
      </c>
      <c r="D13" s="243">
        <v>41358</v>
      </c>
      <c r="E13" s="589" t="s">
        <v>179</v>
      </c>
      <c r="F13" s="589" t="s">
        <v>1392</v>
      </c>
      <c r="G13" s="805" t="s">
        <v>1000</v>
      </c>
      <c r="H13" s="589">
        <v>122</v>
      </c>
      <c r="I13" s="583">
        <v>122</v>
      </c>
      <c r="J13" s="589"/>
      <c r="K13" s="589" t="s">
        <v>1071</v>
      </c>
      <c r="L13" s="806">
        <v>2</v>
      </c>
      <c r="M13" s="806">
        <v>14</v>
      </c>
      <c r="N13" s="807">
        <v>41372</v>
      </c>
    </row>
    <row r="14" spans="1:14">
      <c r="A14" s="589" t="s">
        <v>1426</v>
      </c>
      <c r="B14" s="583">
        <v>54</v>
      </c>
      <c r="C14" s="243">
        <v>41358</v>
      </c>
      <c r="D14" s="243">
        <v>41358</v>
      </c>
      <c r="E14" s="584" t="s">
        <v>206</v>
      </c>
      <c r="F14" s="589" t="s">
        <v>1392</v>
      </c>
      <c r="G14" s="805" t="s">
        <v>1070</v>
      </c>
      <c r="H14" s="589">
        <v>319</v>
      </c>
      <c r="I14" s="583">
        <v>319</v>
      </c>
      <c r="J14" s="589"/>
      <c r="K14" s="637" t="s">
        <v>1071</v>
      </c>
      <c r="L14" s="806">
        <v>4</v>
      </c>
      <c r="M14" s="806">
        <v>28</v>
      </c>
      <c r="N14" s="807">
        <v>41372</v>
      </c>
    </row>
    <row r="15" spans="1:14">
      <c r="A15" s="589" t="s">
        <v>1427</v>
      </c>
      <c r="B15" s="583">
        <v>55</v>
      </c>
      <c r="C15" s="243">
        <v>41358</v>
      </c>
      <c r="D15" s="243">
        <v>41358</v>
      </c>
      <c r="E15" s="589" t="s">
        <v>185</v>
      </c>
      <c r="F15" s="589" t="s">
        <v>1392</v>
      </c>
      <c r="G15" s="589" t="s">
        <v>563</v>
      </c>
      <c r="H15" s="589">
        <v>133</v>
      </c>
      <c r="I15" s="583">
        <v>133</v>
      </c>
      <c r="J15" s="589"/>
      <c r="K15" s="589" t="s">
        <v>1071</v>
      </c>
      <c r="L15" s="806">
        <v>2</v>
      </c>
      <c r="M15" s="806">
        <v>14</v>
      </c>
      <c r="N15" s="807">
        <v>41360</v>
      </c>
    </row>
    <row r="16" spans="1:14">
      <c r="A16" s="589" t="s">
        <v>1427</v>
      </c>
      <c r="B16" s="583">
        <v>55</v>
      </c>
      <c r="C16" s="243">
        <v>41358</v>
      </c>
      <c r="D16" s="243">
        <v>41358</v>
      </c>
      <c r="E16" s="589" t="s">
        <v>245</v>
      </c>
      <c r="F16" s="589" t="s">
        <v>1392</v>
      </c>
      <c r="G16" s="589" t="s">
        <v>565</v>
      </c>
      <c r="H16" s="589">
        <v>46</v>
      </c>
      <c r="I16" s="808">
        <v>46</v>
      </c>
      <c r="J16" s="688"/>
      <c r="K16" s="637" t="s">
        <v>1071</v>
      </c>
      <c r="L16" s="809">
        <v>3</v>
      </c>
      <c r="M16" s="809">
        <v>21</v>
      </c>
      <c r="N16" s="807">
        <v>41375</v>
      </c>
    </row>
    <row r="17" spans="1:14">
      <c r="A17" s="589" t="s">
        <v>1427</v>
      </c>
      <c r="B17" s="583">
        <v>55</v>
      </c>
      <c r="C17" s="243">
        <v>41358</v>
      </c>
      <c r="D17" s="243">
        <v>41358</v>
      </c>
      <c r="E17" s="589" t="s">
        <v>179</v>
      </c>
      <c r="F17" s="589" t="s">
        <v>1392</v>
      </c>
      <c r="G17" s="805" t="s">
        <v>1000</v>
      </c>
      <c r="H17" s="589">
        <v>47</v>
      </c>
      <c r="I17" s="583">
        <v>47</v>
      </c>
      <c r="J17" s="589"/>
      <c r="K17" s="589" t="s">
        <v>1071</v>
      </c>
      <c r="L17" s="806">
        <v>2</v>
      </c>
      <c r="M17" s="806">
        <v>14</v>
      </c>
      <c r="N17" s="807">
        <v>41372</v>
      </c>
    </row>
    <row r="18" spans="1:14">
      <c r="A18" s="589" t="s">
        <v>1427</v>
      </c>
      <c r="B18" s="583">
        <v>55</v>
      </c>
      <c r="C18" s="243">
        <v>41358</v>
      </c>
      <c r="D18" s="243">
        <v>41358</v>
      </c>
      <c r="E18" s="584" t="s">
        <v>206</v>
      </c>
      <c r="F18" s="589" t="s">
        <v>1392</v>
      </c>
      <c r="G18" s="805" t="s">
        <v>1070</v>
      </c>
      <c r="H18" s="589">
        <v>318</v>
      </c>
      <c r="I18" s="583">
        <v>318</v>
      </c>
      <c r="J18" s="589"/>
      <c r="K18" s="637" t="s">
        <v>1071</v>
      </c>
      <c r="L18" s="806">
        <v>4</v>
      </c>
      <c r="M18" s="806">
        <v>28</v>
      </c>
      <c r="N18" s="807">
        <v>41372</v>
      </c>
    </row>
    <row r="20" spans="1:14">
      <c r="A20" s="804" t="s">
        <v>1464</v>
      </c>
      <c r="B20" s="583">
        <v>52</v>
      </c>
      <c r="C20" s="243">
        <v>41389</v>
      </c>
      <c r="D20" s="243">
        <v>41389</v>
      </c>
      <c r="E20" s="584" t="s">
        <v>206</v>
      </c>
      <c r="F20" s="589" t="s">
        <v>1392</v>
      </c>
      <c r="G20" s="805" t="s">
        <v>996</v>
      </c>
      <c r="H20" s="589">
        <v>419</v>
      </c>
      <c r="I20" s="583">
        <v>419</v>
      </c>
      <c r="J20" s="589"/>
      <c r="K20" s="637" t="s">
        <v>1071</v>
      </c>
      <c r="L20" s="806">
        <v>6</v>
      </c>
      <c r="M20" s="806">
        <v>42</v>
      </c>
      <c r="N20" s="807">
        <v>41401</v>
      </c>
    </row>
    <row r="21" spans="1:14">
      <c r="A21" s="688" t="s">
        <v>1464</v>
      </c>
      <c r="B21" s="583">
        <v>52</v>
      </c>
      <c r="C21" s="243">
        <v>41389</v>
      </c>
      <c r="D21" s="243">
        <v>41389</v>
      </c>
      <c r="E21" s="589" t="s">
        <v>185</v>
      </c>
      <c r="F21" s="589" t="s">
        <v>1392</v>
      </c>
      <c r="G21" s="589" t="s">
        <v>563</v>
      </c>
      <c r="H21" s="589">
        <v>224</v>
      </c>
      <c r="I21" s="583">
        <v>224</v>
      </c>
      <c r="J21" s="589"/>
      <c r="K21" s="589" t="s">
        <v>1071</v>
      </c>
      <c r="L21" s="806">
        <v>2</v>
      </c>
      <c r="M21" s="806">
        <v>14</v>
      </c>
      <c r="N21" s="807">
        <v>41395</v>
      </c>
    </row>
    <row r="22" spans="1:14">
      <c r="A22" s="688" t="s">
        <v>1464</v>
      </c>
      <c r="B22" s="583">
        <v>52</v>
      </c>
      <c r="C22" s="243">
        <v>41389</v>
      </c>
      <c r="D22" s="243">
        <v>41389</v>
      </c>
      <c r="E22" s="589" t="s">
        <v>245</v>
      </c>
      <c r="F22" s="589" t="s">
        <v>1392</v>
      </c>
      <c r="G22" s="589" t="s">
        <v>990</v>
      </c>
      <c r="H22" s="589">
        <v>25</v>
      </c>
      <c r="I22" s="808" t="s">
        <v>1460</v>
      </c>
      <c r="J22" s="688"/>
      <c r="K22" s="637" t="s">
        <v>1071</v>
      </c>
      <c r="L22" s="809">
        <v>3</v>
      </c>
      <c r="M22" s="809">
        <v>21</v>
      </c>
      <c r="N22" s="807">
        <v>41402</v>
      </c>
    </row>
    <row r="23" spans="1:14">
      <c r="A23" s="688" t="s">
        <v>1464</v>
      </c>
      <c r="B23" s="583">
        <v>52</v>
      </c>
      <c r="C23" s="243">
        <v>41389</v>
      </c>
      <c r="D23" s="243">
        <v>41389</v>
      </c>
      <c r="E23" s="589" t="s">
        <v>179</v>
      </c>
      <c r="F23" s="589" t="s">
        <v>1392</v>
      </c>
      <c r="G23" s="805" t="s">
        <v>1000</v>
      </c>
      <c r="H23" s="589">
        <v>19</v>
      </c>
      <c r="I23" s="583">
        <v>19</v>
      </c>
      <c r="J23" s="589"/>
      <c r="K23" s="589" t="s">
        <v>1071</v>
      </c>
      <c r="L23" s="806">
        <v>2</v>
      </c>
      <c r="M23" s="806">
        <v>14</v>
      </c>
      <c r="N23" s="807">
        <v>41401</v>
      </c>
    </row>
    <row r="24" spans="1:14">
      <c r="A24" s="804" t="s">
        <v>1465</v>
      </c>
      <c r="B24" s="583">
        <v>53</v>
      </c>
      <c r="C24" s="243">
        <v>41389</v>
      </c>
      <c r="D24" s="243">
        <v>41389</v>
      </c>
      <c r="E24" s="584" t="s">
        <v>206</v>
      </c>
      <c r="F24" s="589" t="s">
        <v>1392</v>
      </c>
      <c r="G24" s="805" t="s">
        <v>996</v>
      </c>
      <c r="H24" s="589">
        <v>407</v>
      </c>
      <c r="I24" s="583">
        <v>407</v>
      </c>
      <c r="J24" s="589"/>
      <c r="K24" s="637" t="s">
        <v>1071</v>
      </c>
      <c r="L24" s="806">
        <v>6</v>
      </c>
      <c r="M24" s="806">
        <v>42</v>
      </c>
      <c r="N24" s="807">
        <v>41401</v>
      </c>
    </row>
    <row r="25" spans="1:14">
      <c r="A25" s="688" t="s">
        <v>1465</v>
      </c>
      <c r="B25" s="583">
        <v>53</v>
      </c>
      <c r="C25" s="243">
        <v>41389</v>
      </c>
      <c r="D25" s="243">
        <v>41389</v>
      </c>
      <c r="E25" s="589" t="s">
        <v>185</v>
      </c>
      <c r="F25" s="589" t="s">
        <v>1392</v>
      </c>
      <c r="G25" s="589" t="s">
        <v>563</v>
      </c>
      <c r="H25" s="589">
        <v>162</v>
      </c>
      <c r="I25" s="583">
        <v>162</v>
      </c>
      <c r="J25" s="589"/>
      <c r="K25" s="589" t="s">
        <v>1071</v>
      </c>
      <c r="L25" s="806">
        <v>2</v>
      </c>
      <c r="M25" s="806">
        <v>14</v>
      </c>
      <c r="N25" s="807">
        <v>41395</v>
      </c>
    </row>
    <row r="26" spans="1:14">
      <c r="A26" s="688" t="s">
        <v>1465</v>
      </c>
      <c r="B26" s="583">
        <v>53</v>
      </c>
      <c r="C26" s="243">
        <v>41389</v>
      </c>
      <c r="D26" s="243">
        <v>41389</v>
      </c>
      <c r="E26" s="589" t="s">
        <v>245</v>
      </c>
      <c r="F26" s="589" t="s">
        <v>1392</v>
      </c>
      <c r="G26" s="589" t="s">
        <v>990</v>
      </c>
      <c r="H26" s="589">
        <v>14</v>
      </c>
      <c r="I26" s="808" t="s">
        <v>1466</v>
      </c>
      <c r="J26" s="589" t="s">
        <v>1419</v>
      </c>
      <c r="K26" s="637" t="s">
        <v>1071</v>
      </c>
      <c r="L26" s="809">
        <v>3</v>
      </c>
      <c r="M26" s="809">
        <v>21</v>
      </c>
      <c r="N26" s="807">
        <v>41402</v>
      </c>
    </row>
    <row r="27" spans="1:14">
      <c r="A27" s="688" t="s">
        <v>1465</v>
      </c>
      <c r="B27" s="583">
        <v>53</v>
      </c>
      <c r="C27" s="243">
        <v>41389</v>
      </c>
      <c r="D27" s="243">
        <v>41389</v>
      </c>
      <c r="E27" s="589" t="s">
        <v>179</v>
      </c>
      <c r="F27" s="589" t="s">
        <v>1392</v>
      </c>
      <c r="G27" s="805" t="s">
        <v>1000</v>
      </c>
      <c r="H27" s="589">
        <v>30</v>
      </c>
      <c r="I27" s="583">
        <v>30</v>
      </c>
      <c r="J27" s="589"/>
      <c r="K27" s="589" t="s">
        <v>1071</v>
      </c>
      <c r="L27" s="806">
        <v>2</v>
      </c>
      <c r="M27" s="806">
        <v>14</v>
      </c>
      <c r="N27" s="807">
        <v>41401</v>
      </c>
    </row>
    <row r="28" spans="1:14">
      <c r="A28" s="804" t="s">
        <v>1467</v>
      </c>
      <c r="B28" s="583">
        <v>54</v>
      </c>
      <c r="C28" s="243">
        <v>41389</v>
      </c>
      <c r="D28" s="243">
        <v>41389</v>
      </c>
      <c r="E28" s="584" t="s">
        <v>206</v>
      </c>
      <c r="F28" s="589" t="s">
        <v>1392</v>
      </c>
      <c r="G28" s="805" t="s">
        <v>996</v>
      </c>
      <c r="H28" s="589">
        <v>209</v>
      </c>
      <c r="I28" s="583">
        <v>209</v>
      </c>
      <c r="J28" s="589"/>
      <c r="K28" s="637" t="s">
        <v>1071</v>
      </c>
      <c r="L28" s="806">
        <v>6</v>
      </c>
      <c r="M28" s="806">
        <v>42</v>
      </c>
      <c r="N28" s="807">
        <v>41401</v>
      </c>
    </row>
    <row r="29" spans="1:14">
      <c r="A29" s="688" t="s">
        <v>1467</v>
      </c>
      <c r="B29" s="583">
        <v>54</v>
      </c>
      <c r="C29" s="243">
        <v>41389</v>
      </c>
      <c r="D29" s="243">
        <v>41389</v>
      </c>
      <c r="E29" s="589" t="s">
        <v>185</v>
      </c>
      <c r="F29" s="589" t="s">
        <v>1392</v>
      </c>
      <c r="G29" s="589" t="s">
        <v>563</v>
      </c>
      <c r="H29" s="589">
        <v>90</v>
      </c>
      <c r="I29" s="583">
        <v>90</v>
      </c>
      <c r="J29" s="589"/>
      <c r="K29" s="589" t="s">
        <v>1071</v>
      </c>
      <c r="L29" s="806">
        <v>2</v>
      </c>
      <c r="M29" s="806">
        <v>14</v>
      </c>
      <c r="N29" s="807">
        <v>41395</v>
      </c>
    </row>
    <row r="30" spans="1:14">
      <c r="A30" s="688" t="s">
        <v>1467</v>
      </c>
      <c r="B30" s="583">
        <v>54</v>
      </c>
      <c r="C30" s="243">
        <v>41389</v>
      </c>
      <c r="D30" s="243">
        <v>41389</v>
      </c>
      <c r="E30" s="589" t="s">
        <v>245</v>
      </c>
      <c r="F30" s="589" t="s">
        <v>1392</v>
      </c>
      <c r="G30" s="589" t="s">
        <v>990</v>
      </c>
      <c r="H30" s="589">
        <v>12</v>
      </c>
      <c r="I30" s="808" t="s">
        <v>1453</v>
      </c>
      <c r="J30" s="589" t="s">
        <v>1419</v>
      </c>
      <c r="K30" s="637" t="s">
        <v>1071</v>
      </c>
      <c r="L30" s="809">
        <v>3</v>
      </c>
      <c r="M30" s="809">
        <v>21</v>
      </c>
      <c r="N30" s="807">
        <v>41402</v>
      </c>
    </row>
    <row r="31" spans="1:14">
      <c r="A31" s="688" t="s">
        <v>1467</v>
      </c>
      <c r="B31" s="583">
        <v>54</v>
      </c>
      <c r="C31" s="243">
        <v>41389</v>
      </c>
      <c r="D31" s="243">
        <v>41389</v>
      </c>
      <c r="E31" s="589" t="s">
        <v>179</v>
      </c>
      <c r="F31" s="589" t="s">
        <v>1392</v>
      </c>
      <c r="G31" s="805" t="s">
        <v>1000</v>
      </c>
      <c r="H31" s="589">
        <v>26</v>
      </c>
      <c r="I31" s="583">
        <v>26</v>
      </c>
      <c r="J31" s="589"/>
      <c r="K31" s="589" t="s">
        <v>1071</v>
      </c>
      <c r="L31" s="806">
        <v>2</v>
      </c>
      <c r="M31" s="806">
        <v>14</v>
      </c>
      <c r="N31" s="807">
        <v>41401</v>
      </c>
    </row>
    <row r="32" spans="1:14">
      <c r="A32" s="804" t="s">
        <v>1468</v>
      </c>
      <c r="B32" s="583">
        <v>55</v>
      </c>
      <c r="C32" s="243">
        <v>41389</v>
      </c>
      <c r="D32" s="243">
        <v>41389</v>
      </c>
      <c r="E32" s="584" t="s">
        <v>206</v>
      </c>
      <c r="F32" s="589" t="s">
        <v>1392</v>
      </c>
      <c r="G32" s="805" t="s">
        <v>996</v>
      </c>
      <c r="H32" s="589">
        <v>387</v>
      </c>
      <c r="I32" s="583">
        <v>387</v>
      </c>
      <c r="J32" s="589"/>
      <c r="K32" s="637" t="s">
        <v>1071</v>
      </c>
      <c r="L32" s="806">
        <v>6</v>
      </c>
      <c r="M32" s="806">
        <v>42</v>
      </c>
      <c r="N32" s="807">
        <v>41401</v>
      </c>
    </row>
    <row r="33" spans="1:14">
      <c r="A33" s="688" t="s">
        <v>1468</v>
      </c>
      <c r="B33" s="583">
        <v>55</v>
      </c>
      <c r="C33" s="243">
        <v>41389</v>
      </c>
      <c r="D33" s="243">
        <v>41389</v>
      </c>
      <c r="E33" s="589" t="s">
        <v>185</v>
      </c>
      <c r="F33" s="589" t="s">
        <v>1392</v>
      </c>
      <c r="G33" s="589" t="s">
        <v>563</v>
      </c>
      <c r="H33" s="589">
        <v>223</v>
      </c>
      <c r="I33" s="583">
        <v>223</v>
      </c>
      <c r="J33" s="589"/>
      <c r="K33" s="589" t="s">
        <v>1071</v>
      </c>
      <c r="L33" s="806">
        <v>2</v>
      </c>
      <c r="M33" s="806">
        <v>14</v>
      </c>
      <c r="N33" s="807">
        <v>41395</v>
      </c>
    </row>
    <row r="34" spans="1:14">
      <c r="A34" s="688" t="s">
        <v>1468</v>
      </c>
      <c r="B34" s="583">
        <v>55</v>
      </c>
      <c r="C34" s="243">
        <v>41389</v>
      </c>
      <c r="D34" s="243">
        <v>41389</v>
      </c>
      <c r="E34" s="589" t="s">
        <v>245</v>
      </c>
      <c r="F34" s="589" t="s">
        <v>1392</v>
      </c>
      <c r="G34" s="589" t="s">
        <v>990</v>
      </c>
      <c r="H34" s="589">
        <v>18</v>
      </c>
      <c r="I34" s="808" t="s">
        <v>1417</v>
      </c>
      <c r="J34" s="589" t="s">
        <v>1419</v>
      </c>
      <c r="K34" s="637" t="s">
        <v>1071</v>
      </c>
      <c r="L34" s="809">
        <v>3</v>
      </c>
      <c r="M34" s="809">
        <v>21</v>
      </c>
      <c r="N34" s="807">
        <v>41402</v>
      </c>
    </row>
    <row r="35" spans="1:14">
      <c r="A35" s="688" t="s">
        <v>1468</v>
      </c>
      <c r="B35" s="583">
        <v>55</v>
      </c>
      <c r="C35" s="243">
        <v>41389</v>
      </c>
      <c r="D35" s="243">
        <v>41389</v>
      </c>
      <c r="E35" s="589" t="s">
        <v>179</v>
      </c>
      <c r="F35" s="589" t="s">
        <v>1392</v>
      </c>
      <c r="G35" s="805" t="s">
        <v>1000</v>
      </c>
      <c r="H35" s="589">
        <v>15</v>
      </c>
      <c r="I35" s="583">
        <v>15</v>
      </c>
      <c r="J35" s="589"/>
      <c r="K35" s="589" t="s">
        <v>1071</v>
      </c>
      <c r="L35" s="806">
        <v>2</v>
      </c>
      <c r="M35" s="806">
        <v>14</v>
      </c>
      <c r="N35" s="807">
        <v>41401</v>
      </c>
    </row>
    <row r="37" spans="1:14">
      <c r="A37" s="804" t="s">
        <v>1518</v>
      </c>
      <c r="B37" s="583">
        <v>52</v>
      </c>
      <c r="C37" s="243">
        <v>41414</v>
      </c>
      <c r="D37" s="243">
        <v>41414</v>
      </c>
      <c r="E37" s="584" t="s">
        <v>206</v>
      </c>
      <c r="F37" s="589" t="s">
        <v>1392</v>
      </c>
      <c r="G37" s="805" t="s">
        <v>996</v>
      </c>
      <c r="H37" s="589">
        <v>516</v>
      </c>
      <c r="I37" s="583">
        <v>516</v>
      </c>
      <c r="J37" s="589"/>
      <c r="K37" s="637" t="s">
        <v>1071</v>
      </c>
      <c r="L37" s="806">
        <v>6</v>
      </c>
      <c r="M37" s="806">
        <v>42</v>
      </c>
      <c r="N37" s="807">
        <v>41425</v>
      </c>
    </row>
    <row r="38" spans="1:14">
      <c r="A38" s="688" t="s">
        <v>1518</v>
      </c>
      <c r="B38" s="583">
        <v>52</v>
      </c>
      <c r="C38" s="243">
        <v>41414</v>
      </c>
      <c r="D38" s="243">
        <v>41414</v>
      </c>
      <c r="E38" s="589" t="s">
        <v>185</v>
      </c>
      <c r="F38" s="589" t="s">
        <v>1392</v>
      </c>
      <c r="G38" s="589" t="s">
        <v>1483</v>
      </c>
      <c r="H38" s="589">
        <v>84</v>
      </c>
      <c r="I38" s="583">
        <v>84</v>
      </c>
      <c r="J38" s="589"/>
      <c r="K38" s="589" t="s">
        <v>1071</v>
      </c>
      <c r="L38" s="806">
        <v>2</v>
      </c>
      <c r="M38" s="806">
        <v>8</v>
      </c>
      <c r="N38" s="807">
        <v>41416</v>
      </c>
    </row>
    <row r="39" spans="1:14">
      <c r="A39" s="688" t="s">
        <v>1518</v>
      </c>
      <c r="B39" s="583">
        <v>52</v>
      </c>
      <c r="C39" s="243">
        <v>41414</v>
      </c>
      <c r="D39" s="243">
        <v>41414</v>
      </c>
      <c r="E39" s="589" t="s">
        <v>245</v>
      </c>
      <c r="F39" s="589" t="s">
        <v>1392</v>
      </c>
      <c r="G39" s="589" t="s">
        <v>991</v>
      </c>
      <c r="H39" s="589">
        <v>31</v>
      </c>
      <c r="I39" s="808" t="s">
        <v>1519</v>
      </c>
      <c r="J39" s="589" t="s">
        <v>1419</v>
      </c>
      <c r="K39" s="637" t="s">
        <v>1071</v>
      </c>
      <c r="L39" s="809">
        <v>5</v>
      </c>
      <c r="M39" s="809">
        <v>35</v>
      </c>
      <c r="N39" s="807">
        <v>41415</v>
      </c>
    </row>
    <row r="40" spans="1:14">
      <c r="A40" s="688" t="s">
        <v>1518</v>
      </c>
      <c r="B40" s="583">
        <v>52</v>
      </c>
      <c r="C40" s="243">
        <v>41414</v>
      </c>
      <c r="D40" s="243">
        <v>41414</v>
      </c>
      <c r="E40" s="589" t="s">
        <v>179</v>
      </c>
      <c r="F40" s="589" t="s">
        <v>1392</v>
      </c>
      <c r="G40" s="805" t="s">
        <v>1000</v>
      </c>
      <c r="H40" s="589">
        <v>9</v>
      </c>
      <c r="I40" s="583">
        <v>9</v>
      </c>
      <c r="J40" s="589"/>
      <c r="K40" s="589" t="s">
        <v>1071</v>
      </c>
      <c r="L40" s="806">
        <v>2</v>
      </c>
      <c r="M40" s="806">
        <v>8</v>
      </c>
      <c r="N40" s="807">
        <v>41425</v>
      </c>
    </row>
    <row r="41" spans="1:14">
      <c r="A41" s="804" t="s">
        <v>1520</v>
      </c>
      <c r="B41" s="583">
        <v>53</v>
      </c>
      <c r="C41" s="243">
        <v>41414</v>
      </c>
      <c r="D41" s="243">
        <v>41414</v>
      </c>
      <c r="E41" s="584" t="s">
        <v>206</v>
      </c>
      <c r="F41" s="589" t="s">
        <v>1392</v>
      </c>
      <c r="G41" s="805" t="s">
        <v>996</v>
      </c>
      <c r="H41" s="589">
        <v>278</v>
      </c>
      <c r="I41" s="583">
        <v>278</v>
      </c>
      <c r="J41" s="589"/>
      <c r="K41" s="637" t="s">
        <v>1071</v>
      </c>
      <c r="L41" s="806">
        <v>6</v>
      </c>
      <c r="M41" s="806">
        <v>42</v>
      </c>
      <c r="N41" s="807">
        <v>41442</v>
      </c>
    </row>
    <row r="42" spans="1:14">
      <c r="A42" s="688" t="s">
        <v>1520</v>
      </c>
      <c r="B42" s="583">
        <v>53</v>
      </c>
      <c r="C42" s="243">
        <v>41414</v>
      </c>
      <c r="D42" s="243">
        <v>41414</v>
      </c>
      <c r="E42" s="589" t="s">
        <v>185</v>
      </c>
      <c r="F42" s="589" t="s">
        <v>1392</v>
      </c>
      <c r="G42" s="589" t="s">
        <v>1483</v>
      </c>
      <c r="H42" s="589">
        <v>30</v>
      </c>
      <c r="I42" s="583">
        <v>30</v>
      </c>
      <c r="J42" s="589"/>
      <c r="K42" s="589" t="s">
        <v>1071</v>
      </c>
      <c r="L42" s="806">
        <v>2</v>
      </c>
      <c r="M42" s="806">
        <v>8</v>
      </c>
      <c r="N42" s="807">
        <v>41416</v>
      </c>
    </row>
    <row r="43" spans="1:14">
      <c r="A43" s="688" t="s">
        <v>1520</v>
      </c>
      <c r="B43" s="583">
        <v>53</v>
      </c>
      <c r="C43" s="243">
        <v>41414</v>
      </c>
      <c r="D43" s="243">
        <v>41414</v>
      </c>
      <c r="E43" s="589" t="s">
        <v>245</v>
      </c>
      <c r="F43" s="589" t="s">
        <v>1392</v>
      </c>
      <c r="G43" s="589" t="s">
        <v>991</v>
      </c>
      <c r="H43" s="589">
        <v>34</v>
      </c>
      <c r="I43" s="808" t="s">
        <v>1521</v>
      </c>
      <c r="J43" s="589" t="s">
        <v>1419</v>
      </c>
      <c r="K43" s="637" t="s">
        <v>1071</v>
      </c>
      <c r="L43" s="809">
        <v>5</v>
      </c>
      <c r="M43" s="809">
        <v>35</v>
      </c>
      <c r="N43" s="807">
        <v>41415</v>
      </c>
    </row>
    <row r="44" spans="1:14">
      <c r="A44" s="688" t="s">
        <v>1520</v>
      </c>
      <c r="B44" s="583">
        <v>53</v>
      </c>
      <c r="C44" s="243">
        <v>41414</v>
      </c>
      <c r="D44" s="243">
        <v>41414</v>
      </c>
      <c r="E44" s="589" t="s">
        <v>179</v>
      </c>
      <c r="F44" s="589" t="s">
        <v>1392</v>
      </c>
      <c r="G44" s="805" t="s">
        <v>1000</v>
      </c>
      <c r="H44" s="589">
        <v>24</v>
      </c>
      <c r="I44" s="583">
        <v>24</v>
      </c>
      <c r="J44" s="589"/>
      <c r="K44" s="589" t="s">
        <v>1071</v>
      </c>
      <c r="L44" s="806">
        <v>2</v>
      </c>
      <c r="M44" s="806">
        <v>8</v>
      </c>
      <c r="N44" s="807">
        <v>41425</v>
      </c>
    </row>
    <row r="45" spans="1:14">
      <c r="A45" s="804" t="s">
        <v>1522</v>
      </c>
      <c r="B45" s="583">
        <v>54</v>
      </c>
      <c r="C45" s="243">
        <v>41414</v>
      </c>
      <c r="D45" s="243">
        <v>41414</v>
      </c>
      <c r="E45" s="584" t="s">
        <v>206</v>
      </c>
      <c r="F45" s="589" t="s">
        <v>1392</v>
      </c>
      <c r="G45" s="805" t="s">
        <v>996</v>
      </c>
      <c r="H45" s="589">
        <v>230</v>
      </c>
      <c r="I45" s="583">
        <v>230</v>
      </c>
      <c r="J45" s="589"/>
      <c r="K45" s="637" t="s">
        <v>1071</v>
      </c>
      <c r="L45" s="806">
        <v>6</v>
      </c>
      <c r="M45" s="806">
        <v>42</v>
      </c>
      <c r="N45" s="807">
        <v>41442</v>
      </c>
    </row>
    <row r="46" spans="1:14">
      <c r="A46" s="688" t="s">
        <v>1522</v>
      </c>
      <c r="B46" s="583">
        <v>54</v>
      </c>
      <c r="C46" s="243">
        <v>41414</v>
      </c>
      <c r="D46" s="243">
        <v>41414</v>
      </c>
      <c r="E46" s="589" t="s">
        <v>185</v>
      </c>
      <c r="F46" s="589" t="s">
        <v>1392</v>
      </c>
      <c r="G46" s="589" t="s">
        <v>1483</v>
      </c>
      <c r="H46" s="589">
        <v>39</v>
      </c>
      <c r="I46" s="583">
        <v>39</v>
      </c>
      <c r="J46" s="589"/>
      <c r="K46" s="589" t="s">
        <v>1071</v>
      </c>
      <c r="L46" s="806">
        <v>2</v>
      </c>
      <c r="M46" s="806">
        <v>8</v>
      </c>
      <c r="N46" s="807">
        <v>41416</v>
      </c>
    </row>
    <row r="47" spans="1:14">
      <c r="A47" s="688" t="s">
        <v>1522</v>
      </c>
      <c r="B47" s="583">
        <v>54</v>
      </c>
      <c r="C47" s="243">
        <v>41414</v>
      </c>
      <c r="D47" s="243">
        <v>41414</v>
      </c>
      <c r="E47" s="589" t="s">
        <v>245</v>
      </c>
      <c r="F47" s="589" t="s">
        <v>1392</v>
      </c>
      <c r="G47" s="589" t="s">
        <v>991</v>
      </c>
      <c r="H47" s="589">
        <v>28</v>
      </c>
      <c r="I47" s="808" t="s">
        <v>1409</v>
      </c>
      <c r="J47" s="589" t="s">
        <v>1419</v>
      </c>
      <c r="K47" s="637" t="s">
        <v>1071</v>
      </c>
      <c r="L47" s="809">
        <v>5</v>
      </c>
      <c r="M47" s="809">
        <v>35</v>
      </c>
      <c r="N47" s="807">
        <v>41415</v>
      </c>
    </row>
    <row r="48" spans="1:14">
      <c r="A48" s="688" t="s">
        <v>1522</v>
      </c>
      <c r="B48" s="583">
        <v>54</v>
      </c>
      <c r="C48" s="243">
        <v>41414</v>
      </c>
      <c r="D48" s="243">
        <v>41414</v>
      </c>
      <c r="E48" s="589" t="s">
        <v>179</v>
      </c>
      <c r="F48" s="589" t="s">
        <v>1392</v>
      </c>
      <c r="G48" s="805" t="s">
        <v>1000</v>
      </c>
      <c r="H48" s="589">
        <v>30</v>
      </c>
      <c r="I48" s="583">
        <v>30</v>
      </c>
      <c r="J48" s="589"/>
      <c r="K48" s="589" t="s">
        <v>1071</v>
      </c>
      <c r="L48" s="806">
        <v>2</v>
      </c>
      <c r="M48" s="806">
        <v>8</v>
      </c>
      <c r="N48" s="807">
        <v>41425</v>
      </c>
    </row>
    <row r="49" spans="1:14">
      <c r="A49" s="804" t="s">
        <v>1523</v>
      </c>
      <c r="B49" s="583">
        <v>55</v>
      </c>
      <c r="C49" s="243">
        <v>41414</v>
      </c>
      <c r="D49" s="243">
        <v>41414</v>
      </c>
      <c r="E49" s="584" t="s">
        <v>206</v>
      </c>
      <c r="F49" s="589" t="s">
        <v>1392</v>
      </c>
      <c r="G49" s="805" t="s">
        <v>996</v>
      </c>
      <c r="H49" s="589">
        <v>296</v>
      </c>
      <c r="I49" s="583">
        <v>296</v>
      </c>
      <c r="J49" s="589"/>
      <c r="K49" s="637" t="s">
        <v>1071</v>
      </c>
      <c r="L49" s="806">
        <v>6</v>
      </c>
      <c r="M49" s="806">
        <v>42</v>
      </c>
      <c r="N49" s="807">
        <v>41442</v>
      </c>
    </row>
    <row r="50" spans="1:14">
      <c r="A50" s="688" t="s">
        <v>1523</v>
      </c>
      <c r="B50" s="583">
        <v>55</v>
      </c>
      <c r="C50" s="243">
        <v>41414</v>
      </c>
      <c r="D50" s="243">
        <v>41414</v>
      </c>
      <c r="E50" s="589" t="s">
        <v>185</v>
      </c>
      <c r="F50" s="589" t="s">
        <v>1392</v>
      </c>
      <c r="G50" s="589" t="s">
        <v>1483</v>
      </c>
      <c r="H50" s="589">
        <v>3</v>
      </c>
      <c r="I50" s="583">
        <v>3</v>
      </c>
      <c r="J50" s="589" t="s">
        <v>1419</v>
      </c>
      <c r="K50" s="589" t="s">
        <v>1071</v>
      </c>
      <c r="L50" s="806">
        <v>2</v>
      </c>
      <c r="M50" s="806">
        <v>8</v>
      </c>
      <c r="N50" s="807">
        <v>41416</v>
      </c>
    </row>
    <row r="51" spans="1:14">
      <c r="A51" s="688" t="s">
        <v>1523</v>
      </c>
      <c r="B51" s="583">
        <v>55</v>
      </c>
      <c r="C51" s="243">
        <v>41414</v>
      </c>
      <c r="D51" s="243">
        <v>41414</v>
      </c>
      <c r="E51" s="589" t="s">
        <v>245</v>
      </c>
      <c r="F51" s="589" t="s">
        <v>1392</v>
      </c>
      <c r="G51" s="589" t="s">
        <v>991</v>
      </c>
      <c r="H51" s="589">
        <v>24</v>
      </c>
      <c r="I51" s="808" t="s">
        <v>1448</v>
      </c>
      <c r="J51" s="589" t="s">
        <v>1419</v>
      </c>
      <c r="K51" s="637" t="s">
        <v>1071</v>
      </c>
      <c r="L51" s="809">
        <v>5</v>
      </c>
      <c r="M51" s="809">
        <v>35</v>
      </c>
      <c r="N51" s="807">
        <v>41415</v>
      </c>
    </row>
    <row r="52" spans="1:14">
      <c r="A52" s="688" t="s">
        <v>1523</v>
      </c>
      <c r="B52" s="583">
        <v>55</v>
      </c>
      <c r="C52" s="243">
        <v>41414</v>
      </c>
      <c r="D52" s="243">
        <v>41414</v>
      </c>
      <c r="E52" s="589" t="s">
        <v>179</v>
      </c>
      <c r="F52" s="589" t="s">
        <v>1392</v>
      </c>
      <c r="G52" s="805" t="s">
        <v>1000</v>
      </c>
      <c r="H52" s="589">
        <v>13</v>
      </c>
      <c r="I52" s="583">
        <v>13</v>
      </c>
      <c r="J52" s="589"/>
      <c r="K52" s="589" t="s">
        <v>1071</v>
      </c>
      <c r="L52" s="806">
        <v>2</v>
      </c>
      <c r="M52" s="806">
        <v>8</v>
      </c>
      <c r="N52" s="807">
        <v>41425</v>
      </c>
    </row>
    <row r="54" spans="1:14">
      <c r="A54" s="804" t="s">
        <v>1561</v>
      </c>
      <c r="B54" s="583">
        <v>52</v>
      </c>
      <c r="C54" s="243">
        <v>41442</v>
      </c>
      <c r="D54" s="243">
        <v>41442</v>
      </c>
      <c r="E54" s="584" t="s">
        <v>206</v>
      </c>
      <c r="F54" s="589" t="s">
        <v>1392</v>
      </c>
      <c r="G54" s="805" t="s">
        <v>996</v>
      </c>
      <c r="H54" s="589">
        <v>338</v>
      </c>
      <c r="I54" s="583">
        <v>338</v>
      </c>
      <c r="J54" s="589"/>
      <c r="K54" s="637" t="s">
        <v>1071</v>
      </c>
      <c r="L54" s="806">
        <v>6</v>
      </c>
      <c r="M54" s="806">
        <v>42</v>
      </c>
      <c r="N54" s="807">
        <v>41445</v>
      </c>
    </row>
    <row r="55" spans="1:14">
      <c r="A55" s="688" t="s">
        <v>1561</v>
      </c>
      <c r="B55" s="583">
        <v>52</v>
      </c>
      <c r="C55" s="243">
        <v>41442</v>
      </c>
      <c r="D55" s="243">
        <v>41442</v>
      </c>
      <c r="E55" s="589" t="s">
        <v>185</v>
      </c>
      <c r="F55" s="589" t="s">
        <v>1392</v>
      </c>
      <c r="G55" s="589" t="s">
        <v>1483</v>
      </c>
      <c r="H55" s="589">
        <v>122</v>
      </c>
      <c r="I55" s="583">
        <v>122</v>
      </c>
      <c r="J55" s="589"/>
      <c r="K55" s="589" t="s">
        <v>1071</v>
      </c>
      <c r="L55" s="806">
        <v>2</v>
      </c>
      <c r="M55" s="806">
        <v>8</v>
      </c>
      <c r="N55" s="807">
        <v>41444</v>
      </c>
    </row>
    <row r="56" spans="1:14">
      <c r="A56" s="688" t="s">
        <v>1561</v>
      </c>
      <c r="B56" s="583">
        <v>52</v>
      </c>
      <c r="C56" s="243">
        <v>41442</v>
      </c>
      <c r="D56" s="243">
        <v>41442</v>
      </c>
      <c r="E56" s="589" t="s">
        <v>245</v>
      </c>
      <c r="F56" s="589" t="s">
        <v>1392</v>
      </c>
      <c r="G56" s="589" t="s">
        <v>991</v>
      </c>
      <c r="H56" s="589">
        <v>35</v>
      </c>
      <c r="I56" s="808" t="s">
        <v>1562</v>
      </c>
      <c r="J56" s="589" t="s">
        <v>1419</v>
      </c>
      <c r="K56" s="637" t="s">
        <v>1071</v>
      </c>
      <c r="L56" s="809">
        <v>5</v>
      </c>
      <c r="M56" s="809">
        <v>35</v>
      </c>
      <c r="N56" s="807">
        <v>41446</v>
      </c>
    </row>
    <row r="57" spans="1:14">
      <c r="A57" s="688" t="s">
        <v>1561</v>
      </c>
      <c r="B57" s="583">
        <v>52</v>
      </c>
      <c r="C57" s="243">
        <v>41442</v>
      </c>
      <c r="D57" s="243">
        <v>41442</v>
      </c>
      <c r="E57" s="589" t="s">
        <v>179</v>
      </c>
      <c r="F57" s="589" t="s">
        <v>1392</v>
      </c>
      <c r="G57" s="805" t="s">
        <v>1000</v>
      </c>
      <c r="H57" s="589">
        <v>35</v>
      </c>
      <c r="I57" s="583">
        <v>35</v>
      </c>
      <c r="J57" s="589"/>
      <c r="K57" s="589" t="s">
        <v>1071</v>
      </c>
      <c r="L57" s="806">
        <v>2</v>
      </c>
      <c r="M57" s="806">
        <v>8</v>
      </c>
      <c r="N57" s="807">
        <v>41445</v>
      </c>
    </row>
    <row r="58" spans="1:14">
      <c r="A58" s="804" t="s">
        <v>1563</v>
      </c>
      <c r="B58" s="583">
        <v>53</v>
      </c>
      <c r="C58" s="243">
        <v>41442</v>
      </c>
      <c r="D58" s="243">
        <v>41442</v>
      </c>
      <c r="E58" s="584" t="s">
        <v>206</v>
      </c>
      <c r="F58" s="589" t="s">
        <v>1392</v>
      </c>
      <c r="G58" s="805" t="s">
        <v>996</v>
      </c>
      <c r="H58" s="589">
        <v>187</v>
      </c>
      <c r="I58" s="583">
        <v>187</v>
      </c>
      <c r="J58" s="589"/>
      <c r="K58" s="637" t="s">
        <v>1071</v>
      </c>
      <c r="L58" s="806">
        <v>6</v>
      </c>
      <c r="M58" s="806">
        <v>42</v>
      </c>
      <c r="N58" s="807">
        <v>41445</v>
      </c>
    </row>
    <row r="59" spans="1:14">
      <c r="A59" s="688" t="s">
        <v>1563</v>
      </c>
      <c r="B59" s="583">
        <v>53</v>
      </c>
      <c r="C59" s="243">
        <v>41442</v>
      </c>
      <c r="D59" s="243">
        <v>41442</v>
      </c>
      <c r="E59" s="589" t="s">
        <v>185</v>
      </c>
      <c r="F59" s="589" t="s">
        <v>1392</v>
      </c>
      <c r="G59" s="589" t="s">
        <v>1483</v>
      </c>
      <c r="H59" s="589">
        <v>35</v>
      </c>
      <c r="I59" s="583">
        <v>35</v>
      </c>
      <c r="J59" s="589"/>
      <c r="K59" s="589" t="s">
        <v>1071</v>
      </c>
      <c r="L59" s="806">
        <v>2</v>
      </c>
      <c r="M59" s="806">
        <v>8</v>
      </c>
      <c r="N59" s="807">
        <v>41444</v>
      </c>
    </row>
    <row r="60" spans="1:14">
      <c r="A60" s="688" t="s">
        <v>1563</v>
      </c>
      <c r="B60" s="583">
        <v>53</v>
      </c>
      <c r="C60" s="243">
        <v>41442</v>
      </c>
      <c r="D60" s="243">
        <v>41442</v>
      </c>
      <c r="E60" s="589" t="s">
        <v>245</v>
      </c>
      <c r="F60" s="589" t="s">
        <v>1392</v>
      </c>
      <c r="G60" s="589" t="s">
        <v>991</v>
      </c>
      <c r="H60" s="589">
        <v>28</v>
      </c>
      <c r="I60" s="808" t="s">
        <v>1409</v>
      </c>
      <c r="J60" s="589" t="s">
        <v>1419</v>
      </c>
      <c r="K60" s="637" t="s">
        <v>1071</v>
      </c>
      <c r="L60" s="809">
        <v>5</v>
      </c>
      <c r="M60" s="809">
        <v>35</v>
      </c>
      <c r="N60" s="807">
        <v>41446</v>
      </c>
    </row>
    <row r="61" spans="1:14">
      <c r="A61" s="688" t="s">
        <v>1563</v>
      </c>
      <c r="B61" s="583">
        <v>53</v>
      </c>
      <c r="C61" s="243">
        <v>41442</v>
      </c>
      <c r="D61" s="243">
        <v>41442</v>
      </c>
      <c r="E61" s="589" t="s">
        <v>179</v>
      </c>
      <c r="F61" s="589" t="s">
        <v>1392</v>
      </c>
      <c r="G61" s="805" t="s">
        <v>1000</v>
      </c>
      <c r="H61" s="589">
        <v>10</v>
      </c>
      <c r="I61" s="583">
        <v>10</v>
      </c>
      <c r="J61" s="589"/>
      <c r="K61" s="589" t="s">
        <v>1071</v>
      </c>
      <c r="L61" s="806">
        <v>2</v>
      </c>
      <c r="M61" s="806">
        <v>8</v>
      </c>
      <c r="N61" s="807">
        <v>41445</v>
      </c>
    </row>
    <row r="62" spans="1:14">
      <c r="A62" s="804" t="s">
        <v>1564</v>
      </c>
      <c r="B62" s="583">
        <v>54</v>
      </c>
      <c r="C62" s="243">
        <v>41442</v>
      </c>
      <c r="D62" s="243">
        <v>41442</v>
      </c>
      <c r="E62" s="584" t="s">
        <v>206</v>
      </c>
      <c r="F62" s="589" t="s">
        <v>1392</v>
      </c>
      <c r="G62" s="805" t="s">
        <v>996</v>
      </c>
      <c r="H62" s="589">
        <v>341</v>
      </c>
      <c r="I62" s="583">
        <v>341</v>
      </c>
      <c r="J62" s="589"/>
      <c r="K62" s="637" t="s">
        <v>1071</v>
      </c>
      <c r="L62" s="806">
        <v>6</v>
      </c>
      <c r="M62" s="806">
        <v>42</v>
      </c>
      <c r="N62" s="807">
        <v>41445</v>
      </c>
    </row>
    <row r="63" spans="1:14">
      <c r="A63" s="688" t="s">
        <v>1564</v>
      </c>
      <c r="B63" s="583">
        <v>54</v>
      </c>
      <c r="C63" s="243">
        <v>41442</v>
      </c>
      <c r="D63" s="243">
        <v>41442</v>
      </c>
      <c r="E63" s="589" t="s">
        <v>185</v>
      </c>
      <c r="F63" s="589" t="s">
        <v>1392</v>
      </c>
      <c r="G63" s="589" t="s">
        <v>1483</v>
      </c>
      <c r="H63" s="589">
        <v>109</v>
      </c>
      <c r="I63" s="583">
        <v>109</v>
      </c>
      <c r="J63" s="589"/>
      <c r="K63" s="589" t="s">
        <v>1071</v>
      </c>
      <c r="L63" s="806">
        <v>2</v>
      </c>
      <c r="M63" s="806">
        <v>8</v>
      </c>
      <c r="N63" s="807">
        <v>41444</v>
      </c>
    </row>
    <row r="64" spans="1:14">
      <c r="A64" s="688" t="s">
        <v>1564</v>
      </c>
      <c r="B64" s="583">
        <v>54</v>
      </c>
      <c r="C64" s="243">
        <v>41442</v>
      </c>
      <c r="D64" s="243">
        <v>41442</v>
      </c>
      <c r="E64" s="589" t="s">
        <v>245</v>
      </c>
      <c r="F64" s="589" t="s">
        <v>1392</v>
      </c>
      <c r="G64" s="589" t="s">
        <v>991</v>
      </c>
      <c r="H64" s="589">
        <v>35</v>
      </c>
      <c r="I64" s="808" t="s">
        <v>1562</v>
      </c>
      <c r="J64" s="589" t="s">
        <v>1419</v>
      </c>
      <c r="K64" s="637" t="s">
        <v>1071</v>
      </c>
      <c r="L64" s="809">
        <v>5</v>
      </c>
      <c r="M64" s="809">
        <v>35</v>
      </c>
      <c r="N64" s="807">
        <v>41446</v>
      </c>
    </row>
    <row r="65" spans="1:14">
      <c r="A65" s="688" t="s">
        <v>1564</v>
      </c>
      <c r="B65" s="583">
        <v>54</v>
      </c>
      <c r="C65" s="243">
        <v>41442</v>
      </c>
      <c r="D65" s="243">
        <v>41442</v>
      </c>
      <c r="E65" s="589" t="s">
        <v>179</v>
      </c>
      <c r="F65" s="589" t="s">
        <v>1392</v>
      </c>
      <c r="G65" s="805" t="s">
        <v>1000</v>
      </c>
      <c r="H65" s="589">
        <v>32</v>
      </c>
      <c r="I65" s="583">
        <v>32</v>
      </c>
      <c r="J65" s="589"/>
      <c r="K65" s="589" t="s">
        <v>1071</v>
      </c>
      <c r="L65" s="806">
        <v>2</v>
      </c>
      <c r="M65" s="806">
        <v>8</v>
      </c>
      <c r="N65" s="807">
        <v>41445</v>
      </c>
    </row>
    <row r="66" spans="1:14">
      <c r="A66" s="804" t="s">
        <v>1565</v>
      </c>
      <c r="B66" s="583">
        <v>55</v>
      </c>
      <c r="C66" s="243">
        <v>41442</v>
      </c>
      <c r="D66" s="243">
        <v>41442</v>
      </c>
      <c r="E66" s="584" t="s">
        <v>206</v>
      </c>
      <c r="F66" s="589" t="s">
        <v>1392</v>
      </c>
      <c r="G66" s="805" t="s">
        <v>996</v>
      </c>
      <c r="H66" s="589">
        <v>217</v>
      </c>
      <c r="I66" s="583">
        <v>217</v>
      </c>
      <c r="J66" s="589"/>
      <c r="K66" s="637" t="s">
        <v>1071</v>
      </c>
      <c r="L66" s="806">
        <v>6</v>
      </c>
      <c r="M66" s="806">
        <v>42</v>
      </c>
      <c r="N66" s="807">
        <v>41445</v>
      </c>
    </row>
    <row r="67" spans="1:14">
      <c r="A67" s="688" t="s">
        <v>1565</v>
      </c>
      <c r="B67" s="583">
        <v>55</v>
      </c>
      <c r="C67" s="243">
        <v>41442</v>
      </c>
      <c r="D67" s="243">
        <v>41442</v>
      </c>
      <c r="E67" s="589" t="s">
        <v>185</v>
      </c>
      <c r="F67" s="589" t="s">
        <v>1392</v>
      </c>
      <c r="G67" s="589" t="s">
        <v>1483</v>
      </c>
      <c r="H67" s="589"/>
      <c r="I67" s="583"/>
      <c r="J67" s="589" t="s">
        <v>1395</v>
      </c>
      <c r="K67" s="589" t="s">
        <v>1071</v>
      </c>
      <c r="L67" s="806">
        <v>2</v>
      </c>
      <c r="M67" s="806">
        <v>8</v>
      </c>
      <c r="N67" s="807">
        <v>41444</v>
      </c>
    </row>
    <row r="68" spans="1:14">
      <c r="A68" s="688" t="s">
        <v>1565</v>
      </c>
      <c r="B68" s="583">
        <v>55</v>
      </c>
      <c r="C68" s="243">
        <v>41442</v>
      </c>
      <c r="D68" s="243">
        <v>41442</v>
      </c>
      <c r="E68" s="589" t="s">
        <v>245</v>
      </c>
      <c r="F68" s="589" t="s">
        <v>1392</v>
      </c>
      <c r="G68" s="589" t="s">
        <v>991</v>
      </c>
      <c r="H68" s="589">
        <v>28</v>
      </c>
      <c r="I68" s="808" t="s">
        <v>1409</v>
      </c>
      <c r="J68" s="589" t="s">
        <v>1419</v>
      </c>
      <c r="K68" s="637" t="s">
        <v>1071</v>
      </c>
      <c r="L68" s="809">
        <v>5</v>
      </c>
      <c r="M68" s="809">
        <v>35</v>
      </c>
      <c r="N68" s="807">
        <v>41446</v>
      </c>
    </row>
    <row r="69" spans="1:14">
      <c r="A69" s="688" t="s">
        <v>1565</v>
      </c>
      <c r="B69" s="583">
        <v>55</v>
      </c>
      <c r="C69" s="243">
        <v>41442</v>
      </c>
      <c r="D69" s="243">
        <v>41442</v>
      </c>
      <c r="E69" s="589" t="s">
        <v>179</v>
      </c>
      <c r="F69" s="589" t="s">
        <v>1392</v>
      </c>
      <c r="G69" s="805" t="s">
        <v>1000</v>
      </c>
      <c r="H69" s="589">
        <v>8</v>
      </c>
      <c r="I69" s="583">
        <v>8</v>
      </c>
      <c r="J69" s="589" t="s">
        <v>1419</v>
      </c>
      <c r="K69" s="589" t="s">
        <v>1071</v>
      </c>
      <c r="L69" s="806">
        <v>2</v>
      </c>
      <c r="M69" s="806">
        <v>8</v>
      </c>
      <c r="N69" s="807">
        <v>41445</v>
      </c>
    </row>
    <row r="71" spans="1:14">
      <c r="A71" s="804" t="s">
        <v>1577</v>
      </c>
      <c r="B71" s="583">
        <v>52</v>
      </c>
      <c r="C71" s="243">
        <v>41477</v>
      </c>
      <c r="D71" s="243">
        <v>41477</v>
      </c>
      <c r="E71" s="584" t="s">
        <v>206</v>
      </c>
      <c r="F71" s="589" t="s">
        <v>1392</v>
      </c>
      <c r="G71" s="805" t="s">
        <v>996</v>
      </c>
      <c r="H71" s="589">
        <v>360</v>
      </c>
      <c r="I71" s="583">
        <v>360</v>
      </c>
      <c r="J71" s="589"/>
      <c r="K71" s="637" t="s">
        <v>1071</v>
      </c>
      <c r="L71" s="806">
        <v>6</v>
      </c>
      <c r="M71" s="806">
        <v>42</v>
      </c>
      <c r="N71" s="807">
        <v>41487</v>
      </c>
    </row>
    <row r="72" spans="1:14">
      <c r="A72" s="688" t="s">
        <v>1577</v>
      </c>
      <c r="B72" s="583">
        <v>52</v>
      </c>
      <c r="C72" s="243">
        <v>41477</v>
      </c>
      <c r="D72" s="243">
        <v>41477</v>
      </c>
      <c r="E72" s="589" t="s">
        <v>185</v>
      </c>
      <c r="F72" s="589" t="s">
        <v>1392</v>
      </c>
      <c r="G72" s="589" t="s">
        <v>1483</v>
      </c>
      <c r="H72" s="589">
        <v>257</v>
      </c>
      <c r="I72" s="583">
        <v>257</v>
      </c>
      <c r="J72" s="589"/>
      <c r="K72" s="589" t="s">
        <v>1071</v>
      </c>
      <c r="L72" s="806">
        <v>2</v>
      </c>
      <c r="M72" s="806">
        <v>8</v>
      </c>
      <c r="N72" s="807">
        <v>41478</v>
      </c>
    </row>
    <row r="73" spans="1:14">
      <c r="A73" s="688" t="s">
        <v>1577</v>
      </c>
      <c r="B73" s="583">
        <v>52</v>
      </c>
      <c r="C73" s="243">
        <v>41477</v>
      </c>
      <c r="D73" s="243">
        <v>41477</v>
      </c>
      <c r="E73" s="589" t="s">
        <v>245</v>
      </c>
      <c r="F73" s="589" t="s">
        <v>1392</v>
      </c>
      <c r="G73" s="589" t="s">
        <v>991</v>
      </c>
      <c r="H73" s="589">
        <v>24</v>
      </c>
      <c r="I73" s="808" t="s">
        <v>1448</v>
      </c>
      <c r="J73" s="589" t="s">
        <v>1419</v>
      </c>
      <c r="K73" s="637" t="s">
        <v>1071</v>
      </c>
      <c r="L73" s="809">
        <v>5</v>
      </c>
      <c r="M73" s="809">
        <v>35</v>
      </c>
      <c r="N73" s="807">
        <v>41485</v>
      </c>
    </row>
    <row r="74" spans="1:14">
      <c r="A74" s="688" t="s">
        <v>1577</v>
      </c>
      <c r="B74" s="583">
        <v>52</v>
      </c>
      <c r="C74" s="243">
        <v>41477</v>
      </c>
      <c r="D74" s="243">
        <v>41477</v>
      </c>
      <c r="E74" s="589" t="s">
        <v>179</v>
      </c>
      <c r="F74" s="589" t="s">
        <v>1392</v>
      </c>
      <c r="G74" s="805" t="s">
        <v>1000</v>
      </c>
      <c r="H74" s="589">
        <v>6</v>
      </c>
      <c r="I74" s="583">
        <v>6</v>
      </c>
      <c r="J74" s="589" t="s">
        <v>1419</v>
      </c>
      <c r="K74" s="589" t="s">
        <v>1071</v>
      </c>
      <c r="L74" s="806">
        <v>2</v>
      </c>
      <c r="M74" s="806">
        <v>8</v>
      </c>
      <c r="N74" s="807">
        <v>41487</v>
      </c>
    </row>
    <row r="75" spans="1:14">
      <c r="A75" s="804" t="s">
        <v>1578</v>
      </c>
      <c r="B75" s="583">
        <v>53</v>
      </c>
      <c r="C75" s="243">
        <v>41477</v>
      </c>
      <c r="D75" s="243">
        <v>41477</v>
      </c>
      <c r="E75" s="584" t="s">
        <v>206</v>
      </c>
      <c r="F75" s="589" t="s">
        <v>1392</v>
      </c>
      <c r="G75" s="805" t="s">
        <v>996</v>
      </c>
      <c r="H75" s="589">
        <v>277</v>
      </c>
      <c r="I75" s="583">
        <v>277</v>
      </c>
      <c r="J75" s="589"/>
      <c r="K75" s="637" t="s">
        <v>1071</v>
      </c>
      <c r="L75" s="806">
        <v>6</v>
      </c>
      <c r="M75" s="806">
        <v>42</v>
      </c>
      <c r="N75" s="807">
        <v>41487</v>
      </c>
    </row>
    <row r="76" spans="1:14">
      <c r="A76" s="688" t="s">
        <v>1578</v>
      </c>
      <c r="B76" s="583">
        <v>53</v>
      </c>
      <c r="C76" s="243">
        <v>41477</v>
      </c>
      <c r="D76" s="243">
        <v>41477</v>
      </c>
      <c r="E76" s="589" t="s">
        <v>185</v>
      </c>
      <c r="F76" s="589" t="s">
        <v>1392</v>
      </c>
      <c r="G76" s="589" t="s">
        <v>1483</v>
      </c>
      <c r="H76" s="589">
        <v>83</v>
      </c>
      <c r="I76" s="583">
        <v>83</v>
      </c>
      <c r="J76" s="589"/>
      <c r="K76" s="589" t="s">
        <v>1071</v>
      </c>
      <c r="L76" s="806">
        <v>2</v>
      </c>
      <c r="M76" s="806">
        <v>8</v>
      </c>
      <c r="N76" s="807">
        <v>41478</v>
      </c>
    </row>
    <row r="77" spans="1:14">
      <c r="A77" s="688" t="s">
        <v>1578</v>
      </c>
      <c r="B77" s="583">
        <v>53</v>
      </c>
      <c r="C77" s="243">
        <v>41477</v>
      </c>
      <c r="D77" s="243">
        <v>41477</v>
      </c>
      <c r="E77" s="589" t="s">
        <v>245</v>
      </c>
      <c r="F77" s="589" t="s">
        <v>1392</v>
      </c>
      <c r="G77" s="589" t="s">
        <v>991</v>
      </c>
      <c r="H77" s="589">
        <v>25</v>
      </c>
      <c r="I77" s="808" t="s">
        <v>1460</v>
      </c>
      <c r="J77" s="589" t="s">
        <v>1419</v>
      </c>
      <c r="K77" s="637" t="s">
        <v>1071</v>
      </c>
      <c r="L77" s="809">
        <v>5</v>
      </c>
      <c r="M77" s="809">
        <v>35</v>
      </c>
      <c r="N77" s="807">
        <v>41485</v>
      </c>
    </row>
    <row r="78" spans="1:14">
      <c r="A78" s="688" t="s">
        <v>1578</v>
      </c>
      <c r="B78" s="583">
        <v>53</v>
      </c>
      <c r="C78" s="243">
        <v>41477</v>
      </c>
      <c r="D78" s="243">
        <v>41477</v>
      </c>
      <c r="E78" s="589" t="s">
        <v>179</v>
      </c>
      <c r="F78" s="589" t="s">
        <v>1392</v>
      </c>
      <c r="G78" s="805" t="s">
        <v>1000</v>
      </c>
      <c r="H78" s="589"/>
      <c r="I78" s="583"/>
      <c r="J78" s="589" t="s">
        <v>1395</v>
      </c>
      <c r="K78" s="589" t="s">
        <v>1071</v>
      </c>
      <c r="L78" s="806">
        <v>2</v>
      </c>
      <c r="M78" s="806">
        <v>8</v>
      </c>
      <c r="N78" s="807">
        <v>41487</v>
      </c>
    </row>
    <row r="79" spans="1:14">
      <c r="A79" s="804" t="s">
        <v>1579</v>
      </c>
      <c r="B79" s="583">
        <v>54</v>
      </c>
      <c r="C79" s="243">
        <v>41477</v>
      </c>
      <c r="D79" s="243">
        <v>41477</v>
      </c>
      <c r="E79" s="584" t="s">
        <v>206</v>
      </c>
      <c r="F79" s="589" t="s">
        <v>1392</v>
      </c>
      <c r="G79" s="805" t="s">
        <v>996</v>
      </c>
      <c r="H79" s="589">
        <v>199</v>
      </c>
      <c r="I79" s="583">
        <v>199</v>
      </c>
      <c r="J79" s="589"/>
      <c r="K79" s="637" t="s">
        <v>1071</v>
      </c>
      <c r="L79" s="806">
        <v>6</v>
      </c>
      <c r="M79" s="806">
        <v>42</v>
      </c>
      <c r="N79" s="807">
        <v>41487</v>
      </c>
    </row>
    <row r="80" spans="1:14">
      <c r="A80" s="688" t="s">
        <v>1579</v>
      </c>
      <c r="B80" s="583">
        <v>54</v>
      </c>
      <c r="C80" s="243">
        <v>41477</v>
      </c>
      <c r="D80" s="243">
        <v>41477</v>
      </c>
      <c r="E80" s="589" t="s">
        <v>185</v>
      </c>
      <c r="F80" s="589" t="s">
        <v>1392</v>
      </c>
      <c r="G80" s="589" t="s">
        <v>1483</v>
      </c>
      <c r="H80" s="589">
        <v>41</v>
      </c>
      <c r="I80" s="583">
        <v>41</v>
      </c>
      <c r="J80" s="589"/>
      <c r="K80" s="589" t="s">
        <v>1071</v>
      </c>
      <c r="L80" s="806">
        <v>2</v>
      </c>
      <c r="M80" s="806">
        <v>8</v>
      </c>
      <c r="N80" s="807">
        <v>41478</v>
      </c>
    </row>
    <row r="81" spans="1:14">
      <c r="A81" s="688" t="s">
        <v>1579</v>
      </c>
      <c r="B81" s="583">
        <v>54</v>
      </c>
      <c r="C81" s="243">
        <v>41477</v>
      </c>
      <c r="D81" s="243">
        <v>41477</v>
      </c>
      <c r="E81" s="589" t="s">
        <v>245</v>
      </c>
      <c r="F81" s="589" t="s">
        <v>1392</v>
      </c>
      <c r="G81" s="589" t="s">
        <v>991</v>
      </c>
      <c r="H81" s="589">
        <v>29</v>
      </c>
      <c r="I81" s="808" t="s">
        <v>1509</v>
      </c>
      <c r="J81" s="589" t="s">
        <v>1419</v>
      </c>
      <c r="K81" s="637" t="s">
        <v>1071</v>
      </c>
      <c r="L81" s="809">
        <v>5</v>
      </c>
      <c r="M81" s="809">
        <v>35</v>
      </c>
      <c r="N81" s="807">
        <v>41485</v>
      </c>
    </row>
    <row r="82" spans="1:14">
      <c r="A82" s="688" t="s">
        <v>1579</v>
      </c>
      <c r="B82" s="583">
        <v>54</v>
      </c>
      <c r="C82" s="243">
        <v>41477</v>
      </c>
      <c r="D82" s="243">
        <v>41477</v>
      </c>
      <c r="E82" s="589" t="s">
        <v>179</v>
      </c>
      <c r="F82" s="589" t="s">
        <v>1392</v>
      </c>
      <c r="G82" s="805" t="s">
        <v>1000</v>
      </c>
      <c r="H82" s="589">
        <v>45</v>
      </c>
      <c r="I82" s="583">
        <v>45</v>
      </c>
      <c r="J82" s="589"/>
      <c r="K82" s="589" t="s">
        <v>1071</v>
      </c>
      <c r="L82" s="806">
        <v>2</v>
      </c>
      <c r="M82" s="806">
        <v>8</v>
      </c>
      <c r="N82" s="807">
        <v>41487</v>
      </c>
    </row>
    <row r="83" spans="1:14">
      <c r="A83" s="804" t="s">
        <v>1580</v>
      </c>
      <c r="B83" s="583">
        <v>55</v>
      </c>
      <c r="C83" s="243">
        <v>41477</v>
      </c>
      <c r="D83" s="243">
        <v>41477</v>
      </c>
      <c r="E83" s="584" t="s">
        <v>206</v>
      </c>
      <c r="F83" s="589" t="s">
        <v>1392</v>
      </c>
      <c r="G83" s="805" t="s">
        <v>996</v>
      </c>
      <c r="H83" s="589">
        <v>149</v>
      </c>
      <c r="I83" s="583">
        <v>149</v>
      </c>
      <c r="J83" s="589"/>
      <c r="K83" s="637" t="s">
        <v>1071</v>
      </c>
      <c r="L83" s="806">
        <v>6</v>
      </c>
      <c r="M83" s="806">
        <v>42</v>
      </c>
      <c r="N83" s="807">
        <v>41487</v>
      </c>
    </row>
    <row r="84" spans="1:14">
      <c r="A84" s="688" t="s">
        <v>1580</v>
      </c>
      <c r="B84" s="583">
        <v>55</v>
      </c>
      <c r="C84" s="243">
        <v>41477</v>
      </c>
      <c r="D84" s="243">
        <v>41477</v>
      </c>
      <c r="E84" s="589" t="s">
        <v>185</v>
      </c>
      <c r="F84" s="589" t="s">
        <v>1392</v>
      </c>
      <c r="G84" s="589" t="s">
        <v>1483</v>
      </c>
      <c r="H84" s="589">
        <v>6</v>
      </c>
      <c r="I84" s="583">
        <v>6</v>
      </c>
      <c r="J84" s="589" t="s">
        <v>1419</v>
      </c>
      <c r="K84" s="589" t="s">
        <v>1071</v>
      </c>
      <c r="L84" s="806">
        <v>2</v>
      </c>
      <c r="M84" s="806">
        <v>8</v>
      </c>
      <c r="N84" s="807">
        <v>41478</v>
      </c>
    </row>
    <row r="85" spans="1:14">
      <c r="A85" s="688" t="s">
        <v>1580</v>
      </c>
      <c r="B85" s="583">
        <v>55</v>
      </c>
      <c r="C85" s="243">
        <v>41477</v>
      </c>
      <c r="D85" s="243">
        <v>41477</v>
      </c>
      <c r="E85" s="589" t="s">
        <v>245</v>
      </c>
      <c r="F85" s="589" t="s">
        <v>1392</v>
      </c>
      <c r="G85" s="589" t="s">
        <v>991</v>
      </c>
      <c r="H85" s="589">
        <v>21</v>
      </c>
      <c r="I85" s="808" t="s">
        <v>1463</v>
      </c>
      <c r="J85" s="589" t="s">
        <v>1419</v>
      </c>
      <c r="K85" s="637" t="s">
        <v>1071</v>
      </c>
      <c r="L85" s="809">
        <v>5</v>
      </c>
      <c r="M85" s="809">
        <v>35</v>
      </c>
      <c r="N85" s="807">
        <v>41485</v>
      </c>
    </row>
    <row r="86" spans="1:14">
      <c r="A86" s="688" t="s">
        <v>1580</v>
      </c>
      <c r="B86" s="583">
        <v>55</v>
      </c>
      <c r="C86" s="243">
        <v>41477</v>
      </c>
      <c r="D86" s="243">
        <v>41477</v>
      </c>
      <c r="E86" s="589" t="s">
        <v>179</v>
      </c>
      <c r="F86" s="589" t="s">
        <v>1392</v>
      </c>
      <c r="G86" s="805" t="s">
        <v>1000</v>
      </c>
      <c r="H86" s="589"/>
      <c r="I86" s="583"/>
      <c r="J86" s="589" t="s">
        <v>1395</v>
      </c>
      <c r="K86" s="589" t="s">
        <v>1071</v>
      </c>
      <c r="L86" s="806">
        <v>2</v>
      </c>
      <c r="M86" s="806">
        <v>8</v>
      </c>
      <c r="N86" s="807">
        <v>41487</v>
      </c>
    </row>
    <row r="88" spans="1:14">
      <c r="A88" s="804" t="s">
        <v>1635</v>
      </c>
      <c r="B88" s="583">
        <v>52</v>
      </c>
      <c r="C88" s="243">
        <v>41512</v>
      </c>
      <c r="D88" s="243">
        <v>41512</v>
      </c>
      <c r="E88" s="584" t="s">
        <v>206</v>
      </c>
      <c r="F88" s="589" t="s">
        <v>1392</v>
      </c>
      <c r="G88" s="805" t="s">
        <v>996</v>
      </c>
      <c r="H88" s="589">
        <v>841</v>
      </c>
      <c r="I88" s="583">
        <v>841</v>
      </c>
      <c r="J88" s="589"/>
      <c r="K88" s="637" t="s">
        <v>1071</v>
      </c>
      <c r="L88" s="806">
        <v>6</v>
      </c>
      <c r="M88" s="806">
        <v>42</v>
      </c>
      <c r="N88" s="807">
        <v>41516</v>
      </c>
    </row>
    <row r="89" spans="1:14">
      <c r="A89" s="804" t="s">
        <v>1635</v>
      </c>
      <c r="B89" s="583">
        <v>52</v>
      </c>
      <c r="C89" s="243">
        <v>41512</v>
      </c>
      <c r="D89" s="243">
        <v>41512</v>
      </c>
      <c r="E89" s="589" t="s">
        <v>185</v>
      </c>
      <c r="F89" s="589" t="s">
        <v>1392</v>
      </c>
      <c r="G89" s="589" t="s">
        <v>1483</v>
      </c>
      <c r="H89" s="589">
        <v>250</v>
      </c>
      <c r="I89" s="583">
        <v>250</v>
      </c>
      <c r="J89" s="589"/>
      <c r="K89" s="589" t="s">
        <v>1071</v>
      </c>
      <c r="L89" s="806">
        <v>2</v>
      </c>
      <c r="M89" s="806">
        <v>8</v>
      </c>
      <c r="N89" s="807">
        <v>41514</v>
      </c>
    </row>
    <row r="90" spans="1:14">
      <c r="A90" s="804" t="s">
        <v>1635</v>
      </c>
      <c r="B90" s="583">
        <v>52</v>
      </c>
      <c r="C90" s="243">
        <v>41512</v>
      </c>
      <c r="D90" s="243">
        <v>41512</v>
      </c>
      <c r="E90" s="589" t="s">
        <v>245</v>
      </c>
      <c r="F90" s="589" t="s">
        <v>1392</v>
      </c>
      <c r="G90" s="589" t="s">
        <v>991</v>
      </c>
      <c r="H90" s="589">
        <v>42</v>
      </c>
      <c r="I90" s="808">
        <v>42</v>
      </c>
      <c r="J90" s="589"/>
      <c r="K90" s="637" t="s">
        <v>1071</v>
      </c>
      <c r="L90" s="809">
        <v>5</v>
      </c>
      <c r="M90" s="809">
        <v>35</v>
      </c>
      <c r="N90" s="807">
        <v>41527</v>
      </c>
    </row>
    <row r="91" spans="1:14">
      <c r="A91" s="804" t="s">
        <v>1635</v>
      </c>
      <c r="B91" s="583">
        <v>52</v>
      </c>
      <c r="C91" s="243">
        <v>41512</v>
      </c>
      <c r="D91" s="243">
        <v>41512</v>
      </c>
      <c r="E91" s="589" t="s">
        <v>179</v>
      </c>
      <c r="F91" s="589" t="s">
        <v>1392</v>
      </c>
      <c r="G91" s="805" t="s">
        <v>1000</v>
      </c>
      <c r="H91" s="589">
        <v>28</v>
      </c>
      <c r="I91" s="583">
        <v>28</v>
      </c>
      <c r="J91" s="589"/>
      <c r="K91" s="589" t="s">
        <v>1071</v>
      </c>
      <c r="L91" s="806">
        <v>2</v>
      </c>
      <c r="M91" s="806">
        <v>8</v>
      </c>
      <c r="N91" s="807">
        <v>41516</v>
      </c>
    </row>
    <row r="92" spans="1:14">
      <c r="A92" s="804" t="s">
        <v>1635</v>
      </c>
      <c r="B92" s="583">
        <v>53</v>
      </c>
      <c r="C92" s="243">
        <v>41512</v>
      </c>
      <c r="D92" s="243">
        <v>41512</v>
      </c>
      <c r="E92" s="584" t="s">
        <v>206</v>
      </c>
      <c r="F92" s="589" t="s">
        <v>1392</v>
      </c>
      <c r="G92" s="805" t="s">
        <v>996</v>
      </c>
      <c r="H92" s="589">
        <v>612</v>
      </c>
      <c r="I92" s="583">
        <v>612</v>
      </c>
      <c r="J92" s="589"/>
      <c r="K92" s="637" t="s">
        <v>1071</v>
      </c>
      <c r="L92" s="806">
        <v>6</v>
      </c>
      <c r="M92" s="806">
        <v>42</v>
      </c>
      <c r="N92" s="807">
        <v>41516</v>
      </c>
    </row>
    <row r="93" spans="1:14">
      <c r="A93" s="804" t="s">
        <v>1635</v>
      </c>
      <c r="B93" s="583">
        <v>53</v>
      </c>
      <c r="C93" s="243">
        <v>41512</v>
      </c>
      <c r="D93" s="243">
        <v>41512</v>
      </c>
      <c r="E93" s="589" t="s">
        <v>185</v>
      </c>
      <c r="F93" s="589" t="s">
        <v>1392</v>
      </c>
      <c r="G93" s="589" t="s">
        <v>1483</v>
      </c>
      <c r="H93" s="589">
        <v>41</v>
      </c>
      <c r="I93" s="583">
        <v>41</v>
      </c>
      <c r="J93" s="589"/>
      <c r="K93" s="589" t="s">
        <v>1071</v>
      </c>
      <c r="L93" s="806">
        <v>2</v>
      </c>
      <c r="M93" s="806">
        <v>8</v>
      </c>
      <c r="N93" s="807">
        <v>41514</v>
      </c>
    </row>
    <row r="94" spans="1:14">
      <c r="A94" s="804" t="s">
        <v>1635</v>
      </c>
      <c r="B94" s="583">
        <v>53</v>
      </c>
      <c r="C94" s="243">
        <v>41512</v>
      </c>
      <c r="D94" s="243">
        <v>41512</v>
      </c>
      <c r="E94" s="589" t="s">
        <v>245</v>
      </c>
      <c r="F94" s="589" t="s">
        <v>1392</v>
      </c>
      <c r="G94" s="589" t="s">
        <v>991</v>
      </c>
      <c r="H94" s="589">
        <v>37</v>
      </c>
      <c r="I94" s="808">
        <v>37</v>
      </c>
      <c r="J94" s="589"/>
      <c r="K94" s="637" t="s">
        <v>1071</v>
      </c>
      <c r="L94" s="809">
        <v>5</v>
      </c>
      <c r="M94" s="809">
        <v>35</v>
      </c>
      <c r="N94" s="807">
        <v>41527</v>
      </c>
    </row>
    <row r="95" spans="1:14">
      <c r="A95" s="804" t="s">
        <v>1635</v>
      </c>
      <c r="B95" s="583">
        <v>53</v>
      </c>
      <c r="C95" s="243">
        <v>41512</v>
      </c>
      <c r="D95" s="243">
        <v>41512</v>
      </c>
      <c r="E95" s="589" t="s">
        <v>179</v>
      </c>
      <c r="F95" s="589" t="s">
        <v>1392</v>
      </c>
      <c r="G95" s="805" t="s">
        <v>1000</v>
      </c>
      <c r="H95" s="589">
        <v>19</v>
      </c>
      <c r="I95" s="583">
        <v>19</v>
      </c>
      <c r="J95" s="589"/>
      <c r="K95" s="589" t="s">
        <v>1071</v>
      </c>
      <c r="L95" s="806">
        <v>2</v>
      </c>
      <c r="M95" s="806">
        <v>8</v>
      </c>
      <c r="N95" s="807">
        <v>41516</v>
      </c>
    </row>
    <row r="96" spans="1:14">
      <c r="A96" s="804" t="s">
        <v>1636</v>
      </c>
      <c r="B96" s="583">
        <v>54</v>
      </c>
      <c r="C96" s="243">
        <v>41512</v>
      </c>
      <c r="D96" s="243">
        <v>41512</v>
      </c>
      <c r="E96" s="584" t="s">
        <v>206</v>
      </c>
      <c r="F96" s="589" t="s">
        <v>1392</v>
      </c>
      <c r="G96" s="805" t="s">
        <v>996</v>
      </c>
      <c r="H96" s="589">
        <v>540</v>
      </c>
      <c r="I96" s="583">
        <v>540</v>
      </c>
      <c r="J96" s="589"/>
      <c r="K96" s="637" t="s">
        <v>1071</v>
      </c>
      <c r="L96" s="806">
        <v>6</v>
      </c>
      <c r="M96" s="806">
        <v>42</v>
      </c>
      <c r="N96" s="807">
        <v>41516</v>
      </c>
    </row>
    <row r="97" spans="1:14">
      <c r="A97" s="804" t="s">
        <v>1636</v>
      </c>
      <c r="B97" s="583">
        <v>54</v>
      </c>
      <c r="C97" s="243">
        <v>41512</v>
      </c>
      <c r="D97" s="243">
        <v>41512</v>
      </c>
      <c r="E97" s="589" t="s">
        <v>185</v>
      </c>
      <c r="F97" s="589" t="s">
        <v>1392</v>
      </c>
      <c r="G97" s="589" t="s">
        <v>1483</v>
      </c>
      <c r="H97" s="589">
        <v>9</v>
      </c>
      <c r="I97" s="583">
        <v>9</v>
      </c>
      <c r="J97" s="589"/>
      <c r="K97" s="589" t="s">
        <v>1071</v>
      </c>
      <c r="L97" s="806">
        <v>2</v>
      </c>
      <c r="M97" s="806">
        <v>8</v>
      </c>
      <c r="N97" s="807">
        <v>41514</v>
      </c>
    </row>
    <row r="98" spans="1:14">
      <c r="A98" s="804" t="s">
        <v>1636</v>
      </c>
      <c r="B98" s="583">
        <v>54</v>
      </c>
      <c r="C98" s="243">
        <v>41512</v>
      </c>
      <c r="D98" s="243">
        <v>41512</v>
      </c>
      <c r="E98" s="589" t="s">
        <v>245</v>
      </c>
      <c r="F98" s="589" t="s">
        <v>1392</v>
      </c>
      <c r="G98" s="589" t="s">
        <v>991</v>
      </c>
      <c r="H98" s="589">
        <v>45</v>
      </c>
      <c r="I98" s="808">
        <v>45</v>
      </c>
      <c r="J98" s="589"/>
      <c r="K98" s="637" t="s">
        <v>1071</v>
      </c>
      <c r="L98" s="809">
        <v>5</v>
      </c>
      <c r="M98" s="809">
        <v>35</v>
      </c>
      <c r="N98" s="807">
        <v>41527</v>
      </c>
    </row>
    <row r="99" spans="1:14">
      <c r="A99" s="804" t="s">
        <v>1636</v>
      </c>
      <c r="B99" s="583">
        <v>54</v>
      </c>
      <c r="C99" s="243">
        <v>41512</v>
      </c>
      <c r="D99" s="243">
        <v>41512</v>
      </c>
      <c r="E99" s="589" t="s">
        <v>179</v>
      </c>
      <c r="F99" s="589" t="s">
        <v>1392</v>
      </c>
      <c r="G99" s="805" t="s">
        <v>1000</v>
      </c>
      <c r="H99" s="589">
        <v>36</v>
      </c>
      <c r="I99" s="583">
        <v>36</v>
      </c>
      <c r="J99" s="589"/>
      <c r="K99" s="589" t="s">
        <v>1071</v>
      </c>
      <c r="L99" s="806">
        <v>2</v>
      </c>
      <c r="M99" s="806">
        <v>8</v>
      </c>
      <c r="N99" s="807">
        <v>41516</v>
      </c>
    </row>
    <row r="100" spans="1:14">
      <c r="A100" s="804" t="s">
        <v>1637</v>
      </c>
      <c r="B100" s="583">
        <v>55</v>
      </c>
      <c r="C100" s="243">
        <v>41512</v>
      </c>
      <c r="D100" s="243">
        <v>41512</v>
      </c>
      <c r="E100" s="584" t="s">
        <v>206</v>
      </c>
      <c r="F100" s="589" t="s">
        <v>1392</v>
      </c>
      <c r="G100" s="805" t="s">
        <v>996</v>
      </c>
      <c r="H100" s="589">
        <v>615</v>
      </c>
      <c r="I100" s="583">
        <v>615</v>
      </c>
      <c r="J100" s="589"/>
      <c r="K100" s="637" t="s">
        <v>1071</v>
      </c>
      <c r="L100" s="806">
        <v>6</v>
      </c>
      <c r="M100" s="806">
        <v>42</v>
      </c>
      <c r="N100" s="807">
        <v>41516</v>
      </c>
    </row>
    <row r="101" spans="1:14">
      <c r="A101" s="804" t="s">
        <v>1637</v>
      </c>
      <c r="B101" s="583">
        <v>55</v>
      </c>
      <c r="C101" s="243">
        <v>41512</v>
      </c>
      <c r="D101" s="243">
        <v>41512</v>
      </c>
      <c r="E101" s="589" t="s">
        <v>185</v>
      </c>
      <c r="F101" s="589" t="s">
        <v>1392</v>
      </c>
      <c r="G101" s="589" t="s">
        <v>1483</v>
      </c>
      <c r="H101" s="589"/>
      <c r="I101" s="583"/>
      <c r="J101" s="589" t="s">
        <v>1395</v>
      </c>
      <c r="K101" s="589" t="s">
        <v>1071</v>
      </c>
      <c r="L101" s="806">
        <v>2</v>
      </c>
      <c r="M101" s="806">
        <v>8</v>
      </c>
      <c r="N101" s="807">
        <v>41514</v>
      </c>
    </row>
    <row r="102" spans="1:14">
      <c r="A102" s="804" t="s">
        <v>1637</v>
      </c>
      <c r="B102" s="583">
        <v>55</v>
      </c>
      <c r="C102" s="243">
        <v>41512</v>
      </c>
      <c r="D102" s="243">
        <v>41512</v>
      </c>
      <c r="E102" s="589" t="s">
        <v>245</v>
      </c>
      <c r="F102" s="589" t="s">
        <v>1392</v>
      </c>
      <c r="G102" s="589" t="s">
        <v>991</v>
      </c>
      <c r="H102" s="589">
        <v>44</v>
      </c>
      <c r="I102" s="808">
        <v>44</v>
      </c>
      <c r="J102" s="589"/>
      <c r="K102" s="637" t="s">
        <v>1071</v>
      </c>
      <c r="L102" s="809">
        <v>5</v>
      </c>
      <c r="M102" s="809">
        <v>35</v>
      </c>
      <c r="N102" s="807">
        <v>41527</v>
      </c>
    </row>
    <row r="103" spans="1:14">
      <c r="A103" s="804" t="s">
        <v>1637</v>
      </c>
      <c r="B103" s="583">
        <v>55</v>
      </c>
      <c r="C103" s="243">
        <v>41512</v>
      </c>
      <c r="D103" s="243">
        <v>41512</v>
      </c>
      <c r="E103" s="589" t="s">
        <v>179</v>
      </c>
      <c r="F103" s="589" t="s">
        <v>1392</v>
      </c>
      <c r="G103" s="805" t="s">
        <v>1000</v>
      </c>
      <c r="H103" s="589">
        <v>18</v>
      </c>
      <c r="I103" s="583">
        <v>18</v>
      </c>
      <c r="J103" s="589"/>
      <c r="K103" s="589" t="s">
        <v>1071</v>
      </c>
      <c r="L103" s="806">
        <v>2</v>
      </c>
      <c r="M103" s="806">
        <v>8</v>
      </c>
      <c r="N103" s="807">
        <v>41516</v>
      </c>
    </row>
    <row r="105" spans="1:14">
      <c r="A105" s="589" t="s">
        <v>1676</v>
      </c>
      <c r="B105" s="583">
        <v>52</v>
      </c>
      <c r="C105" s="243">
        <v>41541</v>
      </c>
      <c r="D105" s="243">
        <v>41541</v>
      </c>
      <c r="E105" s="584" t="s">
        <v>206</v>
      </c>
      <c r="F105" s="589" t="s">
        <v>1392</v>
      </c>
      <c r="G105" s="805" t="s">
        <v>996</v>
      </c>
      <c r="H105" s="589">
        <v>696</v>
      </c>
      <c r="I105" s="583">
        <v>696</v>
      </c>
      <c r="J105" s="589"/>
      <c r="K105" s="637" t="s">
        <v>1071</v>
      </c>
      <c r="L105" s="806">
        <v>6</v>
      </c>
      <c r="M105" s="806">
        <v>42</v>
      </c>
      <c r="N105" s="807">
        <v>41547</v>
      </c>
    </row>
    <row r="106" spans="1:14">
      <c r="A106" s="804" t="s">
        <v>1676</v>
      </c>
      <c r="B106" s="583">
        <v>52</v>
      </c>
      <c r="C106" s="243">
        <v>41541</v>
      </c>
      <c r="D106" s="243">
        <v>41541</v>
      </c>
      <c r="E106" s="589" t="s">
        <v>185</v>
      </c>
      <c r="F106" s="589" t="s">
        <v>1392</v>
      </c>
      <c r="G106" s="589" t="s">
        <v>1483</v>
      </c>
      <c r="H106" s="589">
        <v>319</v>
      </c>
      <c r="I106" s="583">
        <v>319</v>
      </c>
      <c r="J106" s="589"/>
      <c r="K106" s="589" t="s">
        <v>1071</v>
      </c>
      <c r="L106" s="806">
        <v>2</v>
      </c>
      <c r="M106" s="806">
        <v>8</v>
      </c>
      <c r="N106" s="807">
        <v>41542</v>
      </c>
    </row>
    <row r="107" spans="1:14">
      <c r="A107" s="804" t="s">
        <v>1676</v>
      </c>
      <c r="B107" s="583">
        <v>52</v>
      </c>
      <c r="C107" s="243">
        <v>41541</v>
      </c>
      <c r="D107" s="243">
        <v>41541</v>
      </c>
      <c r="E107" s="589" t="s">
        <v>245</v>
      </c>
      <c r="F107" s="589" t="s">
        <v>1392</v>
      </c>
      <c r="G107" s="589" t="s">
        <v>991</v>
      </c>
      <c r="H107" s="589">
        <v>8</v>
      </c>
      <c r="I107" s="583">
        <v>8</v>
      </c>
      <c r="J107" s="589" t="s">
        <v>1419</v>
      </c>
      <c r="K107" s="637" t="s">
        <v>1071</v>
      </c>
      <c r="L107" s="809">
        <v>5</v>
      </c>
      <c r="M107" s="809">
        <v>35</v>
      </c>
      <c r="N107" s="807">
        <v>41550</v>
      </c>
    </row>
    <row r="108" spans="1:14">
      <c r="A108" s="804" t="s">
        <v>1676</v>
      </c>
      <c r="B108" s="583">
        <v>52</v>
      </c>
      <c r="C108" s="243">
        <v>41541</v>
      </c>
      <c r="D108" s="243">
        <v>41541</v>
      </c>
      <c r="E108" s="589" t="s">
        <v>179</v>
      </c>
      <c r="F108" s="589" t="s">
        <v>1392</v>
      </c>
      <c r="G108" s="805" t="s">
        <v>1000</v>
      </c>
      <c r="H108" s="589">
        <v>26</v>
      </c>
      <c r="I108" s="583">
        <v>26</v>
      </c>
      <c r="J108" s="589"/>
      <c r="K108" s="589" t="s">
        <v>1071</v>
      </c>
      <c r="L108" s="806">
        <v>2</v>
      </c>
      <c r="M108" s="806">
        <v>8</v>
      </c>
      <c r="N108" s="807">
        <v>41547</v>
      </c>
    </row>
    <row r="109" spans="1:14">
      <c r="A109" s="804" t="s">
        <v>1677</v>
      </c>
      <c r="B109" s="585">
        <v>53</v>
      </c>
      <c r="C109" s="243">
        <v>41541</v>
      </c>
      <c r="D109" s="243">
        <v>41541</v>
      </c>
      <c r="E109" s="584" t="s">
        <v>206</v>
      </c>
      <c r="F109" s="589" t="s">
        <v>1392</v>
      </c>
      <c r="G109" s="805" t="s">
        <v>996</v>
      </c>
      <c r="H109" s="589">
        <v>349</v>
      </c>
      <c r="I109" s="583">
        <v>349</v>
      </c>
      <c r="J109" s="589"/>
      <c r="K109" s="637" t="s">
        <v>1071</v>
      </c>
      <c r="L109" s="806">
        <v>6</v>
      </c>
      <c r="M109" s="806">
        <v>42</v>
      </c>
      <c r="N109" s="807">
        <v>41547</v>
      </c>
    </row>
    <row r="110" spans="1:14">
      <c r="A110" s="589" t="s">
        <v>1677</v>
      </c>
      <c r="B110" s="585">
        <v>53</v>
      </c>
      <c r="C110" s="243">
        <v>41541</v>
      </c>
      <c r="D110" s="243">
        <v>41541</v>
      </c>
      <c r="E110" s="589" t="s">
        <v>185</v>
      </c>
      <c r="F110" s="589" t="s">
        <v>1392</v>
      </c>
      <c r="G110" s="589" t="s">
        <v>1483</v>
      </c>
      <c r="H110" s="589">
        <v>57</v>
      </c>
      <c r="I110" s="583">
        <v>57</v>
      </c>
      <c r="J110" s="589"/>
      <c r="K110" s="589" t="s">
        <v>1071</v>
      </c>
      <c r="L110" s="806">
        <v>2</v>
      </c>
      <c r="M110" s="806">
        <v>8</v>
      </c>
      <c r="N110" s="807">
        <v>41542</v>
      </c>
    </row>
    <row r="111" spans="1:14">
      <c r="A111" s="688" t="s">
        <v>1677</v>
      </c>
      <c r="B111" s="585">
        <v>53</v>
      </c>
      <c r="C111" s="243">
        <v>41541</v>
      </c>
      <c r="D111" s="243">
        <v>41541</v>
      </c>
      <c r="E111" s="589" t="s">
        <v>245</v>
      </c>
      <c r="F111" s="589" t="s">
        <v>1392</v>
      </c>
      <c r="G111" s="589" t="s">
        <v>991</v>
      </c>
      <c r="H111" s="589">
        <v>18</v>
      </c>
      <c r="I111" s="583">
        <v>18</v>
      </c>
      <c r="J111" s="589" t="s">
        <v>1419</v>
      </c>
      <c r="K111" s="637" t="s">
        <v>1071</v>
      </c>
      <c r="L111" s="809">
        <v>5</v>
      </c>
      <c r="M111" s="809">
        <v>35</v>
      </c>
      <c r="N111" s="807">
        <v>41550</v>
      </c>
    </row>
    <row r="112" spans="1:14">
      <c r="A112" s="589" t="s">
        <v>1677</v>
      </c>
      <c r="B112" s="585">
        <v>53</v>
      </c>
      <c r="C112" s="243">
        <v>41541</v>
      </c>
      <c r="D112" s="243">
        <v>41541</v>
      </c>
      <c r="E112" s="589" t="s">
        <v>179</v>
      </c>
      <c r="F112" s="589" t="s">
        <v>1392</v>
      </c>
      <c r="G112" s="805" t="s">
        <v>1000</v>
      </c>
      <c r="H112" s="589">
        <v>16</v>
      </c>
      <c r="I112" s="583">
        <v>16</v>
      </c>
      <c r="J112" s="589"/>
      <c r="K112" s="589" t="s">
        <v>1071</v>
      </c>
      <c r="L112" s="806">
        <v>2</v>
      </c>
      <c r="M112" s="806">
        <v>8</v>
      </c>
      <c r="N112" s="807">
        <v>41547</v>
      </c>
    </row>
    <row r="113" spans="1:14">
      <c r="A113" s="589" t="s">
        <v>1678</v>
      </c>
      <c r="B113" s="583">
        <v>54</v>
      </c>
      <c r="C113" s="243">
        <v>41541</v>
      </c>
      <c r="D113" s="243">
        <v>41541</v>
      </c>
      <c r="E113" s="584" t="s">
        <v>206</v>
      </c>
      <c r="F113" s="589" t="s">
        <v>1392</v>
      </c>
      <c r="G113" s="805" t="s">
        <v>996</v>
      </c>
      <c r="H113" s="589">
        <v>391</v>
      </c>
      <c r="I113" s="583">
        <v>391</v>
      </c>
      <c r="J113" s="589"/>
      <c r="K113" s="637" t="s">
        <v>1071</v>
      </c>
      <c r="L113" s="806">
        <v>6</v>
      </c>
      <c r="M113" s="806">
        <v>42</v>
      </c>
      <c r="N113" s="807">
        <v>41547</v>
      </c>
    </row>
    <row r="114" spans="1:14">
      <c r="A114" s="589" t="s">
        <v>1678</v>
      </c>
      <c r="B114" s="583">
        <v>54</v>
      </c>
      <c r="C114" s="243">
        <v>41541</v>
      </c>
      <c r="D114" s="243">
        <v>41541</v>
      </c>
      <c r="E114" s="589" t="s">
        <v>185</v>
      </c>
      <c r="F114" s="589" t="s">
        <v>1392</v>
      </c>
      <c r="G114" s="589" t="s">
        <v>1483</v>
      </c>
      <c r="H114" s="589">
        <v>125</v>
      </c>
      <c r="I114" s="583">
        <v>125</v>
      </c>
      <c r="J114" s="589"/>
      <c r="K114" s="589" t="s">
        <v>1071</v>
      </c>
      <c r="L114" s="806">
        <v>2</v>
      </c>
      <c r="M114" s="806">
        <v>8</v>
      </c>
      <c r="N114" s="807">
        <v>41542</v>
      </c>
    </row>
    <row r="115" spans="1:14">
      <c r="A115" s="688" t="s">
        <v>1678</v>
      </c>
      <c r="B115" s="583">
        <v>54</v>
      </c>
      <c r="C115" s="243">
        <v>41541</v>
      </c>
      <c r="D115" s="243">
        <v>41541</v>
      </c>
      <c r="E115" s="589" t="s">
        <v>245</v>
      </c>
      <c r="F115" s="589" t="s">
        <v>1392</v>
      </c>
      <c r="G115" s="589" t="s">
        <v>991</v>
      </c>
      <c r="H115" s="589">
        <v>14</v>
      </c>
      <c r="I115" s="583">
        <v>14</v>
      </c>
      <c r="J115" s="589" t="s">
        <v>1419</v>
      </c>
      <c r="K115" s="637" t="s">
        <v>1071</v>
      </c>
      <c r="L115" s="809">
        <v>5</v>
      </c>
      <c r="M115" s="809">
        <v>35</v>
      </c>
      <c r="N115" s="807">
        <v>41550</v>
      </c>
    </row>
    <row r="116" spans="1:14">
      <c r="A116" s="589" t="s">
        <v>1678</v>
      </c>
      <c r="B116" s="583">
        <v>54</v>
      </c>
      <c r="C116" s="243">
        <v>41541</v>
      </c>
      <c r="D116" s="243">
        <v>41541</v>
      </c>
      <c r="E116" s="589" t="s">
        <v>179</v>
      </c>
      <c r="F116" s="589" t="s">
        <v>1392</v>
      </c>
      <c r="G116" s="805" t="s">
        <v>1000</v>
      </c>
      <c r="H116" s="589">
        <v>46</v>
      </c>
      <c r="I116" s="583">
        <v>46</v>
      </c>
      <c r="J116" s="589"/>
      <c r="K116" s="589" t="s">
        <v>1071</v>
      </c>
      <c r="L116" s="806">
        <v>2</v>
      </c>
      <c r="M116" s="806">
        <v>8</v>
      </c>
      <c r="N116" s="807">
        <v>41547</v>
      </c>
    </row>
    <row r="117" spans="1:14">
      <c r="A117" s="589" t="s">
        <v>1679</v>
      </c>
      <c r="B117" s="583">
        <v>55</v>
      </c>
      <c r="C117" s="243">
        <v>41541</v>
      </c>
      <c r="D117" s="243">
        <v>41541</v>
      </c>
      <c r="E117" s="584" t="s">
        <v>206</v>
      </c>
      <c r="F117" s="589" t="s">
        <v>1392</v>
      </c>
      <c r="G117" s="805" t="s">
        <v>996</v>
      </c>
      <c r="H117" s="589">
        <v>287</v>
      </c>
      <c r="I117" s="583">
        <v>287</v>
      </c>
      <c r="J117" s="589"/>
      <c r="K117" s="637" t="s">
        <v>1071</v>
      </c>
      <c r="L117" s="806">
        <v>6</v>
      </c>
      <c r="M117" s="806">
        <v>42</v>
      </c>
      <c r="N117" s="807">
        <v>41547</v>
      </c>
    </row>
    <row r="118" spans="1:14">
      <c r="A118" s="589" t="s">
        <v>1679</v>
      </c>
      <c r="B118" s="583">
        <v>55</v>
      </c>
      <c r="C118" s="243">
        <v>41541</v>
      </c>
      <c r="D118" s="243">
        <v>41541</v>
      </c>
      <c r="E118" s="589" t="s">
        <v>185</v>
      </c>
      <c r="F118" s="589" t="s">
        <v>1392</v>
      </c>
      <c r="G118" s="589" t="s">
        <v>1483</v>
      </c>
      <c r="H118" s="589">
        <v>35</v>
      </c>
      <c r="I118" s="583">
        <v>35</v>
      </c>
      <c r="J118" s="589"/>
      <c r="K118" s="589" t="s">
        <v>1071</v>
      </c>
      <c r="L118" s="806">
        <v>2</v>
      </c>
      <c r="M118" s="806">
        <v>8</v>
      </c>
      <c r="N118" s="807">
        <v>41542</v>
      </c>
    </row>
    <row r="119" spans="1:14">
      <c r="A119" s="589" t="s">
        <v>1679</v>
      </c>
      <c r="B119" s="583">
        <v>55</v>
      </c>
      <c r="C119" s="243">
        <v>41541</v>
      </c>
      <c r="D119" s="243">
        <v>41541</v>
      </c>
      <c r="E119" s="589" t="s">
        <v>245</v>
      </c>
      <c r="F119" s="589" t="s">
        <v>1392</v>
      </c>
      <c r="G119" s="589" t="s">
        <v>991</v>
      </c>
      <c r="H119" s="589">
        <v>12</v>
      </c>
      <c r="I119" s="583">
        <v>12</v>
      </c>
      <c r="J119" s="589" t="s">
        <v>1419</v>
      </c>
      <c r="K119" s="637" t="s">
        <v>1071</v>
      </c>
      <c r="L119" s="809">
        <v>5</v>
      </c>
      <c r="M119" s="809">
        <v>35</v>
      </c>
      <c r="N119" s="807">
        <v>41550</v>
      </c>
    </row>
    <row r="120" spans="1:14">
      <c r="A120" s="589" t="s">
        <v>1679</v>
      </c>
      <c r="B120" s="583">
        <v>55</v>
      </c>
      <c r="C120" s="243">
        <v>41541</v>
      </c>
      <c r="D120" s="243">
        <v>41541</v>
      </c>
      <c r="E120" s="589" t="s">
        <v>179</v>
      </c>
      <c r="F120" s="589" t="s">
        <v>1392</v>
      </c>
      <c r="G120" s="805" t="s">
        <v>1000</v>
      </c>
      <c r="H120" s="589">
        <v>11</v>
      </c>
      <c r="I120" s="583">
        <v>11</v>
      </c>
      <c r="J120" s="589"/>
      <c r="K120" s="589" t="s">
        <v>1071</v>
      </c>
      <c r="L120" s="806">
        <v>2</v>
      </c>
      <c r="M120" s="806">
        <v>8</v>
      </c>
      <c r="N120" s="807">
        <v>41547</v>
      </c>
    </row>
    <row r="122" spans="1:14">
      <c r="A122" s="589" t="s">
        <v>1724</v>
      </c>
      <c r="B122" s="583">
        <v>52</v>
      </c>
      <c r="C122" s="243">
        <v>41568</v>
      </c>
      <c r="D122" s="243">
        <v>41568</v>
      </c>
      <c r="E122" s="584" t="s">
        <v>206</v>
      </c>
      <c r="F122" s="589" t="s">
        <v>1392</v>
      </c>
      <c r="G122" s="805" t="s">
        <v>996</v>
      </c>
      <c r="H122" s="589">
        <v>358</v>
      </c>
      <c r="I122" s="583">
        <v>358</v>
      </c>
      <c r="J122" s="589"/>
      <c r="K122" s="637" t="s">
        <v>1071</v>
      </c>
      <c r="L122" s="806">
        <v>6</v>
      </c>
      <c r="M122" s="806">
        <v>42</v>
      </c>
      <c r="N122" s="807">
        <v>41584</v>
      </c>
    </row>
    <row r="123" spans="1:14">
      <c r="A123" s="589" t="s">
        <v>1724</v>
      </c>
      <c r="B123" s="583">
        <v>52</v>
      </c>
      <c r="C123" s="243">
        <v>41568</v>
      </c>
      <c r="D123" s="243">
        <v>41568</v>
      </c>
      <c r="E123" s="589" t="s">
        <v>185</v>
      </c>
      <c r="F123" s="589" t="s">
        <v>1392</v>
      </c>
      <c r="G123" s="589" t="s">
        <v>1483</v>
      </c>
      <c r="H123" s="589">
        <v>202</v>
      </c>
      <c r="I123" s="583">
        <v>202</v>
      </c>
      <c r="J123" s="589"/>
      <c r="K123" s="589" t="s">
        <v>1071</v>
      </c>
      <c r="L123" s="806">
        <v>2</v>
      </c>
      <c r="M123" s="806">
        <v>8</v>
      </c>
      <c r="N123" s="807">
        <v>41572</v>
      </c>
    </row>
    <row r="124" spans="1:14">
      <c r="A124" s="589" t="s">
        <v>1724</v>
      </c>
      <c r="B124" s="583">
        <v>52</v>
      </c>
      <c r="C124" s="243">
        <v>41568</v>
      </c>
      <c r="D124" s="243">
        <v>41568</v>
      </c>
      <c r="E124" s="589" t="s">
        <v>245</v>
      </c>
      <c r="F124" s="589" t="s">
        <v>1392</v>
      </c>
      <c r="G124" s="589" t="s">
        <v>991</v>
      </c>
      <c r="H124" s="589"/>
      <c r="I124" s="583"/>
      <c r="J124" s="589" t="s">
        <v>1395</v>
      </c>
      <c r="K124" s="637" t="s">
        <v>1071</v>
      </c>
      <c r="L124" s="809">
        <v>5</v>
      </c>
      <c r="M124" s="809">
        <v>35</v>
      </c>
      <c r="N124" s="807">
        <v>41575</v>
      </c>
    </row>
    <row r="125" spans="1:14">
      <c r="A125" s="589" t="s">
        <v>1724</v>
      </c>
      <c r="B125" s="583">
        <v>52</v>
      </c>
      <c r="C125" s="243">
        <v>41568</v>
      </c>
      <c r="D125" s="243">
        <v>41568</v>
      </c>
      <c r="E125" s="589" t="s">
        <v>179</v>
      </c>
      <c r="F125" s="589" t="s">
        <v>1392</v>
      </c>
      <c r="G125" s="805" t="s">
        <v>1000</v>
      </c>
      <c r="H125" s="589"/>
      <c r="I125" s="583"/>
      <c r="J125" s="589" t="s">
        <v>1395</v>
      </c>
      <c r="K125" s="589" t="s">
        <v>1071</v>
      </c>
      <c r="L125" s="806">
        <v>2</v>
      </c>
      <c r="M125" s="806">
        <v>8</v>
      </c>
      <c r="N125" s="807">
        <v>41584</v>
      </c>
    </row>
    <row r="126" spans="1:14">
      <c r="A126" s="804" t="s">
        <v>1725</v>
      </c>
      <c r="B126" s="585">
        <v>53</v>
      </c>
      <c r="C126" s="243">
        <v>41568</v>
      </c>
      <c r="D126" s="243">
        <v>41568</v>
      </c>
      <c r="E126" s="584" t="s">
        <v>206</v>
      </c>
      <c r="F126" s="589" t="s">
        <v>1392</v>
      </c>
      <c r="G126" s="805" t="s">
        <v>996</v>
      </c>
      <c r="H126" s="589">
        <v>244</v>
      </c>
      <c r="I126" s="583">
        <v>244</v>
      </c>
      <c r="J126" s="589"/>
      <c r="K126" s="637" t="s">
        <v>1071</v>
      </c>
      <c r="L126" s="806">
        <v>6</v>
      </c>
      <c r="M126" s="806">
        <v>42</v>
      </c>
      <c r="N126" s="807">
        <v>41584</v>
      </c>
    </row>
    <row r="127" spans="1:14">
      <c r="A127" s="804" t="s">
        <v>1725</v>
      </c>
      <c r="B127" s="585">
        <v>53</v>
      </c>
      <c r="C127" s="243">
        <v>41568</v>
      </c>
      <c r="D127" s="243">
        <v>41568</v>
      </c>
      <c r="E127" s="589" t="s">
        <v>185</v>
      </c>
      <c r="F127" s="589" t="s">
        <v>1392</v>
      </c>
      <c r="G127" s="589" t="s">
        <v>1483</v>
      </c>
      <c r="H127" s="589">
        <v>73</v>
      </c>
      <c r="I127" s="583">
        <v>73</v>
      </c>
      <c r="J127" s="589"/>
      <c r="K127" s="589" t="s">
        <v>1071</v>
      </c>
      <c r="L127" s="806">
        <v>2</v>
      </c>
      <c r="M127" s="806">
        <v>8</v>
      </c>
      <c r="N127" s="807">
        <v>41572</v>
      </c>
    </row>
    <row r="128" spans="1:14">
      <c r="A128" s="804" t="s">
        <v>1725</v>
      </c>
      <c r="B128" s="585">
        <v>53</v>
      </c>
      <c r="C128" s="243">
        <v>41568</v>
      </c>
      <c r="D128" s="243">
        <v>41568</v>
      </c>
      <c r="E128" s="589" t="s">
        <v>245</v>
      </c>
      <c r="F128" s="589" t="s">
        <v>1392</v>
      </c>
      <c r="G128" s="589" t="s">
        <v>991</v>
      </c>
      <c r="H128" s="589">
        <v>10</v>
      </c>
      <c r="I128" s="583">
        <v>10</v>
      </c>
      <c r="J128" s="589" t="s">
        <v>1419</v>
      </c>
      <c r="K128" s="637" t="s">
        <v>1071</v>
      </c>
      <c r="L128" s="809">
        <v>5</v>
      </c>
      <c r="M128" s="809">
        <v>35</v>
      </c>
      <c r="N128" s="807">
        <v>41575</v>
      </c>
    </row>
    <row r="129" spans="1:14">
      <c r="A129" s="804" t="s">
        <v>1725</v>
      </c>
      <c r="B129" s="585">
        <v>53</v>
      </c>
      <c r="C129" s="243">
        <v>41568</v>
      </c>
      <c r="D129" s="243">
        <v>41568</v>
      </c>
      <c r="E129" s="589" t="s">
        <v>179</v>
      </c>
      <c r="F129" s="589" t="s">
        <v>1392</v>
      </c>
      <c r="G129" s="805" t="s">
        <v>1000</v>
      </c>
      <c r="H129" s="589"/>
      <c r="I129" s="583"/>
      <c r="J129" s="589" t="s">
        <v>1395</v>
      </c>
      <c r="K129" s="589" t="s">
        <v>1071</v>
      </c>
      <c r="L129" s="806">
        <v>2</v>
      </c>
      <c r="M129" s="806">
        <v>8</v>
      </c>
      <c r="N129" s="807">
        <v>41584</v>
      </c>
    </row>
    <row r="130" spans="1:14">
      <c r="A130" s="589" t="s">
        <v>1726</v>
      </c>
      <c r="B130" s="583">
        <v>54</v>
      </c>
      <c r="C130" s="243">
        <v>41568</v>
      </c>
      <c r="D130" s="243">
        <v>41568</v>
      </c>
      <c r="E130" s="584" t="s">
        <v>206</v>
      </c>
      <c r="F130" s="589" t="s">
        <v>1392</v>
      </c>
      <c r="G130" s="805" t="s">
        <v>996</v>
      </c>
      <c r="H130" s="589">
        <v>307</v>
      </c>
      <c r="I130" s="583">
        <v>307</v>
      </c>
      <c r="J130" s="589"/>
      <c r="K130" s="637" t="s">
        <v>1071</v>
      </c>
      <c r="L130" s="806">
        <v>6</v>
      </c>
      <c r="M130" s="806">
        <v>42</v>
      </c>
      <c r="N130" s="807">
        <v>41584</v>
      </c>
    </row>
    <row r="131" spans="1:14">
      <c r="A131" s="589" t="s">
        <v>1726</v>
      </c>
      <c r="B131" s="583">
        <v>54</v>
      </c>
      <c r="C131" s="243">
        <v>41568</v>
      </c>
      <c r="D131" s="243">
        <v>41568</v>
      </c>
      <c r="E131" s="589" t="s">
        <v>185</v>
      </c>
      <c r="F131" s="589" t="s">
        <v>1392</v>
      </c>
      <c r="G131" s="589" t="s">
        <v>1483</v>
      </c>
      <c r="H131" s="589">
        <v>46</v>
      </c>
      <c r="I131" s="583">
        <v>46</v>
      </c>
      <c r="J131" s="589"/>
      <c r="K131" s="589" t="s">
        <v>1071</v>
      </c>
      <c r="L131" s="806">
        <v>2</v>
      </c>
      <c r="M131" s="806">
        <v>8</v>
      </c>
      <c r="N131" s="807">
        <v>41572</v>
      </c>
    </row>
    <row r="132" spans="1:14">
      <c r="A132" s="589" t="s">
        <v>1726</v>
      </c>
      <c r="B132" s="583">
        <v>54</v>
      </c>
      <c r="C132" s="243">
        <v>41568</v>
      </c>
      <c r="D132" s="243">
        <v>41568</v>
      </c>
      <c r="E132" s="589" t="s">
        <v>245</v>
      </c>
      <c r="F132" s="589" t="s">
        <v>1392</v>
      </c>
      <c r="G132" s="589" t="s">
        <v>991</v>
      </c>
      <c r="H132" s="589">
        <v>7</v>
      </c>
      <c r="I132" s="583">
        <v>7</v>
      </c>
      <c r="J132" s="589" t="s">
        <v>1419</v>
      </c>
      <c r="K132" s="637" t="s">
        <v>1071</v>
      </c>
      <c r="L132" s="809">
        <v>5</v>
      </c>
      <c r="M132" s="809">
        <v>35</v>
      </c>
      <c r="N132" s="807">
        <v>41575</v>
      </c>
    </row>
    <row r="133" spans="1:14">
      <c r="A133" s="589" t="s">
        <v>1726</v>
      </c>
      <c r="B133" s="583">
        <v>54</v>
      </c>
      <c r="C133" s="243">
        <v>41568</v>
      </c>
      <c r="D133" s="243">
        <v>41568</v>
      </c>
      <c r="E133" s="589" t="s">
        <v>179</v>
      </c>
      <c r="F133" s="589" t="s">
        <v>1392</v>
      </c>
      <c r="G133" s="805" t="s">
        <v>1000</v>
      </c>
      <c r="H133" s="589">
        <v>31</v>
      </c>
      <c r="I133" s="583">
        <v>31</v>
      </c>
      <c r="J133" s="589"/>
      <c r="K133" s="589" t="s">
        <v>1071</v>
      </c>
      <c r="L133" s="806">
        <v>2</v>
      </c>
      <c r="M133" s="806">
        <v>8</v>
      </c>
      <c r="N133" s="807">
        <v>41584</v>
      </c>
    </row>
    <row r="134" spans="1:14">
      <c r="A134" s="589" t="s">
        <v>1727</v>
      </c>
      <c r="B134" s="583">
        <v>55</v>
      </c>
      <c r="C134" s="243">
        <v>41568</v>
      </c>
      <c r="D134" s="243">
        <v>41568</v>
      </c>
      <c r="E134" s="584" t="s">
        <v>206</v>
      </c>
      <c r="F134" s="589" t="s">
        <v>1392</v>
      </c>
      <c r="G134" s="805" t="s">
        <v>996</v>
      </c>
      <c r="H134" s="589">
        <v>268</v>
      </c>
      <c r="I134" s="583">
        <v>268</v>
      </c>
      <c r="J134" s="589"/>
      <c r="K134" s="637" t="s">
        <v>1071</v>
      </c>
      <c r="L134" s="806">
        <v>6</v>
      </c>
      <c r="M134" s="806">
        <v>42</v>
      </c>
      <c r="N134" s="807">
        <v>41584</v>
      </c>
    </row>
    <row r="135" spans="1:14">
      <c r="A135" s="589" t="s">
        <v>1727</v>
      </c>
      <c r="B135" s="583">
        <v>55</v>
      </c>
      <c r="C135" s="243">
        <v>41568</v>
      </c>
      <c r="D135" s="243">
        <v>41568</v>
      </c>
      <c r="E135" s="589" t="s">
        <v>185</v>
      </c>
      <c r="F135" s="589" t="s">
        <v>1392</v>
      </c>
      <c r="G135" s="589" t="s">
        <v>1483</v>
      </c>
      <c r="H135" s="589">
        <v>69</v>
      </c>
      <c r="I135" s="583">
        <v>69</v>
      </c>
      <c r="J135" s="589"/>
      <c r="K135" s="589" t="s">
        <v>1071</v>
      </c>
      <c r="L135" s="806">
        <v>2</v>
      </c>
      <c r="M135" s="806">
        <v>8</v>
      </c>
      <c r="N135" s="807">
        <v>41572</v>
      </c>
    </row>
    <row r="136" spans="1:14">
      <c r="A136" s="589" t="s">
        <v>1727</v>
      </c>
      <c r="B136" s="583">
        <v>55</v>
      </c>
      <c r="C136" s="243">
        <v>41568</v>
      </c>
      <c r="D136" s="243">
        <v>41568</v>
      </c>
      <c r="E136" s="589" t="s">
        <v>245</v>
      </c>
      <c r="F136" s="589" t="s">
        <v>1392</v>
      </c>
      <c r="G136" s="589" t="s">
        <v>991</v>
      </c>
      <c r="H136" s="589">
        <v>6</v>
      </c>
      <c r="I136" s="583">
        <v>6</v>
      </c>
      <c r="J136" s="589" t="s">
        <v>1419</v>
      </c>
      <c r="K136" s="637" t="s">
        <v>1071</v>
      </c>
      <c r="L136" s="809">
        <v>5</v>
      </c>
      <c r="M136" s="809">
        <v>35</v>
      </c>
      <c r="N136" s="807">
        <v>41575</v>
      </c>
    </row>
    <row r="137" spans="1:14">
      <c r="A137" s="589" t="s">
        <v>1727</v>
      </c>
      <c r="B137" s="583">
        <v>55</v>
      </c>
      <c r="C137" s="243">
        <v>41568</v>
      </c>
      <c r="D137" s="243">
        <v>41568</v>
      </c>
      <c r="E137" s="589" t="s">
        <v>179</v>
      </c>
      <c r="F137" s="589" t="s">
        <v>1392</v>
      </c>
      <c r="G137" s="805" t="s">
        <v>1000</v>
      </c>
      <c r="H137" s="589"/>
      <c r="I137" s="583"/>
      <c r="J137" s="589" t="s">
        <v>1395</v>
      </c>
      <c r="K137" s="589" t="s">
        <v>1071</v>
      </c>
      <c r="L137" s="806">
        <v>2</v>
      </c>
      <c r="M137" s="806">
        <v>8</v>
      </c>
      <c r="N137" s="807">
        <v>41584</v>
      </c>
    </row>
    <row r="139" spans="1:14">
      <c r="A139" s="804" t="s">
        <v>1784</v>
      </c>
      <c r="B139" s="583">
        <v>52</v>
      </c>
      <c r="C139" s="243">
        <v>41596</v>
      </c>
      <c r="D139" s="243">
        <v>41596</v>
      </c>
      <c r="E139" s="584" t="s">
        <v>206</v>
      </c>
      <c r="F139" s="589" t="s">
        <v>1392</v>
      </c>
      <c r="G139" s="805" t="s">
        <v>996</v>
      </c>
      <c r="H139" s="589">
        <v>516</v>
      </c>
      <c r="I139" s="583">
        <v>516</v>
      </c>
      <c r="J139" s="589"/>
      <c r="K139" s="637" t="s">
        <v>1071</v>
      </c>
      <c r="L139" s="806">
        <v>6</v>
      </c>
      <c r="M139" s="806">
        <v>42</v>
      </c>
      <c r="N139" s="807">
        <v>41611</v>
      </c>
    </row>
    <row r="140" spans="1:14">
      <c r="A140" s="804" t="s">
        <v>1784</v>
      </c>
      <c r="B140" s="583">
        <v>52</v>
      </c>
      <c r="C140" s="243">
        <v>41596</v>
      </c>
      <c r="D140" s="243">
        <v>41596</v>
      </c>
      <c r="E140" s="589" t="s">
        <v>185</v>
      </c>
      <c r="F140" s="589" t="s">
        <v>1392</v>
      </c>
      <c r="G140" s="589" t="s">
        <v>1483</v>
      </c>
      <c r="H140" s="589">
        <v>309</v>
      </c>
      <c r="I140" s="583">
        <v>309</v>
      </c>
      <c r="J140" s="589"/>
      <c r="K140" s="589" t="s">
        <v>1071</v>
      </c>
      <c r="L140" s="806">
        <v>2</v>
      </c>
      <c r="M140" s="806">
        <v>8</v>
      </c>
      <c r="N140" s="807">
        <v>41598</v>
      </c>
    </row>
    <row r="141" spans="1:14">
      <c r="A141" s="804" t="s">
        <v>1784</v>
      </c>
      <c r="B141" s="583">
        <v>52</v>
      </c>
      <c r="C141" s="243">
        <v>41596</v>
      </c>
      <c r="D141" s="243">
        <v>41596</v>
      </c>
      <c r="E141" s="589" t="s">
        <v>245</v>
      </c>
      <c r="F141" s="589" t="s">
        <v>1392</v>
      </c>
      <c r="G141" s="589" t="s">
        <v>991</v>
      </c>
      <c r="H141" s="589">
        <v>30</v>
      </c>
      <c r="I141" s="808" t="s">
        <v>1785</v>
      </c>
      <c r="J141" s="589" t="s">
        <v>1419</v>
      </c>
      <c r="K141" s="637" t="s">
        <v>1071</v>
      </c>
      <c r="L141" s="809">
        <v>5</v>
      </c>
      <c r="M141" s="809">
        <v>35</v>
      </c>
      <c r="N141" s="807">
        <v>41610</v>
      </c>
    </row>
    <row r="142" spans="1:14">
      <c r="A142" s="804" t="s">
        <v>1784</v>
      </c>
      <c r="B142" s="583">
        <v>52</v>
      </c>
      <c r="C142" s="243">
        <v>41596</v>
      </c>
      <c r="D142" s="243">
        <v>41596</v>
      </c>
      <c r="E142" s="589" t="s">
        <v>179</v>
      </c>
      <c r="F142" s="589" t="s">
        <v>1392</v>
      </c>
      <c r="G142" s="805" t="s">
        <v>1000</v>
      </c>
      <c r="H142" s="589">
        <v>19</v>
      </c>
      <c r="I142" s="583">
        <v>19</v>
      </c>
      <c r="J142" s="589"/>
      <c r="K142" s="589" t="s">
        <v>1071</v>
      </c>
      <c r="L142" s="806">
        <v>2</v>
      </c>
      <c r="M142" s="806">
        <v>8</v>
      </c>
      <c r="N142" s="807">
        <v>41611</v>
      </c>
    </row>
    <row r="143" spans="1:14">
      <c r="A143" s="804" t="s">
        <v>1784</v>
      </c>
      <c r="B143" s="583">
        <v>53</v>
      </c>
      <c r="C143" s="243">
        <v>41596</v>
      </c>
      <c r="D143" s="243">
        <v>41596</v>
      </c>
      <c r="E143" s="584" t="s">
        <v>206</v>
      </c>
      <c r="F143" s="589" t="s">
        <v>1392</v>
      </c>
      <c r="G143" s="805" t="s">
        <v>996</v>
      </c>
      <c r="H143" s="589">
        <v>238</v>
      </c>
      <c r="I143" s="583">
        <v>238</v>
      </c>
      <c r="J143" s="589"/>
      <c r="K143" s="637" t="s">
        <v>1071</v>
      </c>
      <c r="L143" s="806">
        <v>6</v>
      </c>
      <c r="M143" s="806">
        <v>42</v>
      </c>
      <c r="N143" s="807">
        <v>41611</v>
      </c>
    </row>
    <row r="144" spans="1:14">
      <c r="A144" s="804" t="s">
        <v>1784</v>
      </c>
      <c r="B144" s="583">
        <v>53</v>
      </c>
      <c r="C144" s="243">
        <v>41596</v>
      </c>
      <c r="D144" s="243">
        <v>41596</v>
      </c>
      <c r="E144" s="589" t="s">
        <v>185</v>
      </c>
      <c r="F144" s="589" t="s">
        <v>1392</v>
      </c>
      <c r="G144" s="589" t="s">
        <v>1483</v>
      </c>
      <c r="H144" s="589">
        <v>99</v>
      </c>
      <c r="I144" s="583">
        <v>99</v>
      </c>
      <c r="J144" s="589"/>
      <c r="K144" s="589" t="s">
        <v>1071</v>
      </c>
      <c r="L144" s="806">
        <v>2</v>
      </c>
      <c r="M144" s="806">
        <v>8</v>
      </c>
      <c r="N144" s="807">
        <v>41598</v>
      </c>
    </row>
    <row r="145" spans="1:14">
      <c r="A145" s="804" t="s">
        <v>1784</v>
      </c>
      <c r="B145" s="583">
        <v>53</v>
      </c>
      <c r="C145" s="243">
        <v>41596</v>
      </c>
      <c r="D145" s="243">
        <v>41596</v>
      </c>
      <c r="E145" s="589" t="s">
        <v>245</v>
      </c>
      <c r="F145" s="589" t="s">
        <v>1392</v>
      </c>
      <c r="G145" s="589" t="s">
        <v>991</v>
      </c>
      <c r="H145" s="589">
        <v>43</v>
      </c>
      <c r="I145" s="808" t="s">
        <v>1399</v>
      </c>
      <c r="J145" s="589"/>
      <c r="K145" s="637" t="s">
        <v>1071</v>
      </c>
      <c r="L145" s="809">
        <v>5</v>
      </c>
      <c r="M145" s="809">
        <v>35</v>
      </c>
      <c r="N145" s="807">
        <v>41610</v>
      </c>
    </row>
    <row r="146" spans="1:14">
      <c r="A146" s="804" t="s">
        <v>1784</v>
      </c>
      <c r="B146" s="583">
        <v>53</v>
      </c>
      <c r="C146" s="243">
        <v>41596</v>
      </c>
      <c r="D146" s="243">
        <v>41596</v>
      </c>
      <c r="E146" s="589" t="s">
        <v>179</v>
      </c>
      <c r="F146" s="589" t="s">
        <v>1392</v>
      </c>
      <c r="G146" s="805" t="s">
        <v>1000</v>
      </c>
      <c r="H146" s="589">
        <v>15</v>
      </c>
      <c r="I146" s="583">
        <v>15</v>
      </c>
      <c r="J146" s="589"/>
      <c r="K146" s="589" t="s">
        <v>1071</v>
      </c>
      <c r="L146" s="806">
        <v>2</v>
      </c>
      <c r="M146" s="806">
        <v>8</v>
      </c>
      <c r="N146" s="807">
        <v>41611</v>
      </c>
    </row>
    <row r="147" spans="1:14">
      <c r="A147" s="804" t="s">
        <v>1786</v>
      </c>
      <c r="B147" s="583">
        <v>54</v>
      </c>
      <c r="C147" s="243">
        <v>41596</v>
      </c>
      <c r="D147" s="243">
        <v>41596</v>
      </c>
      <c r="E147" s="584" t="s">
        <v>206</v>
      </c>
      <c r="F147" s="589" t="s">
        <v>1392</v>
      </c>
      <c r="G147" s="805" t="s">
        <v>996</v>
      </c>
      <c r="H147" s="589">
        <v>280</v>
      </c>
      <c r="I147" s="583">
        <v>280</v>
      </c>
      <c r="J147" s="589"/>
      <c r="K147" s="637" t="s">
        <v>1071</v>
      </c>
      <c r="L147" s="806">
        <v>6</v>
      </c>
      <c r="M147" s="806">
        <v>42</v>
      </c>
      <c r="N147" s="807">
        <v>41611</v>
      </c>
    </row>
    <row r="148" spans="1:14">
      <c r="A148" s="804" t="s">
        <v>1786</v>
      </c>
      <c r="B148" s="583">
        <v>54</v>
      </c>
      <c r="C148" s="243">
        <v>41596</v>
      </c>
      <c r="D148" s="243">
        <v>41596</v>
      </c>
      <c r="E148" s="589" t="s">
        <v>185</v>
      </c>
      <c r="F148" s="589" t="s">
        <v>1392</v>
      </c>
      <c r="G148" s="589" t="s">
        <v>1483</v>
      </c>
      <c r="H148" s="589">
        <v>117</v>
      </c>
      <c r="I148" s="583">
        <v>117</v>
      </c>
      <c r="J148" s="589"/>
      <c r="K148" s="589" t="s">
        <v>1071</v>
      </c>
      <c r="L148" s="806">
        <v>2</v>
      </c>
      <c r="M148" s="806">
        <v>8</v>
      </c>
      <c r="N148" s="807">
        <v>41598</v>
      </c>
    </row>
    <row r="149" spans="1:14">
      <c r="A149" s="804" t="s">
        <v>1786</v>
      </c>
      <c r="B149" s="583">
        <v>54</v>
      </c>
      <c r="C149" s="243">
        <v>41596</v>
      </c>
      <c r="D149" s="243">
        <v>41596</v>
      </c>
      <c r="E149" s="589" t="s">
        <v>245</v>
      </c>
      <c r="F149" s="589" t="s">
        <v>1392</v>
      </c>
      <c r="G149" s="589" t="s">
        <v>991</v>
      </c>
      <c r="H149" s="589">
        <v>45</v>
      </c>
      <c r="I149" s="808" t="s">
        <v>1787</v>
      </c>
      <c r="J149" s="589"/>
      <c r="K149" s="637" t="s">
        <v>1071</v>
      </c>
      <c r="L149" s="809">
        <v>5</v>
      </c>
      <c r="M149" s="809">
        <v>35</v>
      </c>
      <c r="N149" s="807">
        <v>41610</v>
      </c>
    </row>
    <row r="150" spans="1:14">
      <c r="A150" s="804" t="s">
        <v>1786</v>
      </c>
      <c r="B150" s="583">
        <v>54</v>
      </c>
      <c r="C150" s="243">
        <v>41596</v>
      </c>
      <c r="D150" s="243">
        <v>41596</v>
      </c>
      <c r="E150" s="589" t="s">
        <v>179</v>
      </c>
      <c r="F150" s="589" t="s">
        <v>1392</v>
      </c>
      <c r="G150" s="805" t="s">
        <v>1000</v>
      </c>
      <c r="H150" s="589">
        <v>22</v>
      </c>
      <c r="I150" s="583">
        <v>22</v>
      </c>
      <c r="J150" s="589"/>
      <c r="K150" s="589" t="s">
        <v>1071</v>
      </c>
      <c r="L150" s="806">
        <v>2</v>
      </c>
      <c r="M150" s="806">
        <v>8</v>
      </c>
      <c r="N150" s="807">
        <v>41611</v>
      </c>
    </row>
    <row r="151" spans="1:14">
      <c r="A151" s="804" t="s">
        <v>1788</v>
      </c>
      <c r="B151" s="583">
        <v>55</v>
      </c>
      <c r="C151" s="243">
        <v>41596</v>
      </c>
      <c r="D151" s="243">
        <v>41596</v>
      </c>
      <c r="E151" s="584" t="s">
        <v>206</v>
      </c>
      <c r="F151" s="589" t="s">
        <v>1392</v>
      </c>
      <c r="G151" s="805" t="s">
        <v>996</v>
      </c>
      <c r="H151" s="589">
        <v>199</v>
      </c>
      <c r="I151" s="583">
        <v>199</v>
      </c>
      <c r="J151" s="589"/>
      <c r="K151" s="637" t="s">
        <v>1071</v>
      </c>
      <c r="L151" s="806">
        <v>6</v>
      </c>
      <c r="M151" s="806">
        <v>42</v>
      </c>
      <c r="N151" s="807">
        <v>41611</v>
      </c>
    </row>
    <row r="152" spans="1:14">
      <c r="A152" s="804" t="s">
        <v>1788</v>
      </c>
      <c r="B152" s="583">
        <v>55</v>
      </c>
      <c r="C152" s="243">
        <v>41596</v>
      </c>
      <c r="D152" s="243">
        <v>41596</v>
      </c>
      <c r="E152" s="589" t="s">
        <v>185</v>
      </c>
      <c r="F152" s="589" t="s">
        <v>1392</v>
      </c>
      <c r="G152" s="589" t="s">
        <v>1483</v>
      </c>
      <c r="H152" s="589">
        <v>7</v>
      </c>
      <c r="I152" s="583">
        <v>7</v>
      </c>
      <c r="J152" s="589" t="s">
        <v>1419</v>
      </c>
      <c r="K152" s="589" t="s">
        <v>1071</v>
      </c>
      <c r="L152" s="806">
        <v>2</v>
      </c>
      <c r="M152" s="806">
        <v>8</v>
      </c>
      <c r="N152" s="807">
        <v>41598</v>
      </c>
    </row>
    <row r="153" spans="1:14">
      <c r="A153" s="804" t="s">
        <v>1788</v>
      </c>
      <c r="B153" s="583">
        <v>55</v>
      </c>
      <c r="C153" s="243">
        <v>41596</v>
      </c>
      <c r="D153" s="243">
        <v>41596</v>
      </c>
      <c r="E153" s="589" t="s">
        <v>245</v>
      </c>
      <c r="F153" s="589" t="s">
        <v>1392</v>
      </c>
      <c r="G153" s="589" t="s">
        <v>991</v>
      </c>
      <c r="H153" s="589">
        <v>48</v>
      </c>
      <c r="I153" s="808" t="s">
        <v>1789</v>
      </c>
      <c r="J153" s="589"/>
      <c r="K153" s="637" t="s">
        <v>1071</v>
      </c>
      <c r="L153" s="809">
        <v>5</v>
      </c>
      <c r="M153" s="809">
        <v>35</v>
      </c>
      <c r="N153" s="807">
        <v>41610</v>
      </c>
    </row>
    <row r="154" spans="1:14">
      <c r="A154" s="804" t="s">
        <v>1788</v>
      </c>
      <c r="B154" s="583">
        <v>55</v>
      </c>
      <c r="C154" s="243">
        <v>41596</v>
      </c>
      <c r="D154" s="243">
        <v>41596</v>
      </c>
      <c r="E154" s="589" t="s">
        <v>179</v>
      </c>
      <c r="F154" s="589" t="s">
        <v>1392</v>
      </c>
      <c r="G154" s="805" t="s">
        <v>1000</v>
      </c>
      <c r="H154" s="589">
        <v>23</v>
      </c>
      <c r="I154" s="583">
        <v>23</v>
      </c>
      <c r="J154" s="589"/>
      <c r="K154" s="589" t="s">
        <v>1071</v>
      </c>
      <c r="L154" s="806">
        <v>2</v>
      </c>
      <c r="M154" s="806">
        <v>8</v>
      </c>
      <c r="N154" s="807">
        <v>41611</v>
      </c>
    </row>
    <row r="156" spans="1:14">
      <c r="A156" s="589" t="s">
        <v>1795</v>
      </c>
      <c r="B156" s="583">
        <v>52</v>
      </c>
      <c r="C156" s="243">
        <v>41624</v>
      </c>
      <c r="D156" s="243">
        <v>41624</v>
      </c>
      <c r="E156" s="584" t="s">
        <v>206</v>
      </c>
      <c r="F156" s="589" t="s">
        <v>1392</v>
      </c>
      <c r="G156" s="805" t="s">
        <v>996</v>
      </c>
      <c r="H156" s="589">
        <v>633</v>
      </c>
      <c r="I156" s="583">
        <v>633</v>
      </c>
      <c r="J156" s="589"/>
      <c r="K156" s="637" t="s">
        <v>1071</v>
      </c>
      <c r="L156" s="806">
        <v>6</v>
      </c>
      <c r="M156" s="806">
        <v>42</v>
      </c>
      <c r="N156" s="807">
        <v>41627</v>
      </c>
    </row>
    <row r="157" spans="1:14">
      <c r="A157" s="589" t="s">
        <v>1795</v>
      </c>
      <c r="B157" s="583">
        <v>52</v>
      </c>
      <c r="C157" s="243">
        <v>41624</v>
      </c>
      <c r="D157" s="243">
        <v>41624</v>
      </c>
      <c r="E157" s="589" t="s">
        <v>185</v>
      </c>
      <c r="F157" s="589" t="s">
        <v>1392</v>
      </c>
      <c r="G157" s="589" t="s">
        <v>1483</v>
      </c>
      <c r="H157" s="589">
        <v>483</v>
      </c>
      <c r="I157" s="583">
        <v>483</v>
      </c>
      <c r="J157" s="589"/>
      <c r="K157" s="589" t="s">
        <v>1071</v>
      </c>
      <c r="L157" s="806">
        <v>2</v>
      </c>
      <c r="M157" s="806">
        <v>8</v>
      </c>
      <c r="N157" s="807">
        <v>41626</v>
      </c>
    </row>
    <row r="158" spans="1:14">
      <c r="A158" s="589" t="s">
        <v>1795</v>
      </c>
      <c r="B158" s="583">
        <v>52</v>
      </c>
      <c r="C158" s="243">
        <v>41624</v>
      </c>
      <c r="D158" s="243">
        <v>41624</v>
      </c>
      <c r="E158" s="589" t="s">
        <v>245</v>
      </c>
      <c r="F158" s="589" t="s">
        <v>1392</v>
      </c>
      <c r="G158" s="589" t="s">
        <v>991</v>
      </c>
      <c r="H158" s="589"/>
      <c r="I158" s="583"/>
      <c r="J158" s="589" t="s">
        <v>1395</v>
      </c>
      <c r="K158" s="637" t="s">
        <v>1071</v>
      </c>
      <c r="L158" s="809">
        <v>5</v>
      </c>
      <c r="M158" s="809">
        <v>35</v>
      </c>
      <c r="N158" s="807">
        <v>41625</v>
      </c>
    </row>
    <row r="159" spans="1:14">
      <c r="A159" s="589" t="s">
        <v>1795</v>
      </c>
      <c r="B159" s="583">
        <v>52</v>
      </c>
      <c r="C159" s="243">
        <v>41624</v>
      </c>
      <c r="D159" s="243">
        <v>41624</v>
      </c>
      <c r="E159" s="589" t="s">
        <v>179</v>
      </c>
      <c r="F159" s="589" t="s">
        <v>1392</v>
      </c>
      <c r="G159" s="805" t="s">
        <v>1000</v>
      </c>
      <c r="H159" s="589">
        <v>16</v>
      </c>
      <c r="I159" s="583">
        <v>16</v>
      </c>
      <c r="J159" s="589"/>
      <c r="K159" s="589" t="s">
        <v>1071</v>
      </c>
      <c r="L159" s="806">
        <v>2</v>
      </c>
      <c r="M159" s="806">
        <v>8</v>
      </c>
      <c r="N159" s="807">
        <v>41627</v>
      </c>
    </row>
    <row r="160" spans="1:14">
      <c r="A160" s="589" t="s">
        <v>1796</v>
      </c>
      <c r="B160" s="585">
        <v>53</v>
      </c>
      <c r="C160" s="243">
        <v>41624</v>
      </c>
      <c r="D160" s="243">
        <v>41624</v>
      </c>
      <c r="E160" s="584" t="s">
        <v>206</v>
      </c>
      <c r="F160" s="589" t="s">
        <v>1392</v>
      </c>
      <c r="G160" s="805" t="s">
        <v>996</v>
      </c>
      <c r="H160" s="589">
        <v>437</v>
      </c>
      <c r="I160" s="583">
        <v>437</v>
      </c>
      <c r="J160" s="589"/>
      <c r="K160" s="637" t="s">
        <v>1071</v>
      </c>
      <c r="L160" s="806">
        <v>6</v>
      </c>
      <c r="M160" s="806">
        <v>42</v>
      </c>
      <c r="N160" s="807">
        <v>41627</v>
      </c>
    </row>
    <row r="161" spans="1:14">
      <c r="A161" s="589" t="s">
        <v>1796</v>
      </c>
      <c r="B161" s="585">
        <v>53</v>
      </c>
      <c r="C161" s="243">
        <v>41624</v>
      </c>
      <c r="D161" s="243">
        <v>41624</v>
      </c>
      <c r="E161" s="589" t="s">
        <v>185</v>
      </c>
      <c r="F161" s="589" t="s">
        <v>1392</v>
      </c>
      <c r="G161" s="589" t="s">
        <v>1483</v>
      </c>
      <c r="H161" s="589">
        <v>219</v>
      </c>
      <c r="I161" s="583">
        <v>219</v>
      </c>
      <c r="J161" s="589"/>
      <c r="K161" s="589" t="s">
        <v>1071</v>
      </c>
      <c r="L161" s="806">
        <v>2</v>
      </c>
      <c r="M161" s="806">
        <v>8</v>
      </c>
      <c r="N161" s="807">
        <v>41626</v>
      </c>
    </row>
    <row r="162" spans="1:14">
      <c r="A162" s="589" t="s">
        <v>1796</v>
      </c>
      <c r="B162" s="585">
        <v>53</v>
      </c>
      <c r="C162" s="243">
        <v>41624</v>
      </c>
      <c r="D162" s="243">
        <v>41624</v>
      </c>
      <c r="E162" s="589" t="s">
        <v>245</v>
      </c>
      <c r="F162" s="589" t="s">
        <v>1392</v>
      </c>
      <c r="G162" s="589" t="s">
        <v>991</v>
      </c>
      <c r="H162" s="589"/>
      <c r="I162" s="583"/>
      <c r="J162" s="589" t="s">
        <v>1395</v>
      </c>
      <c r="K162" s="637" t="s">
        <v>1071</v>
      </c>
      <c r="L162" s="809">
        <v>5</v>
      </c>
      <c r="M162" s="809">
        <v>35</v>
      </c>
      <c r="N162" s="807">
        <v>41625</v>
      </c>
    </row>
    <row r="163" spans="1:14">
      <c r="A163" s="589" t="s">
        <v>1796</v>
      </c>
      <c r="B163" s="585">
        <v>53</v>
      </c>
      <c r="C163" s="243">
        <v>41624</v>
      </c>
      <c r="D163" s="243">
        <v>41624</v>
      </c>
      <c r="E163" s="589" t="s">
        <v>179</v>
      </c>
      <c r="F163" s="589" t="s">
        <v>1392</v>
      </c>
      <c r="G163" s="805" t="s">
        <v>1000</v>
      </c>
      <c r="H163" s="589">
        <v>16</v>
      </c>
      <c r="I163" s="583">
        <v>16</v>
      </c>
      <c r="J163" s="589"/>
      <c r="K163" s="589" t="s">
        <v>1071</v>
      </c>
      <c r="L163" s="806">
        <v>2</v>
      </c>
      <c r="M163" s="806">
        <v>8</v>
      </c>
      <c r="N163" s="807">
        <v>41627</v>
      </c>
    </row>
    <row r="164" spans="1:14">
      <c r="A164" s="589" t="s">
        <v>1797</v>
      </c>
      <c r="B164" s="583">
        <v>54</v>
      </c>
      <c r="C164" s="243">
        <v>41624</v>
      </c>
      <c r="D164" s="243">
        <v>41624</v>
      </c>
      <c r="E164" s="584" t="s">
        <v>206</v>
      </c>
      <c r="F164" s="589" t="s">
        <v>1392</v>
      </c>
      <c r="G164" s="805" t="s">
        <v>996</v>
      </c>
      <c r="H164" s="589">
        <v>469</v>
      </c>
      <c r="I164" s="583">
        <v>469</v>
      </c>
      <c r="J164" s="589"/>
      <c r="K164" s="637" t="s">
        <v>1071</v>
      </c>
      <c r="L164" s="806">
        <v>6</v>
      </c>
      <c r="M164" s="806">
        <v>42</v>
      </c>
      <c r="N164" s="807">
        <v>41627</v>
      </c>
    </row>
    <row r="165" spans="1:14">
      <c r="A165" s="589" t="s">
        <v>1797</v>
      </c>
      <c r="B165" s="583">
        <v>54</v>
      </c>
      <c r="C165" s="243">
        <v>41624</v>
      </c>
      <c r="D165" s="243">
        <v>41624</v>
      </c>
      <c r="E165" s="589" t="s">
        <v>185</v>
      </c>
      <c r="F165" s="589" t="s">
        <v>1392</v>
      </c>
      <c r="G165" s="589" t="s">
        <v>1483</v>
      </c>
      <c r="H165" s="589">
        <v>285</v>
      </c>
      <c r="I165" s="583">
        <v>285</v>
      </c>
      <c r="J165" s="589"/>
      <c r="K165" s="589" t="s">
        <v>1071</v>
      </c>
      <c r="L165" s="806">
        <v>2</v>
      </c>
      <c r="M165" s="806">
        <v>8</v>
      </c>
      <c r="N165" s="807">
        <v>41626</v>
      </c>
    </row>
    <row r="166" spans="1:14">
      <c r="A166" s="589" t="s">
        <v>1797</v>
      </c>
      <c r="B166" s="583">
        <v>54</v>
      </c>
      <c r="C166" s="243">
        <v>41624</v>
      </c>
      <c r="D166" s="243">
        <v>41624</v>
      </c>
      <c r="E166" s="589" t="s">
        <v>245</v>
      </c>
      <c r="F166" s="589" t="s">
        <v>1392</v>
      </c>
      <c r="G166" s="589" t="s">
        <v>991</v>
      </c>
      <c r="H166" s="589"/>
      <c r="I166" s="583"/>
      <c r="J166" s="589" t="s">
        <v>1395</v>
      </c>
      <c r="K166" s="637" t="s">
        <v>1071</v>
      </c>
      <c r="L166" s="809">
        <v>5</v>
      </c>
      <c r="M166" s="809">
        <v>35</v>
      </c>
      <c r="N166" s="807">
        <v>41625</v>
      </c>
    </row>
    <row r="167" spans="1:14">
      <c r="A167" s="589" t="s">
        <v>1797</v>
      </c>
      <c r="B167" s="583">
        <v>54</v>
      </c>
      <c r="C167" s="243">
        <v>41624</v>
      </c>
      <c r="D167" s="243">
        <v>41624</v>
      </c>
      <c r="E167" s="589" t="s">
        <v>179</v>
      </c>
      <c r="F167" s="589" t="s">
        <v>1392</v>
      </c>
      <c r="G167" s="805" t="s">
        <v>1000</v>
      </c>
      <c r="H167" s="589">
        <v>25</v>
      </c>
      <c r="I167" s="583">
        <v>25</v>
      </c>
      <c r="J167" s="589"/>
      <c r="K167" s="589" t="s">
        <v>1071</v>
      </c>
      <c r="L167" s="806">
        <v>2</v>
      </c>
      <c r="M167" s="806">
        <v>8</v>
      </c>
      <c r="N167" s="807">
        <v>41627</v>
      </c>
    </row>
    <row r="168" spans="1:14">
      <c r="A168" s="589" t="s">
        <v>1798</v>
      </c>
      <c r="B168" s="583">
        <v>55</v>
      </c>
      <c r="C168" s="243">
        <v>41624</v>
      </c>
      <c r="D168" s="243">
        <v>41624</v>
      </c>
      <c r="E168" s="584" t="s">
        <v>206</v>
      </c>
      <c r="F168" s="589" t="s">
        <v>1392</v>
      </c>
      <c r="G168" s="805" t="s">
        <v>996</v>
      </c>
      <c r="H168" s="589">
        <v>262</v>
      </c>
      <c r="I168" s="583">
        <v>262</v>
      </c>
      <c r="J168" s="589"/>
      <c r="K168" s="637" t="s">
        <v>1071</v>
      </c>
      <c r="L168" s="806">
        <v>6</v>
      </c>
      <c r="M168" s="806">
        <v>42</v>
      </c>
      <c r="N168" s="807">
        <v>41627</v>
      </c>
    </row>
    <row r="169" spans="1:14">
      <c r="A169" s="589" t="s">
        <v>1798</v>
      </c>
      <c r="B169" s="583">
        <v>55</v>
      </c>
      <c r="C169" s="243">
        <v>41624</v>
      </c>
      <c r="D169" s="243">
        <v>41624</v>
      </c>
      <c r="E169" s="589" t="s">
        <v>185</v>
      </c>
      <c r="F169" s="589" t="s">
        <v>1392</v>
      </c>
      <c r="G169" s="589" t="s">
        <v>1483</v>
      </c>
      <c r="H169" s="589">
        <v>78</v>
      </c>
      <c r="I169" s="583">
        <v>78</v>
      </c>
      <c r="J169" s="589"/>
      <c r="K169" s="589" t="s">
        <v>1071</v>
      </c>
      <c r="L169" s="806">
        <v>2</v>
      </c>
      <c r="M169" s="806">
        <v>8</v>
      </c>
      <c r="N169" s="807">
        <v>41626</v>
      </c>
    </row>
    <row r="170" spans="1:14">
      <c r="A170" s="589" t="s">
        <v>1798</v>
      </c>
      <c r="B170" s="583">
        <v>55</v>
      </c>
      <c r="C170" s="243">
        <v>41624</v>
      </c>
      <c r="D170" s="243">
        <v>41624</v>
      </c>
      <c r="E170" s="589" t="s">
        <v>245</v>
      </c>
      <c r="F170" s="589" t="s">
        <v>1392</v>
      </c>
      <c r="G170" s="589" t="s">
        <v>991</v>
      </c>
      <c r="H170" s="589">
        <v>14</v>
      </c>
      <c r="I170" s="583">
        <v>14</v>
      </c>
      <c r="J170" s="589" t="s">
        <v>1419</v>
      </c>
      <c r="K170" s="637" t="s">
        <v>1071</v>
      </c>
      <c r="L170" s="809">
        <v>5</v>
      </c>
      <c r="M170" s="809">
        <v>35</v>
      </c>
      <c r="N170" s="807">
        <v>41625</v>
      </c>
    </row>
    <row r="171" spans="1:14">
      <c r="A171" s="589" t="s">
        <v>1798</v>
      </c>
      <c r="B171" s="583">
        <v>55</v>
      </c>
      <c r="C171" s="243">
        <v>41624</v>
      </c>
      <c r="D171" s="243">
        <v>41624</v>
      </c>
      <c r="E171" s="589" t="s">
        <v>179</v>
      </c>
      <c r="F171" s="589" t="s">
        <v>1392</v>
      </c>
      <c r="G171" s="805" t="s">
        <v>1000</v>
      </c>
      <c r="H171" s="589">
        <v>58</v>
      </c>
      <c r="I171" s="583">
        <v>58</v>
      </c>
      <c r="J171" s="589"/>
      <c r="K171" s="589" t="s">
        <v>1071</v>
      </c>
      <c r="L171" s="806">
        <v>2</v>
      </c>
      <c r="M171" s="806">
        <v>8</v>
      </c>
      <c r="N171" s="807">
        <v>41627</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E26"/>
  <sheetViews>
    <sheetView workbookViewId="0">
      <selection activeCell="J23" sqref="I23:J23"/>
    </sheetView>
  </sheetViews>
  <sheetFormatPr defaultRowHeight="12.5"/>
  <cols>
    <col min="1" max="1" width="48.81640625" bestFit="1" customWidth="1"/>
    <col min="2" max="2" width="19.90625" bestFit="1" customWidth="1"/>
    <col min="3" max="3" width="17.6328125" bestFit="1" customWidth="1"/>
    <col min="4" max="4" width="17.1796875" bestFit="1" customWidth="1"/>
    <col min="5" max="5" width="14.453125" customWidth="1"/>
  </cols>
  <sheetData>
    <row r="1" spans="1:5" ht="13">
      <c r="B1" s="1455" t="s">
        <v>1978</v>
      </c>
      <c r="C1" s="1455"/>
      <c r="D1" s="1455"/>
      <c r="E1" s="1455"/>
    </row>
    <row r="2" spans="1:5" ht="27.65" customHeight="1">
      <c r="A2" t="s">
        <v>1973</v>
      </c>
      <c r="B2" s="1455" t="s">
        <v>1972</v>
      </c>
      <c r="C2" s="1455"/>
      <c r="D2" s="1455"/>
      <c r="E2" s="1456" t="s">
        <v>1977</v>
      </c>
    </row>
    <row r="3" spans="1:5" ht="36">
      <c r="A3" t="s">
        <v>1952</v>
      </c>
      <c r="B3" s="1147" t="s">
        <v>1975</v>
      </c>
      <c r="C3" s="1147" t="s">
        <v>1974</v>
      </c>
      <c r="D3" s="1147" t="s">
        <v>1976</v>
      </c>
      <c r="E3" s="1457"/>
    </row>
    <row r="4" spans="1:5" ht="13">
      <c r="A4" t="s">
        <v>1953</v>
      </c>
      <c r="B4" s="1146">
        <v>126</v>
      </c>
      <c r="C4" s="1146">
        <v>205</v>
      </c>
      <c r="D4" s="1146">
        <v>630</v>
      </c>
      <c r="E4" s="1146">
        <v>630</v>
      </c>
    </row>
    <row r="5" spans="1:5">
      <c r="A5" t="s">
        <v>1954</v>
      </c>
    </row>
    <row r="6" spans="1:5">
      <c r="A6" t="s">
        <v>1955</v>
      </c>
    </row>
    <row r="7" spans="1:5">
      <c r="A7" t="s">
        <v>1956</v>
      </c>
    </row>
    <row r="8" spans="1:5">
      <c r="A8" t="s">
        <v>1957</v>
      </c>
    </row>
    <row r="9" spans="1:5">
      <c r="A9" t="s">
        <v>1958</v>
      </c>
    </row>
    <row r="10" spans="1:5">
      <c r="A10" t="s">
        <v>1959</v>
      </c>
    </row>
    <row r="11" spans="1:5">
      <c r="A11" t="s">
        <v>1960</v>
      </c>
    </row>
    <row r="12" spans="1:5">
      <c r="A12" t="s">
        <v>1961</v>
      </c>
    </row>
    <row r="13" spans="1:5">
      <c r="A13" t="s">
        <v>1958</v>
      </c>
    </row>
    <row r="14" spans="1:5">
      <c r="A14" t="s">
        <v>1962</v>
      </c>
    </row>
    <row r="15" spans="1:5">
      <c r="A15" t="s">
        <v>1963</v>
      </c>
    </row>
    <row r="16" spans="1:5">
      <c r="A16" t="s">
        <v>1964</v>
      </c>
    </row>
    <row r="17" spans="1:1">
      <c r="A17" t="s">
        <v>1965</v>
      </c>
    </row>
    <row r="18" spans="1:1">
      <c r="A18" t="s">
        <v>1966</v>
      </c>
    </row>
    <row r="19" spans="1:1">
      <c r="A19" t="s">
        <v>1967</v>
      </c>
    </row>
    <row r="20" spans="1:1">
      <c r="A20" t="s">
        <v>1966</v>
      </c>
    </row>
    <row r="21" spans="1:1">
      <c r="A21" t="s">
        <v>1968</v>
      </c>
    </row>
    <row r="23" spans="1:1">
      <c r="A23" t="s">
        <v>1969</v>
      </c>
    </row>
    <row r="24" spans="1:1">
      <c r="A24" t="s">
        <v>1970</v>
      </c>
    </row>
    <row r="25" spans="1:1">
      <c r="A25" t="s">
        <v>1971</v>
      </c>
    </row>
    <row r="26" spans="1:1">
      <c r="A26">
        <v>630</v>
      </c>
    </row>
  </sheetData>
  <mergeCells count="3">
    <mergeCell ref="B2:D2"/>
    <mergeCell ref="B1:E1"/>
    <mergeCell ref="E2:E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J170"/>
  <sheetViews>
    <sheetView workbookViewId="0">
      <selection activeCell="H14" sqref="H14"/>
    </sheetView>
  </sheetViews>
  <sheetFormatPr defaultRowHeight="12.5"/>
  <cols>
    <col min="1" max="1" width="18.453125" style="17" customWidth="1"/>
    <col min="2" max="2" width="5" style="17" customWidth="1"/>
    <col min="3" max="3" width="6" style="17" customWidth="1"/>
    <col min="5" max="5" width="20.36328125" bestFit="1" customWidth="1"/>
    <col min="6" max="6" width="5.08984375" bestFit="1" customWidth="1"/>
  </cols>
  <sheetData>
    <row r="1" spans="1:10" ht="15.5">
      <c r="A1" s="1176" t="s">
        <v>55</v>
      </c>
      <c r="B1" s="1176"/>
      <c r="C1" s="1176"/>
      <c r="D1" s="1176"/>
      <c r="E1" s="1176"/>
      <c r="F1" s="1176"/>
      <c r="G1" s="1176"/>
      <c r="H1" s="24"/>
      <c r="I1" s="24"/>
      <c r="J1" s="24"/>
    </row>
    <row r="2" spans="1:10" ht="13">
      <c r="A2" s="85"/>
      <c r="B2" s="25" t="s">
        <v>48</v>
      </c>
      <c r="C2" s="26" t="s">
        <v>49</v>
      </c>
      <c r="D2" s="27"/>
      <c r="F2" s="25" t="s">
        <v>96</v>
      </c>
      <c r="G2" s="26" t="s">
        <v>49</v>
      </c>
    </row>
    <row r="3" spans="1:10">
      <c r="A3" s="15" t="s">
        <v>26</v>
      </c>
      <c r="B3" s="1124">
        <v>1990</v>
      </c>
      <c r="C3" s="197">
        <v>119.5</v>
      </c>
      <c r="E3" s="15" t="s">
        <v>20</v>
      </c>
      <c r="F3" s="1124">
        <v>1990</v>
      </c>
      <c r="G3" s="197">
        <v>334</v>
      </c>
    </row>
    <row r="4" spans="1:10">
      <c r="B4" s="1124">
        <v>1991</v>
      </c>
      <c r="C4" s="197">
        <v>270</v>
      </c>
      <c r="E4" s="17"/>
      <c r="F4" s="1124">
        <v>1991</v>
      </c>
      <c r="G4" s="197">
        <v>267</v>
      </c>
    </row>
    <row r="5" spans="1:10">
      <c r="B5" s="1124">
        <v>1992</v>
      </c>
      <c r="C5" s="197">
        <v>201</v>
      </c>
      <c r="E5" s="17"/>
      <c r="F5" s="1124">
        <v>1992</v>
      </c>
      <c r="G5" s="197">
        <v>277</v>
      </c>
    </row>
    <row r="6" spans="1:10">
      <c r="B6" s="1124">
        <v>1993</v>
      </c>
      <c r="C6" s="197">
        <v>240</v>
      </c>
      <c r="E6" s="17"/>
      <c r="F6" s="1124">
        <v>1993</v>
      </c>
      <c r="G6" s="197">
        <v>216</v>
      </c>
    </row>
    <row r="7" spans="1:10">
      <c r="B7" s="1124">
        <v>1994</v>
      </c>
      <c r="C7" s="86">
        <v>100</v>
      </c>
      <c r="E7" s="17"/>
      <c r="F7" s="1124">
        <v>1994</v>
      </c>
      <c r="G7" s="86">
        <v>122</v>
      </c>
    </row>
    <row r="8" spans="1:10">
      <c r="B8" s="1124">
        <v>1995</v>
      </c>
      <c r="C8" s="86">
        <v>52</v>
      </c>
      <c r="E8" s="17"/>
      <c r="F8" s="1124">
        <v>1995</v>
      </c>
      <c r="G8" s="86">
        <v>73</v>
      </c>
    </row>
    <row r="9" spans="1:10">
      <c r="B9" s="1124">
        <v>1996</v>
      </c>
      <c r="C9" s="198">
        <v>66.1875</v>
      </c>
      <c r="E9" s="17"/>
      <c r="F9" s="1124">
        <v>1996</v>
      </c>
      <c r="G9" s="198">
        <v>58.5</v>
      </c>
    </row>
    <row r="10" spans="1:10">
      <c r="B10" s="1124">
        <v>1997</v>
      </c>
      <c r="C10" s="197">
        <v>85.579818007202547</v>
      </c>
      <c r="E10" s="17"/>
      <c r="F10" s="1124">
        <v>1997</v>
      </c>
      <c r="G10" s="197">
        <v>63.093039493995008</v>
      </c>
    </row>
    <row r="11" spans="1:10">
      <c r="B11" s="1124">
        <v>1998</v>
      </c>
      <c r="C11" s="197">
        <v>69.2</v>
      </c>
      <c r="E11" s="17"/>
      <c r="F11" s="1124">
        <v>1998</v>
      </c>
      <c r="G11" s="197">
        <v>40.799999999999997</v>
      </c>
    </row>
    <row r="12" spans="1:10">
      <c r="B12" s="1124">
        <v>1999</v>
      </c>
      <c r="C12" s="197">
        <v>54</v>
      </c>
      <c r="E12" s="17"/>
      <c r="F12" s="1124">
        <v>1999</v>
      </c>
      <c r="G12" s="197">
        <v>38</v>
      </c>
    </row>
    <row r="13" spans="1:10">
      <c r="B13" s="1124">
        <v>2000</v>
      </c>
      <c r="C13" s="197">
        <v>56</v>
      </c>
      <c r="E13" s="17"/>
      <c r="F13" s="1124">
        <v>2000</v>
      </c>
      <c r="G13" s="197">
        <v>37</v>
      </c>
    </row>
    <row r="14" spans="1:10">
      <c r="B14" s="1124">
        <v>2001</v>
      </c>
      <c r="C14" s="197">
        <v>64</v>
      </c>
      <c r="E14" s="17"/>
      <c r="F14" s="1124">
        <v>2001</v>
      </c>
      <c r="G14" s="197">
        <v>22</v>
      </c>
    </row>
    <row r="15" spans="1:10">
      <c r="B15" s="1124">
        <v>2002</v>
      </c>
      <c r="C15" s="197">
        <v>55.5</v>
      </c>
      <c r="E15" s="17"/>
      <c r="F15" s="1124">
        <v>2002</v>
      </c>
      <c r="G15" s="197">
        <v>137.30000000000001</v>
      </c>
    </row>
    <row r="16" spans="1:10" ht="13">
      <c r="B16" s="1124">
        <v>2003</v>
      </c>
      <c r="C16" s="197">
        <v>52.9</v>
      </c>
      <c r="F16" s="1124">
        <v>2003</v>
      </c>
      <c r="G16" s="197">
        <v>113.3</v>
      </c>
      <c r="I16" s="21"/>
    </row>
    <row r="17" spans="1:9" ht="13">
      <c r="B17" s="1124">
        <v>2004</v>
      </c>
      <c r="C17" s="197">
        <v>44.3</v>
      </c>
      <c r="F17" s="1124">
        <v>2004</v>
      </c>
      <c r="G17" s="197">
        <v>34.1</v>
      </c>
      <c r="I17" s="21"/>
    </row>
    <row r="18" spans="1:9" ht="13">
      <c r="B18" s="1124">
        <v>2005</v>
      </c>
      <c r="C18" s="197">
        <v>47</v>
      </c>
      <c r="F18" s="1124">
        <v>2005</v>
      </c>
      <c r="G18" s="197">
        <v>44</v>
      </c>
      <c r="I18" s="21"/>
    </row>
    <row r="19" spans="1:9" ht="13">
      <c r="B19" s="1124">
        <v>2006</v>
      </c>
      <c r="C19" s="197">
        <v>26</v>
      </c>
      <c r="F19" s="1124">
        <v>2006</v>
      </c>
      <c r="G19" s="197">
        <v>21.3</v>
      </c>
      <c r="I19" s="21"/>
    </row>
    <row r="20" spans="1:9" ht="13">
      <c r="B20" s="1124">
        <v>2007</v>
      </c>
      <c r="C20" s="197">
        <v>31</v>
      </c>
      <c r="F20" s="1124">
        <v>2007</v>
      </c>
      <c r="G20" s="197">
        <v>41</v>
      </c>
      <c r="I20" s="21"/>
    </row>
    <row r="21" spans="1:9" ht="13">
      <c r="B21" s="1124">
        <v>2008</v>
      </c>
      <c r="C21" s="197">
        <v>62.2</v>
      </c>
      <c r="F21" s="1124">
        <v>2008</v>
      </c>
      <c r="G21" s="197">
        <v>37.700000000000003</v>
      </c>
      <c r="I21" s="21"/>
    </row>
    <row r="22" spans="1:9" ht="13">
      <c r="B22" s="1124">
        <v>2009</v>
      </c>
      <c r="C22" s="197">
        <v>35.299999999999997</v>
      </c>
      <c r="F22" s="1124">
        <v>2009</v>
      </c>
      <c r="G22" s="197">
        <v>19.100000000000001</v>
      </c>
      <c r="I22" s="21"/>
    </row>
    <row r="23" spans="1:9" ht="13">
      <c r="B23" s="1124">
        <v>2010</v>
      </c>
      <c r="C23" s="197">
        <v>38.9</v>
      </c>
      <c r="F23" s="1124">
        <v>2010</v>
      </c>
      <c r="G23" s="197">
        <v>45.9</v>
      </c>
      <c r="I23" s="21"/>
    </row>
    <row r="24" spans="1:9" ht="13">
      <c r="B24" s="1124">
        <v>2011</v>
      </c>
      <c r="C24" s="197">
        <v>47.9</v>
      </c>
      <c r="F24" s="1124">
        <v>2011</v>
      </c>
      <c r="G24" s="197">
        <v>36.9</v>
      </c>
      <c r="I24" s="21"/>
    </row>
    <row r="25" spans="1:9" ht="13">
      <c r="B25" s="1124">
        <v>2012</v>
      </c>
      <c r="C25" s="197">
        <v>69.8</v>
      </c>
      <c r="F25" s="1124">
        <v>2012</v>
      </c>
      <c r="G25" s="197">
        <v>61.7</v>
      </c>
      <c r="I25" s="21"/>
    </row>
    <row r="26" spans="1:9" ht="13">
      <c r="B26" s="1124">
        <v>2013</v>
      </c>
      <c r="C26" s="197">
        <v>59.8</v>
      </c>
      <c r="F26" s="1124">
        <v>2013</v>
      </c>
      <c r="G26" s="197">
        <v>47.4</v>
      </c>
      <c r="I26" s="21"/>
    </row>
    <row r="27" spans="1:9" ht="13">
      <c r="B27" s="587"/>
      <c r="C27" s="197"/>
      <c r="F27" s="214"/>
      <c r="G27" s="197"/>
      <c r="I27" s="21"/>
    </row>
    <row r="28" spans="1:9" ht="13">
      <c r="A28" s="15" t="s">
        <v>25</v>
      </c>
      <c r="B28" s="1124">
        <v>1990</v>
      </c>
      <c r="C28" s="197">
        <v>124.5</v>
      </c>
      <c r="E28" s="15" t="s">
        <v>22</v>
      </c>
      <c r="F28" s="1124">
        <v>1991</v>
      </c>
      <c r="G28" s="86"/>
      <c r="I28" s="21"/>
    </row>
    <row r="29" spans="1:9" ht="13">
      <c r="B29" s="1124">
        <v>1991</v>
      </c>
      <c r="C29" s="197">
        <v>137.19999999999999</v>
      </c>
      <c r="E29" s="17"/>
      <c r="F29" s="1124">
        <v>1992</v>
      </c>
      <c r="G29" s="197">
        <v>121</v>
      </c>
      <c r="I29" s="21"/>
    </row>
    <row r="30" spans="1:9" ht="13">
      <c r="B30" s="1124">
        <v>1992</v>
      </c>
      <c r="C30" s="197">
        <v>140.21430000000001</v>
      </c>
      <c r="E30" s="17"/>
      <c r="F30" s="1124">
        <v>1993</v>
      </c>
      <c r="G30" s="197">
        <v>146</v>
      </c>
      <c r="I30" s="21"/>
    </row>
    <row r="31" spans="1:9" ht="13">
      <c r="B31" s="1124">
        <v>1993</v>
      </c>
      <c r="C31" s="197">
        <v>164</v>
      </c>
      <c r="E31" s="17"/>
      <c r="F31" s="1124">
        <v>1994</v>
      </c>
      <c r="G31" s="86">
        <v>69.625</v>
      </c>
      <c r="I31" s="21"/>
    </row>
    <row r="32" spans="1:9" ht="13">
      <c r="B32" s="1124">
        <v>1994</v>
      </c>
      <c r="C32" s="86">
        <v>79</v>
      </c>
      <c r="E32" s="17"/>
      <c r="F32" s="1124">
        <v>1995</v>
      </c>
      <c r="G32" s="86">
        <v>73</v>
      </c>
      <c r="I32" s="21"/>
    </row>
    <row r="33" spans="2:9" ht="13">
      <c r="B33" s="1124">
        <v>1995</v>
      </c>
      <c r="C33" s="86">
        <v>37</v>
      </c>
      <c r="E33" s="17"/>
      <c r="F33" s="1124">
        <v>1996</v>
      </c>
      <c r="G33" s="198">
        <v>32.5625</v>
      </c>
      <c r="I33" s="21"/>
    </row>
    <row r="34" spans="2:9" ht="13">
      <c r="B34" s="1124">
        <v>1996</v>
      </c>
      <c r="C34" s="198">
        <v>33.0625</v>
      </c>
      <c r="E34" s="17"/>
      <c r="F34" s="1124">
        <v>1997</v>
      </c>
      <c r="G34" s="197">
        <v>45.862384843073144</v>
      </c>
      <c r="I34" s="21"/>
    </row>
    <row r="35" spans="2:9" ht="13">
      <c r="B35" s="1124">
        <v>1997</v>
      </c>
      <c r="C35" s="197">
        <v>44.577577959420516</v>
      </c>
      <c r="E35" s="17"/>
      <c r="F35" s="1124">
        <v>1998</v>
      </c>
      <c r="G35" s="86">
        <v>35</v>
      </c>
      <c r="I35" s="21"/>
    </row>
    <row r="36" spans="2:9" ht="13">
      <c r="B36" s="1124">
        <v>1998</v>
      </c>
      <c r="C36" s="197">
        <v>39.799999999999997</v>
      </c>
      <c r="E36" s="17"/>
      <c r="F36" s="1124">
        <v>1999</v>
      </c>
      <c r="G36" s="86">
        <v>36</v>
      </c>
      <c r="I36" s="21"/>
    </row>
    <row r="37" spans="2:9" ht="13">
      <c r="B37" s="1124">
        <v>1999</v>
      </c>
      <c r="C37" s="197">
        <v>37</v>
      </c>
      <c r="E37" s="17"/>
      <c r="F37" s="1124">
        <v>2000</v>
      </c>
      <c r="G37" s="86">
        <v>55</v>
      </c>
      <c r="I37" s="21"/>
    </row>
    <row r="38" spans="2:9" ht="13">
      <c r="B38" s="1124">
        <v>2000</v>
      </c>
      <c r="C38" s="197">
        <v>57</v>
      </c>
      <c r="E38" s="17"/>
      <c r="F38" s="1124">
        <v>2001</v>
      </c>
      <c r="G38" s="86">
        <v>42</v>
      </c>
      <c r="I38" s="21"/>
    </row>
    <row r="39" spans="2:9" ht="13">
      <c r="B39" s="1124">
        <v>2001</v>
      </c>
      <c r="C39" s="197">
        <v>42</v>
      </c>
      <c r="E39" s="17"/>
      <c r="F39" s="1124">
        <v>2002</v>
      </c>
      <c r="G39" s="86">
        <v>34</v>
      </c>
      <c r="I39" s="21"/>
    </row>
    <row r="40" spans="2:9" ht="13">
      <c r="B40" s="1124">
        <v>2002</v>
      </c>
      <c r="C40" s="197">
        <v>49</v>
      </c>
      <c r="F40" s="1124">
        <v>2003</v>
      </c>
      <c r="G40" s="86">
        <v>47.8</v>
      </c>
      <c r="I40" s="21"/>
    </row>
    <row r="41" spans="2:9" ht="13">
      <c r="B41" s="1124">
        <v>2003</v>
      </c>
      <c r="C41" s="197">
        <v>46.6</v>
      </c>
      <c r="F41" s="1124">
        <v>2004</v>
      </c>
      <c r="G41" s="86">
        <v>30.1</v>
      </c>
      <c r="I41" s="21"/>
    </row>
    <row r="42" spans="2:9" ht="13">
      <c r="B42" s="1124">
        <v>2004</v>
      </c>
      <c r="C42" s="197">
        <v>26.9</v>
      </c>
      <c r="E42" s="39" t="s">
        <v>132</v>
      </c>
      <c r="F42" s="1124">
        <v>2005</v>
      </c>
      <c r="G42" s="86">
        <v>37</v>
      </c>
      <c r="I42" s="21"/>
    </row>
    <row r="43" spans="2:9" ht="13">
      <c r="B43" s="1124">
        <v>2005</v>
      </c>
      <c r="C43" s="197">
        <v>34</v>
      </c>
      <c r="F43" s="1124">
        <v>2006</v>
      </c>
      <c r="G43" s="86">
        <v>19.5</v>
      </c>
      <c r="I43" s="21"/>
    </row>
    <row r="44" spans="2:9" ht="13">
      <c r="B44" s="1124">
        <v>2006</v>
      </c>
      <c r="C44" s="197">
        <v>24.3</v>
      </c>
      <c r="F44" s="1124">
        <v>2007</v>
      </c>
      <c r="G44" s="86">
        <v>36</v>
      </c>
      <c r="I44" s="21"/>
    </row>
    <row r="45" spans="2:9" ht="13">
      <c r="B45" s="1124">
        <v>2007</v>
      </c>
      <c r="C45" s="197">
        <v>31</v>
      </c>
      <c r="F45" s="1124">
        <v>2008</v>
      </c>
      <c r="I45" s="21"/>
    </row>
    <row r="46" spans="2:9" ht="13">
      <c r="B46" s="587"/>
      <c r="C46" s="197"/>
      <c r="F46" s="1124">
        <v>2009</v>
      </c>
      <c r="I46" s="21"/>
    </row>
    <row r="47" spans="2:9" ht="13">
      <c r="B47" s="587"/>
      <c r="C47" s="197"/>
      <c r="I47" s="21"/>
    </row>
    <row r="48" spans="2:9" ht="13">
      <c r="B48" s="587"/>
      <c r="C48" s="197"/>
      <c r="I48" s="21"/>
    </row>
    <row r="49" spans="1:9" ht="13">
      <c r="A49" s="15" t="s">
        <v>24</v>
      </c>
      <c r="B49" s="1124">
        <v>1990</v>
      </c>
      <c r="C49" s="197">
        <v>129</v>
      </c>
      <c r="E49" s="15" t="s">
        <v>19</v>
      </c>
      <c r="F49" s="1124">
        <v>1990</v>
      </c>
      <c r="G49" s="199">
        <v>537</v>
      </c>
      <c r="I49" s="21"/>
    </row>
    <row r="50" spans="1:9" ht="13">
      <c r="B50" s="1124">
        <v>1991</v>
      </c>
      <c r="C50" s="197">
        <v>144</v>
      </c>
      <c r="E50" s="17"/>
      <c r="F50" s="1124">
        <v>1991</v>
      </c>
      <c r="G50" s="197">
        <v>383</v>
      </c>
      <c r="I50" s="21"/>
    </row>
    <row r="51" spans="1:9" ht="13">
      <c r="B51" s="1124">
        <v>1992</v>
      </c>
      <c r="C51" s="197">
        <v>146</v>
      </c>
      <c r="E51" s="17"/>
      <c r="F51" s="1124">
        <v>1992</v>
      </c>
      <c r="G51" s="197">
        <v>362</v>
      </c>
      <c r="I51" s="21"/>
    </row>
    <row r="52" spans="1:9" ht="13">
      <c r="B52" s="1124">
        <v>1993</v>
      </c>
      <c r="C52" s="197">
        <v>175</v>
      </c>
      <c r="E52" s="17"/>
      <c r="F52" s="1124">
        <v>1993</v>
      </c>
      <c r="G52" s="197">
        <v>269</v>
      </c>
      <c r="I52" s="21"/>
    </row>
    <row r="53" spans="1:9" ht="13">
      <c r="B53" s="1124">
        <v>1994</v>
      </c>
      <c r="C53" s="86">
        <v>83</v>
      </c>
      <c r="E53" s="17"/>
      <c r="F53" s="1124">
        <v>1994</v>
      </c>
      <c r="G53" s="86">
        <v>91</v>
      </c>
      <c r="I53" s="21"/>
    </row>
    <row r="54" spans="1:9" ht="13">
      <c r="B54" s="1124">
        <v>1995</v>
      </c>
      <c r="C54" s="86">
        <v>34</v>
      </c>
      <c r="E54" s="17"/>
      <c r="F54" s="1124">
        <v>1995</v>
      </c>
      <c r="G54" s="86">
        <v>47</v>
      </c>
      <c r="I54" s="21"/>
    </row>
    <row r="55" spans="1:9" ht="13">
      <c r="B55" s="1124">
        <v>1996</v>
      </c>
      <c r="C55" s="198">
        <v>29.4375</v>
      </c>
      <c r="E55" s="17"/>
      <c r="F55" s="1124">
        <v>1996</v>
      </c>
      <c r="G55" s="198">
        <v>16.0625</v>
      </c>
      <c r="I55" s="21"/>
    </row>
    <row r="56" spans="1:9" ht="13">
      <c r="B56" s="1124">
        <v>1997</v>
      </c>
      <c r="C56" s="135">
        <v>38</v>
      </c>
      <c r="E56" s="17"/>
      <c r="F56" s="1124">
        <v>1997</v>
      </c>
      <c r="G56" s="135">
        <v>80</v>
      </c>
      <c r="I56" s="21"/>
    </row>
    <row r="57" spans="1:9" ht="13">
      <c r="B57" s="1124">
        <v>1998</v>
      </c>
      <c r="C57" s="135">
        <v>33.299999999999997</v>
      </c>
      <c r="E57" s="17"/>
      <c r="F57" s="1124">
        <v>1998</v>
      </c>
      <c r="G57" s="135">
        <v>33</v>
      </c>
      <c r="I57" s="21"/>
    </row>
    <row r="58" spans="1:9" ht="13">
      <c r="B58" s="1124">
        <v>1999</v>
      </c>
      <c r="C58" s="135">
        <v>34</v>
      </c>
      <c r="E58" s="17"/>
      <c r="F58" s="1124">
        <v>1999</v>
      </c>
      <c r="G58" s="135">
        <v>47</v>
      </c>
      <c r="I58" s="21"/>
    </row>
    <row r="59" spans="1:9" ht="13">
      <c r="B59" s="1124">
        <v>2000</v>
      </c>
      <c r="C59" s="135">
        <v>59</v>
      </c>
      <c r="E59" s="17"/>
      <c r="F59" s="1124">
        <v>2000</v>
      </c>
      <c r="G59" s="135">
        <v>19</v>
      </c>
      <c r="I59" s="21"/>
    </row>
    <row r="60" spans="1:9" ht="13">
      <c r="B60" s="1124">
        <v>2001</v>
      </c>
      <c r="C60" s="135">
        <v>42</v>
      </c>
      <c r="E60" s="17"/>
      <c r="F60" s="1124">
        <v>2001</v>
      </c>
      <c r="G60" s="135">
        <v>22</v>
      </c>
      <c r="I60" s="21"/>
    </row>
    <row r="61" spans="1:9" ht="13">
      <c r="B61" s="1124">
        <v>2002</v>
      </c>
      <c r="C61" s="135">
        <v>46.1</v>
      </c>
      <c r="E61" s="17"/>
      <c r="F61" s="1124">
        <v>2002</v>
      </c>
      <c r="G61" s="135">
        <v>14.9</v>
      </c>
      <c r="I61" s="21"/>
    </row>
    <row r="62" spans="1:9" ht="13">
      <c r="B62" s="1124">
        <v>2003</v>
      </c>
      <c r="C62" s="135">
        <v>49.1</v>
      </c>
      <c r="F62" s="1124">
        <v>2003</v>
      </c>
      <c r="G62" s="135">
        <v>22.6</v>
      </c>
      <c r="I62" s="21"/>
    </row>
    <row r="63" spans="1:9" ht="13">
      <c r="B63" s="1124">
        <v>2004</v>
      </c>
      <c r="C63" s="135">
        <v>24.3</v>
      </c>
      <c r="F63" s="1124">
        <v>2004</v>
      </c>
      <c r="G63" s="135">
        <v>21.7</v>
      </c>
      <c r="I63" s="21"/>
    </row>
    <row r="64" spans="1:9" ht="13">
      <c r="B64" s="1124">
        <v>2005</v>
      </c>
      <c r="C64" s="135">
        <v>33</v>
      </c>
      <c r="F64" s="1124">
        <v>2005</v>
      </c>
      <c r="G64" s="135">
        <v>23</v>
      </c>
      <c r="I64" s="21"/>
    </row>
    <row r="65" spans="1:9" ht="13">
      <c r="B65" s="1124">
        <v>2006</v>
      </c>
      <c r="C65" s="135">
        <v>21.6</v>
      </c>
      <c r="F65" s="1124">
        <v>2006</v>
      </c>
      <c r="G65" s="135">
        <v>7.6</v>
      </c>
      <c r="I65" s="21"/>
    </row>
    <row r="66" spans="1:9" ht="13">
      <c r="B66" s="1124">
        <v>2007</v>
      </c>
      <c r="C66" s="135">
        <v>30</v>
      </c>
      <c r="F66" s="1124">
        <v>2007</v>
      </c>
      <c r="G66" s="135">
        <v>23</v>
      </c>
      <c r="I66" s="21"/>
    </row>
    <row r="67" spans="1:9" ht="13">
      <c r="B67" s="1124">
        <v>2008</v>
      </c>
      <c r="C67" s="135">
        <v>39.799999999999997</v>
      </c>
      <c r="F67" s="1124">
        <v>2008</v>
      </c>
      <c r="G67" s="135">
        <v>14.8</v>
      </c>
      <c r="I67" s="21"/>
    </row>
    <row r="68" spans="1:9" ht="13">
      <c r="B68" s="1124">
        <v>2009</v>
      </c>
      <c r="C68" s="135">
        <v>34.200000000000003</v>
      </c>
      <c r="F68" s="1124">
        <v>2009</v>
      </c>
      <c r="G68" s="135">
        <v>35.5</v>
      </c>
      <c r="I68" s="21"/>
    </row>
    <row r="69" spans="1:9" ht="13">
      <c r="B69" s="1124">
        <v>2010</v>
      </c>
      <c r="C69" s="135">
        <v>28.3</v>
      </c>
      <c r="F69" s="1124">
        <v>2010</v>
      </c>
      <c r="G69" s="135">
        <v>19.3</v>
      </c>
      <c r="I69" s="21"/>
    </row>
    <row r="70" spans="1:9" ht="13">
      <c r="B70" s="1124">
        <v>2011</v>
      </c>
      <c r="C70" s="135">
        <v>33.700000000000003</v>
      </c>
      <c r="F70" s="1124">
        <v>2011</v>
      </c>
      <c r="G70" s="135">
        <v>12.5</v>
      </c>
      <c r="I70" s="21"/>
    </row>
    <row r="71" spans="1:9" ht="13">
      <c r="B71" s="1124">
        <v>2012</v>
      </c>
      <c r="C71" s="135">
        <v>53.4</v>
      </c>
      <c r="F71" s="1124">
        <v>2012</v>
      </c>
      <c r="G71" s="135">
        <v>32.299999999999997</v>
      </c>
      <c r="I71" s="21"/>
    </row>
    <row r="72" spans="1:9" ht="13">
      <c r="B72" s="1124">
        <v>2013</v>
      </c>
      <c r="C72" s="135">
        <v>71.400000000000006</v>
      </c>
      <c r="F72" s="1124">
        <v>2013</v>
      </c>
      <c r="G72" s="135">
        <v>21.8</v>
      </c>
      <c r="I72" s="21"/>
    </row>
    <row r="73" spans="1:9" ht="13">
      <c r="B73" s="587"/>
      <c r="C73" s="135"/>
      <c r="F73" s="214"/>
      <c r="G73" s="135"/>
      <c r="I73" s="21"/>
    </row>
    <row r="74" spans="1:9" ht="15.5">
      <c r="A74" s="1176" t="s">
        <v>55</v>
      </c>
      <c r="B74" s="1176"/>
      <c r="C74" s="1176"/>
      <c r="D74" s="1176"/>
      <c r="E74" s="1176"/>
      <c r="F74" s="1176"/>
      <c r="G74" s="1176"/>
      <c r="I74" s="21"/>
    </row>
    <row r="75" spans="1:9" ht="13">
      <c r="B75" s="25" t="s">
        <v>96</v>
      </c>
      <c r="C75" s="26" t="s">
        <v>49</v>
      </c>
      <c r="F75" s="25" t="s">
        <v>96</v>
      </c>
      <c r="G75" s="26" t="s">
        <v>49</v>
      </c>
      <c r="I75" s="21"/>
    </row>
    <row r="76" spans="1:9" ht="13">
      <c r="A76" s="15" t="s">
        <v>21</v>
      </c>
      <c r="B76" s="1124">
        <v>1990</v>
      </c>
      <c r="C76" s="197">
        <v>128</v>
      </c>
      <c r="E76" s="15" t="s">
        <v>53</v>
      </c>
      <c r="F76" s="1124">
        <v>1990</v>
      </c>
      <c r="G76" s="86">
        <f t="shared" ref="G76:G99" si="0">(G49+G3)/2</f>
        <v>435.5</v>
      </c>
      <c r="I76" s="21"/>
    </row>
    <row r="77" spans="1:9" ht="13">
      <c r="B77" s="1124">
        <v>1991</v>
      </c>
      <c r="C77" s="197">
        <v>181</v>
      </c>
      <c r="E77" s="17"/>
      <c r="F77" s="1124">
        <v>1991</v>
      </c>
      <c r="G77" s="86">
        <f t="shared" si="0"/>
        <v>325</v>
      </c>
      <c r="I77" s="21"/>
    </row>
    <row r="78" spans="1:9" ht="13">
      <c r="B78" s="1124">
        <v>1992</v>
      </c>
      <c r="C78" s="197">
        <v>157</v>
      </c>
      <c r="E78" s="17"/>
      <c r="F78" s="1124">
        <v>1992</v>
      </c>
      <c r="G78" s="86">
        <f t="shared" si="0"/>
        <v>319.5</v>
      </c>
      <c r="I78" s="21"/>
    </row>
    <row r="79" spans="1:9" ht="13">
      <c r="B79" s="1124">
        <v>1993</v>
      </c>
      <c r="C79" s="197">
        <v>177</v>
      </c>
      <c r="E79" s="17"/>
      <c r="F79" s="1124">
        <v>1993</v>
      </c>
      <c r="G79" s="86">
        <f t="shared" si="0"/>
        <v>242.5</v>
      </c>
      <c r="I79" s="21"/>
    </row>
    <row r="80" spans="1:9" ht="13">
      <c r="B80" s="1124">
        <v>1994</v>
      </c>
      <c r="C80" s="86">
        <v>92</v>
      </c>
      <c r="E80" s="17"/>
      <c r="F80" s="1124">
        <v>1994</v>
      </c>
      <c r="G80" s="86">
        <f t="shared" si="0"/>
        <v>106.5</v>
      </c>
      <c r="I80" s="21"/>
    </row>
    <row r="81" spans="2:9" ht="13">
      <c r="B81" s="1124">
        <v>1995</v>
      </c>
      <c r="C81" s="86">
        <v>36</v>
      </c>
      <c r="E81" s="17"/>
      <c r="F81" s="1124">
        <v>1995</v>
      </c>
      <c r="G81" s="86">
        <f t="shared" si="0"/>
        <v>60</v>
      </c>
      <c r="I81" s="21"/>
    </row>
    <row r="82" spans="2:9" ht="13">
      <c r="B82" s="1124">
        <v>1996</v>
      </c>
      <c r="C82" s="198">
        <v>34.9375</v>
      </c>
      <c r="E82" s="17"/>
      <c r="F82" s="1124">
        <v>1996</v>
      </c>
      <c r="G82" s="86">
        <f t="shared" si="0"/>
        <v>37.28125</v>
      </c>
      <c r="I82" s="21"/>
    </row>
    <row r="83" spans="2:9" ht="13">
      <c r="B83" s="1124">
        <v>1997</v>
      </c>
      <c r="C83" s="197">
        <v>39</v>
      </c>
      <c r="E83" s="17"/>
      <c r="F83" s="1124">
        <v>1997</v>
      </c>
      <c r="G83" s="86">
        <f t="shared" si="0"/>
        <v>71.546519746997504</v>
      </c>
      <c r="I83" s="21"/>
    </row>
    <row r="84" spans="2:9" ht="13">
      <c r="B84" s="1124">
        <v>1998</v>
      </c>
      <c r="C84" s="197">
        <v>34.5</v>
      </c>
      <c r="E84" s="17"/>
      <c r="F84" s="1124">
        <v>1998</v>
      </c>
      <c r="G84" s="86">
        <f t="shared" si="0"/>
        <v>36.9</v>
      </c>
      <c r="I84" s="21"/>
    </row>
    <row r="85" spans="2:9" ht="13">
      <c r="B85" s="1124">
        <v>1999</v>
      </c>
      <c r="C85" s="197">
        <v>35</v>
      </c>
      <c r="E85" s="17"/>
      <c r="F85" s="1124">
        <v>1999</v>
      </c>
      <c r="G85" s="86">
        <f t="shared" si="0"/>
        <v>42.5</v>
      </c>
      <c r="I85" s="21"/>
    </row>
    <row r="86" spans="2:9" ht="13">
      <c r="B86" s="1124">
        <v>2000</v>
      </c>
      <c r="C86" s="197">
        <v>58</v>
      </c>
      <c r="E86" s="17"/>
      <c r="F86" s="1124">
        <v>2000</v>
      </c>
      <c r="G86" s="86">
        <f t="shared" si="0"/>
        <v>28</v>
      </c>
      <c r="I86" s="21"/>
    </row>
    <row r="87" spans="2:9" ht="13">
      <c r="B87" s="1124">
        <v>2001</v>
      </c>
      <c r="C87" s="197">
        <v>46</v>
      </c>
      <c r="E87" s="17"/>
      <c r="F87" s="1124">
        <v>2001</v>
      </c>
      <c r="G87" s="86">
        <f t="shared" si="0"/>
        <v>22</v>
      </c>
      <c r="I87" s="21"/>
    </row>
    <row r="88" spans="2:9" ht="13">
      <c r="B88" s="1124">
        <v>2002</v>
      </c>
      <c r="C88" s="197">
        <v>46.9</v>
      </c>
      <c r="E88" s="17"/>
      <c r="F88" s="1124">
        <v>2002</v>
      </c>
      <c r="G88" s="86">
        <f t="shared" si="0"/>
        <v>76.100000000000009</v>
      </c>
      <c r="I88" s="21"/>
    </row>
    <row r="89" spans="2:9" ht="13">
      <c r="B89" s="1124">
        <v>2003</v>
      </c>
      <c r="C89" s="197">
        <v>63.3</v>
      </c>
      <c r="F89" s="1124">
        <v>2003</v>
      </c>
      <c r="G89" s="86">
        <f t="shared" si="0"/>
        <v>67.95</v>
      </c>
      <c r="I89" s="21"/>
    </row>
    <row r="90" spans="2:9" ht="13">
      <c r="B90" s="1124">
        <v>2004</v>
      </c>
      <c r="C90" s="197">
        <v>30.1</v>
      </c>
      <c r="F90" s="1124">
        <v>2004</v>
      </c>
      <c r="G90" s="86">
        <f t="shared" si="0"/>
        <v>27.9</v>
      </c>
      <c r="I90" s="21"/>
    </row>
    <row r="91" spans="2:9" ht="13">
      <c r="B91" s="1124">
        <v>2005</v>
      </c>
      <c r="C91" s="197">
        <v>32</v>
      </c>
      <c r="F91" s="1124">
        <v>2005</v>
      </c>
      <c r="G91" s="86">
        <f t="shared" si="0"/>
        <v>33.5</v>
      </c>
      <c r="I91" s="21"/>
    </row>
    <row r="92" spans="2:9" ht="13">
      <c r="B92" s="1124">
        <v>2006</v>
      </c>
      <c r="C92" s="197">
        <v>22.8</v>
      </c>
      <c r="F92" s="1124">
        <v>2006</v>
      </c>
      <c r="G92" s="86">
        <f t="shared" si="0"/>
        <v>14.45</v>
      </c>
      <c r="I92" s="21"/>
    </row>
    <row r="93" spans="2:9" ht="13">
      <c r="B93" s="1124">
        <v>2007</v>
      </c>
      <c r="C93" s="197">
        <v>31</v>
      </c>
      <c r="F93" s="1124">
        <v>2007</v>
      </c>
      <c r="G93" s="86">
        <f t="shared" si="0"/>
        <v>32</v>
      </c>
      <c r="I93" s="21"/>
    </row>
    <row r="94" spans="2:9" ht="13">
      <c r="B94" s="1124">
        <v>2008</v>
      </c>
      <c r="C94" s="197">
        <v>29</v>
      </c>
      <c r="F94" s="1124">
        <v>2008</v>
      </c>
      <c r="G94" s="86">
        <f t="shared" si="0"/>
        <v>26.25</v>
      </c>
      <c r="I94" s="21"/>
    </row>
    <row r="95" spans="2:9" ht="13">
      <c r="B95" s="1124">
        <v>2009</v>
      </c>
      <c r="C95" s="197">
        <v>24.2</v>
      </c>
      <c r="F95" s="1124">
        <v>2009</v>
      </c>
      <c r="G95" s="86">
        <f t="shared" si="0"/>
        <v>27.3</v>
      </c>
      <c r="I95" s="21"/>
    </row>
    <row r="96" spans="2:9" ht="13">
      <c r="B96" s="1124">
        <v>2010</v>
      </c>
      <c r="C96" s="197">
        <v>31.1</v>
      </c>
      <c r="F96" s="1124">
        <v>2010</v>
      </c>
      <c r="G96" s="86">
        <f t="shared" si="0"/>
        <v>32.6</v>
      </c>
      <c r="I96" s="21"/>
    </row>
    <row r="97" spans="1:9" ht="13">
      <c r="B97" s="1124">
        <v>2011</v>
      </c>
      <c r="C97" s="197">
        <v>39.5</v>
      </c>
      <c r="F97" s="1124">
        <v>2011</v>
      </c>
      <c r="G97" s="86">
        <f t="shared" si="0"/>
        <v>24.7</v>
      </c>
      <c r="I97" s="21"/>
    </row>
    <row r="98" spans="1:9" ht="13">
      <c r="B98" s="1124">
        <v>2012</v>
      </c>
      <c r="C98" s="197">
        <v>55.9</v>
      </c>
      <c r="F98" s="1124">
        <v>2012</v>
      </c>
      <c r="G98" s="86">
        <f t="shared" si="0"/>
        <v>47</v>
      </c>
      <c r="I98" s="21"/>
    </row>
    <row r="99" spans="1:9" ht="13">
      <c r="B99" s="1124">
        <v>2013</v>
      </c>
      <c r="C99" s="197">
        <v>82.4</v>
      </c>
      <c r="F99" s="1124">
        <v>2013</v>
      </c>
      <c r="G99" s="86">
        <f t="shared" si="0"/>
        <v>34.6</v>
      </c>
      <c r="I99" s="21"/>
    </row>
    <row r="100" spans="1:9" ht="13">
      <c r="B100" s="587"/>
      <c r="C100" s="197"/>
      <c r="F100" s="1128"/>
      <c r="G100" s="86"/>
      <c r="I100" s="21"/>
    </row>
    <row r="101" spans="1:9" ht="13">
      <c r="A101" s="15" t="s">
        <v>18</v>
      </c>
      <c r="B101" s="1124">
        <v>1990</v>
      </c>
      <c r="C101" s="86">
        <f t="shared" ref="C101:C115" si="1">(C3+C28+C49)/3</f>
        <v>124.33333333333333</v>
      </c>
      <c r="E101" s="15" t="s">
        <v>54</v>
      </c>
      <c r="F101" s="1124">
        <v>1990</v>
      </c>
      <c r="G101" s="86">
        <f t="shared" ref="G101:G124" si="2">+G76-C76</f>
        <v>307.5</v>
      </c>
      <c r="I101" s="21"/>
    </row>
    <row r="102" spans="1:9" ht="13">
      <c r="B102" s="1124">
        <v>1991</v>
      </c>
      <c r="C102" s="86">
        <f t="shared" si="1"/>
        <v>183.73333333333335</v>
      </c>
      <c r="E102" s="17"/>
      <c r="F102" s="1124">
        <v>1991</v>
      </c>
      <c r="G102" s="86">
        <f t="shared" si="2"/>
        <v>144</v>
      </c>
      <c r="I102" s="21"/>
    </row>
    <row r="103" spans="1:9" ht="13">
      <c r="B103" s="1124">
        <v>1992</v>
      </c>
      <c r="C103" s="86">
        <f t="shared" si="1"/>
        <v>162.40476666666666</v>
      </c>
      <c r="E103" s="17"/>
      <c r="F103" s="1124">
        <v>1992</v>
      </c>
      <c r="G103" s="86">
        <f t="shared" si="2"/>
        <v>162.5</v>
      </c>
      <c r="I103" s="21"/>
    </row>
    <row r="104" spans="1:9" ht="13">
      <c r="B104" s="1124">
        <v>1993</v>
      </c>
      <c r="C104" s="86">
        <f t="shared" si="1"/>
        <v>193</v>
      </c>
      <c r="E104" s="17"/>
      <c r="F104" s="1124">
        <v>1993</v>
      </c>
      <c r="G104" s="86">
        <f t="shared" si="2"/>
        <v>65.5</v>
      </c>
      <c r="I104" s="21"/>
    </row>
    <row r="105" spans="1:9" ht="13">
      <c r="B105" s="1124">
        <v>1994</v>
      </c>
      <c r="C105" s="86">
        <f t="shared" si="1"/>
        <v>87.333333333333329</v>
      </c>
      <c r="E105" s="17"/>
      <c r="F105" s="1124">
        <v>1994</v>
      </c>
      <c r="G105" s="86">
        <f t="shared" si="2"/>
        <v>14.5</v>
      </c>
      <c r="I105" s="21"/>
    </row>
    <row r="106" spans="1:9" ht="13">
      <c r="B106" s="1124">
        <v>1995</v>
      </c>
      <c r="C106" s="86">
        <f t="shared" si="1"/>
        <v>41</v>
      </c>
      <c r="E106" s="17"/>
      <c r="F106" s="1124">
        <v>1995</v>
      </c>
      <c r="G106" s="86">
        <f t="shared" si="2"/>
        <v>24</v>
      </c>
      <c r="I106" s="21"/>
    </row>
    <row r="107" spans="1:9" ht="13">
      <c r="B107" s="1124">
        <v>1996</v>
      </c>
      <c r="C107" s="86">
        <f t="shared" si="1"/>
        <v>42.895833333333336</v>
      </c>
      <c r="E107" s="17"/>
      <c r="F107" s="1124">
        <v>1996</v>
      </c>
      <c r="G107" s="86">
        <f t="shared" si="2"/>
        <v>2.34375</v>
      </c>
      <c r="I107" s="21"/>
    </row>
    <row r="108" spans="1:9" ht="13">
      <c r="B108" s="1124">
        <v>1997</v>
      </c>
      <c r="C108" s="86">
        <f t="shared" si="1"/>
        <v>56.052465322207688</v>
      </c>
      <c r="E108" s="17"/>
      <c r="F108" s="1124">
        <v>1997</v>
      </c>
      <c r="G108" s="86">
        <f t="shared" si="2"/>
        <v>32.546519746997504</v>
      </c>
      <c r="I108" s="21"/>
    </row>
    <row r="109" spans="1:9" ht="13">
      <c r="B109" s="1124">
        <v>1998</v>
      </c>
      <c r="C109" s="86">
        <f t="shared" si="1"/>
        <v>47.433333333333337</v>
      </c>
      <c r="E109" s="17"/>
      <c r="F109" s="1124">
        <v>1998</v>
      </c>
      <c r="G109" s="86">
        <f t="shared" si="2"/>
        <v>2.3999999999999986</v>
      </c>
      <c r="I109" s="21"/>
    </row>
    <row r="110" spans="1:9" ht="13">
      <c r="B110" s="1124">
        <v>1999</v>
      </c>
      <c r="C110" s="86">
        <f t="shared" si="1"/>
        <v>41.666666666666664</v>
      </c>
      <c r="E110" s="17"/>
      <c r="F110" s="1124">
        <v>1999</v>
      </c>
      <c r="G110" s="86">
        <f t="shared" si="2"/>
        <v>7.5</v>
      </c>
      <c r="I110" s="21"/>
    </row>
    <row r="111" spans="1:9" ht="13">
      <c r="B111" s="1124">
        <v>2000</v>
      </c>
      <c r="C111" s="86">
        <f t="shared" si="1"/>
        <v>57.333333333333336</v>
      </c>
      <c r="E111" s="17"/>
      <c r="F111" s="1124">
        <v>2000</v>
      </c>
      <c r="G111" s="86">
        <f t="shared" si="2"/>
        <v>-30</v>
      </c>
      <c r="I111" s="21"/>
    </row>
    <row r="112" spans="1:9" ht="13">
      <c r="B112" s="1124">
        <v>2001</v>
      </c>
      <c r="C112" s="86">
        <f t="shared" si="1"/>
        <v>49.333333333333336</v>
      </c>
      <c r="E112" s="17"/>
      <c r="F112" s="1124">
        <v>2001</v>
      </c>
      <c r="G112" s="86">
        <f t="shared" si="2"/>
        <v>-24</v>
      </c>
      <c r="I112" s="21"/>
    </row>
    <row r="113" spans="2:9" ht="13">
      <c r="B113" s="1124">
        <v>2002</v>
      </c>
      <c r="C113" s="86">
        <f t="shared" si="1"/>
        <v>50.199999999999996</v>
      </c>
      <c r="E113" s="17"/>
      <c r="F113" s="1124">
        <v>2002</v>
      </c>
      <c r="G113" s="86">
        <f t="shared" si="2"/>
        <v>29.20000000000001</v>
      </c>
      <c r="I113" s="21"/>
    </row>
    <row r="114" spans="2:9" ht="13">
      <c r="B114" s="1124">
        <v>2003</v>
      </c>
      <c r="C114" s="86">
        <f t="shared" si="1"/>
        <v>49.533333333333331</v>
      </c>
      <c r="F114" s="1124">
        <v>2003</v>
      </c>
      <c r="G114" s="86">
        <f t="shared" si="2"/>
        <v>4.6500000000000057</v>
      </c>
      <c r="I114" s="21"/>
    </row>
    <row r="115" spans="2:9" ht="13">
      <c r="B115" s="1124">
        <v>2004</v>
      </c>
      <c r="C115" s="86">
        <f t="shared" si="1"/>
        <v>31.833333333333329</v>
      </c>
      <c r="F115" s="1124">
        <v>2004</v>
      </c>
      <c r="G115" s="86">
        <f t="shared" si="2"/>
        <v>-2.2000000000000028</v>
      </c>
      <c r="I115" s="21"/>
    </row>
    <row r="116" spans="2:9" ht="13">
      <c r="B116" s="1124">
        <v>2005</v>
      </c>
      <c r="C116" s="86">
        <v>39</v>
      </c>
      <c r="F116" s="1124">
        <v>2005</v>
      </c>
      <c r="G116" s="86">
        <f t="shared" si="2"/>
        <v>1.5</v>
      </c>
      <c r="I116" s="21"/>
    </row>
    <row r="117" spans="2:9" ht="13">
      <c r="B117" s="1124">
        <v>2006</v>
      </c>
      <c r="C117" s="17">
        <v>24</v>
      </c>
      <c r="F117" s="1124">
        <v>2006</v>
      </c>
      <c r="G117" s="86">
        <f t="shared" si="2"/>
        <v>-8.3500000000000014</v>
      </c>
      <c r="I117" s="21"/>
    </row>
    <row r="118" spans="2:9" ht="13">
      <c r="B118" s="1124">
        <v>2007</v>
      </c>
      <c r="C118" s="17">
        <v>30.7</v>
      </c>
      <c r="F118" s="1124">
        <v>2007</v>
      </c>
      <c r="G118" s="86">
        <f t="shared" si="2"/>
        <v>1</v>
      </c>
      <c r="I118" s="21"/>
    </row>
    <row r="119" spans="2:9" ht="13">
      <c r="B119" s="1124">
        <v>2008</v>
      </c>
      <c r="C119" s="86">
        <v>50.6</v>
      </c>
      <c r="F119" s="1124">
        <v>2008</v>
      </c>
      <c r="G119" s="86">
        <f t="shared" si="2"/>
        <v>-2.75</v>
      </c>
      <c r="I119" s="21"/>
    </row>
    <row r="120" spans="2:9" ht="13">
      <c r="B120" s="1124">
        <v>2009</v>
      </c>
      <c r="C120" s="86">
        <v>34.799999999999997</v>
      </c>
      <c r="F120" s="1124">
        <v>2009</v>
      </c>
      <c r="G120" s="86">
        <f t="shared" si="2"/>
        <v>3.1000000000000014</v>
      </c>
      <c r="I120" s="21"/>
    </row>
    <row r="121" spans="2:9" ht="13">
      <c r="B121" s="1124">
        <v>2010</v>
      </c>
      <c r="C121" s="86">
        <v>33.6</v>
      </c>
      <c r="F121" s="1124">
        <v>2010</v>
      </c>
      <c r="G121" s="86">
        <f t="shared" si="2"/>
        <v>1.5</v>
      </c>
      <c r="I121" s="21"/>
    </row>
    <row r="122" spans="2:9" ht="13">
      <c r="B122" s="1124">
        <v>2011</v>
      </c>
      <c r="C122" s="86">
        <v>40.799999999999997</v>
      </c>
      <c r="F122" s="1124">
        <v>2011</v>
      </c>
      <c r="G122" s="86">
        <f t="shared" si="2"/>
        <v>-14.8</v>
      </c>
      <c r="I122" s="21"/>
    </row>
    <row r="123" spans="2:9" ht="13">
      <c r="B123" s="1124">
        <v>2012</v>
      </c>
      <c r="C123" s="86">
        <v>69.8</v>
      </c>
      <c r="F123" s="1124">
        <v>2012</v>
      </c>
      <c r="G123" s="86">
        <f t="shared" si="2"/>
        <v>-8.8999999999999986</v>
      </c>
      <c r="I123" s="21"/>
    </row>
    <row r="124" spans="2:9" ht="13">
      <c r="B124" s="1129">
        <v>2013</v>
      </c>
      <c r="C124" s="86">
        <v>65.599999999999994</v>
      </c>
      <c r="F124" s="1129">
        <v>2013</v>
      </c>
      <c r="G124" s="86">
        <f t="shared" si="2"/>
        <v>-47.800000000000004</v>
      </c>
      <c r="I124" s="21"/>
    </row>
    <row r="125" spans="2:9" ht="13">
      <c r="I125" s="21"/>
    </row>
    <row r="126" spans="2:9" ht="13">
      <c r="I126" s="21"/>
    </row>
    <row r="127" spans="2:9" ht="13">
      <c r="I127" s="21"/>
    </row>
    <row r="128" spans="2:9" ht="13">
      <c r="I128" s="21"/>
    </row>
    <row r="129" spans="9:9" ht="13">
      <c r="I129" s="21"/>
    </row>
    <row r="130" spans="9:9" ht="13">
      <c r="I130" s="21"/>
    </row>
    <row r="131" spans="9:9" ht="13">
      <c r="I131" s="21"/>
    </row>
    <row r="132" spans="9:9" ht="13">
      <c r="I132" s="21"/>
    </row>
    <row r="133" spans="9:9" ht="13">
      <c r="I133" s="21"/>
    </row>
    <row r="134" spans="9:9" ht="13">
      <c r="I134" s="21"/>
    </row>
    <row r="135" spans="9:9" ht="13">
      <c r="I135" s="21"/>
    </row>
    <row r="136" spans="9:9" ht="13">
      <c r="I136" s="21"/>
    </row>
    <row r="137" spans="9:9" ht="13">
      <c r="I137" s="21"/>
    </row>
    <row r="138" spans="9:9" ht="13">
      <c r="I138" s="21"/>
    </row>
    <row r="139" spans="9:9" ht="13">
      <c r="I139" s="21"/>
    </row>
    <row r="140" spans="9:9" ht="13">
      <c r="I140" s="21"/>
    </row>
    <row r="141" spans="9:9" ht="13">
      <c r="I141" s="21"/>
    </row>
    <row r="142" spans="9:9" ht="13">
      <c r="I142" s="21"/>
    </row>
    <row r="143" spans="9:9" ht="13">
      <c r="I143" s="21"/>
    </row>
    <row r="144" spans="9:9" ht="13">
      <c r="I144" s="21"/>
    </row>
    <row r="145" spans="9:9" ht="13">
      <c r="I145" s="21"/>
    </row>
    <row r="146" spans="9:9" ht="13">
      <c r="I146" s="21"/>
    </row>
    <row r="147" spans="9:9" ht="13">
      <c r="I147" s="21"/>
    </row>
    <row r="148" spans="9:9" ht="13">
      <c r="I148" s="21"/>
    </row>
    <row r="149" spans="9:9" ht="13">
      <c r="I149" s="21"/>
    </row>
    <row r="150" spans="9:9" ht="13">
      <c r="I150" s="21"/>
    </row>
    <row r="151" spans="9:9" ht="13">
      <c r="I151" s="21"/>
    </row>
    <row r="152" spans="9:9" ht="13">
      <c r="I152" s="21"/>
    </row>
    <row r="153" spans="9:9" ht="13">
      <c r="I153" s="21"/>
    </row>
    <row r="154" spans="9:9" ht="13">
      <c r="I154" s="21"/>
    </row>
    <row r="155" spans="9:9" ht="13">
      <c r="I155" s="21"/>
    </row>
    <row r="156" spans="9:9" ht="13">
      <c r="I156" s="21"/>
    </row>
    <row r="157" spans="9:9" ht="13">
      <c r="I157" s="21"/>
    </row>
    <row r="158" spans="9:9" ht="13">
      <c r="I158" s="21"/>
    </row>
    <row r="159" spans="9:9" ht="13">
      <c r="I159" s="21"/>
    </row>
    <row r="160" spans="9:9" ht="13">
      <c r="I160" s="21"/>
    </row>
    <row r="161" spans="3:9" ht="13">
      <c r="I161" s="21"/>
    </row>
    <row r="162" spans="3:9" ht="13">
      <c r="I162" s="21"/>
    </row>
    <row r="163" spans="3:9" ht="13">
      <c r="I163" s="21"/>
    </row>
    <row r="164" spans="3:9" ht="13">
      <c r="I164" s="21"/>
    </row>
    <row r="165" spans="3:9" ht="13">
      <c r="C165" s="85"/>
      <c r="I165" s="21"/>
    </row>
    <row r="166" spans="3:9" ht="13">
      <c r="C166" s="85"/>
      <c r="I166" s="21"/>
    </row>
    <row r="167" spans="3:9" ht="13">
      <c r="C167" s="85"/>
      <c r="I167" s="21"/>
    </row>
    <row r="168" spans="3:9" ht="13">
      <c r="C168" s="85"/>
      <c r="I168" s="21"/>
    </row>
    <row r="169" spans="3:9" ht="13">
      <c r="C169" s="85"/>
      <c r="I169" s="21"/>
    </row>
    <row r="170" spans="3:9" ht="13">
      <c r="C170" s="85"/>
      <c r="I170" s="21"/>
    </row>
  </sheetData>
  <mergeCells count="2">
    <mergeCell ref="A1:G1"/>
    <mergeCell ref="A74:G74"/>
  </mergeCells>
  <phoneticPr fontId="7" type="noConversion"/>
  <pageMargins left="0.75" right="0.75" top="1" bottom="1" header="0.5" footer="0.5"/>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AB127"/>
  <sheetViews>
    <sheetView topLeftCell="A115" workbookViewId="0">
      <selection activeCell="P129" sqref="P129"/>
    </sheetView>
  </sheetViews>
  <sheetFormatPr defaultRowHeight="12.5"/>
  <cols>
    <col min="1" max="1" width="34.90625" style="28" customWidth="1"/>
    <col min="2" max="2" width="9.1796875" bestFit="1" customWidth="1"/>
    <col min="3" max="3" width="7.54296875" bestFit="1" customWidth="1"/>
    <col min="4" max="4" width="8.54296875" bestFit="1" customWidth="1"/>
    <col min="5" max="5" width="7.54296875" bestFit="1" customWidth="1"/>
    <col min="6" max="6" width="8.54296875" bestFit="1" customWidth="1"/>
    <col min="7" max="7" width="7.453125" bestFit="1" customWidth="1"/>
    <col min="8" max="8" width="8.54296875" bestFit="1" customWidth="1"/>
    <col min="9" max="9" width="7.54296875" bestFit="1" customWidth="1"/>
    <col min="10" max="10" width="11.08984375" customWidth="1"/>
    <col min="11" max="11" width="10.453125" bestFit="1" customWidth="1"/>
    <col min="12" max="13" width="7.54296875" bestFit="1" customWidth="1"/>
    <col min="14" max="14" width="14.6328125" bestFit="1" customWidth="1"/>
    <col min="15" max="15" width="10" customWidth="1"/>
    <col min="16" max="16" width="9.54296875" customWidth="1"/>
    <col min="17" max="17" width="26.6328125" bestFit="1" customWidth="1"/>
    <col min="18" max="18" width="25.54296875" bestFit="1" customWidth="1"/>
    <col min="19" max="19" width="9.6328125" bestFit="1" customWidth="1"/>
    <col min="20" max="20" width="9.36328125" bestFit="1" customWidth="1"/>
    <col min="21" max="21" width="9.36328125" customWidth="1"/>
    <col min="22" max="22" width="9.36328125" bestFit="1" customWidth="1"/>
    <col min="23" max="23" width="28.90625" bestFit="1" customWidth="1"/>
    <col min="24" max="24" width="10.08984375" bestFit="1" customWidth="1"/>
  </cols>
  <sheetData>
    <row r="1" spans="1:26" ht="14">
      <c r="A1" s="1178" t="s">
        <v>95</v>
      </c>
      <c r="B1" s="1178"/>
      <c r="C1" s="1178"/>
      <c r="D1" s="1178"/>
      <c r="E1" s="1178"/>
      <c r="F1" s="1178"/>
      <c r="G1" s="1178"/>
      <c r="H1" s="1178"/>
      <c r="I1" s="1178"/>
      <c r="J1" s="1178"/>
      <c r="K1" s="1178"/>
      <c r="L1" s="1178"/>
      <c r="M1" s="1178"/>
      <c r="N1" s="1178"/>
      <c r="O1" s="28"/>
      <c r="P1" s="28"/>
      <c r="Q1" s="28"/>
      <c r="R1" s="29"/>
      <c r="S1" s="28"/>
      <c r="T1" s="28"/>
      <c r="U1" s="28"/>
    </row>
    <row r="2" spans="1:26" ht="14">
      <c r="A2" s="430"/>
      <c r="B2" s="1179" t="s">
        <v>87</v>
      </c>
      <c r="C2" s="1179"/>
      <c r="D2" s="1179"/>
      <c r="E2" s="1179"/>
      <c r="F2" s="1179"/>
      <c r="G2" s="1179"/>
      <c r="H2" s="1179"/>
      <c r="I2" s="1179"/>
      <c r="J2" s="1179"/>
      <c r="K2" s="1179"/>
      <c r="L2" s="1179"/>
      <c r="M2" s="1179"/>
      <c r="N2" s="273"/>
      <c r="O2" s="28"/>
      <c r="P2" s="28"/>
      <c r="Q2" s="28"/>
      <c r="R2" s="29"/>
      <c r="S2" s="28"/>
      <c r="T2" s="28"/>
      <c r="U2" s="28"/>
    </row>
    <row r="3" spans="1:26" ht="14">
      <c r="A3" s="431"/>
      <c r="B3" s="432" t="s">
        <v>69</v>
      </c>
      <c r="C3" s="432" t="s">
        <v>70</v>
      </c>
      <c r="D3" s="432" t="s">
        <v>71</v>
      </c>
      <c r="E3" s="432" t="s">
        <v>72</v>
      </c>
      <c r="F3" s="432" t="s">
        <v>73</v>
      </c>
      <c r="G3" s="432" t="s">
        <v>74</v>
      </c>
      <c r="H3" s="432" t="s">
        <v>75</v>
      </c>
      <c r="I3" s="432" t="s">
        <v>76</v>
      </c>
      <c r="J3" s="432" t="s">
        <v>77</v>
      </c>
      <c r="K3" s="432" t="s">
        <v>78</v>
      </c>
      <c r="L3" s="432" t="s">
        <v>79</v>
      </c>
      <c r="M3" s="432" t="s">
        <v>80</v>
      </c>
      <c r="N3" s="433" t="s">
        <v>88</v>
      </c>
      <c r="O3" s="28"/>
      <c r="P3" s="28"/>
      <c r="Q3" s="34" t="s">
        <v>1102</v>
      </c>
      <c r="R3" s="34"/>
      <c r="S3" s="28"/>
      <c r="T3" s="28"/>
      <c r="U3" s="28"/>
    </row>
    <row r="4" spans="1:26" ht="14">
      <c r="A4" s="434" t="s">
        <v>571</v>
      </c>
      <c r="B4" s="326">
        <v>79.914900000000003</v>
      </c>
      <c r="C4" s="326">
        <v>21.27759</v>
      </c>
      <c r="D4" s="326">
        <v>93.438960000000009</v>
      </c>
      <c r="E4" s="326">
        <v>103.51260000000001</v>
      </c>
      <c r="F4" s="326">
        <v>990.33002999999997</v>
      </c>
      <c r="G4" s="326">
        <v>36.883800000000001</v>
      </c>
      <c r="H4" s="326">
        <v>217.92178500000003</v>
      </c>
      <c r="I4" s="326">
        <v>14.13879</v>
      </c>
      <c r="J4" s="326">
        <v>3130.0663500000005</v>
      </c>
      <c r="K4" s="326">
        <v>129.70802999999998</v>
      </c>
      <c r="L4" s="326">
        <v>13.682700000000002</v>
      </c>
      <c r="M4" s="326">
        <v>51.637320000000003</v>
      </c>
      <c r="N4" s="435">
        <f>SUM(B4:M4)</f>
        <v>4882.5128549999999</v>
      </c>
      <c r="O4" s="31"/>
      <c r="P4" s="1083">
        <v>715</v>
      </c>
      <c r="Q4" s="32" t="s">
        <v>1098</v>
      </c>
      <c r="R4" s="32" t="s">
        <v>206</v>
      </c>
      <c r="S4" t="s">
        <v>1071</v>
      </c>
      <c r="T4" s="28">
        <v>1272</v>
      </c>
      <c r="U4" s="28"/>
      <c r="V4">
        <v>864</v>
      </c>
      <c r="W4">
        <v>968</v>
      </c>
    </row>
    <row r="5" spans="1:26" ht="14">
      <c r="A5" s="434" t="s">
        <v>570</v>
      </c>
      <c r="B5" s="326">
        <v>1038.2789700000001</v>
      </c>
      <c r="C5" s="326">
        <v>91.436130000000006</v>
      </c>
      <c r="D5" s="326">
        <v>62.702460000000002</v>
      </c>
      <c r="E5" s="326">
        <v>571.69889999999998</v>
      </c>
      <c r="F5" s="326">
        <v>5370.2812800000002</v>
      </c>
      <c r="G5" s="326">
        <v>757.30770000000007</v>
      </c>
      <c r="H5" s="326">
        <v>325.19217000000003</v>
      </c>
      <c r="I5" s="326">
        <v>950.06521500000008</v>
      </c>
      <c r="J5" s="326">
        <v>27811.575000000001</v>
      </c>
      <c r="K5" s="326">
        <v>4610.4749999999995</v>
      </c>
      <c r="L5" s="326">
        <v>734.70150000000001</v>
      </c>
      <c r="M5" s="326">
        <v>2766.2849999999999</v>
      </c>
      <c r="N5" s="435">
        <f>SUM(B5:M5)</f>
        <v>45089.999324999997</v>
      </c>
      <c r="O5" s="28"/>
      <c r="P5" s="1083">
        <v>173</v>
      </c>
      <c r="Q5" s="37" t="s">
        <v>1098</v>
      </c>
      <c r="R5" s="37" t="s">
        <v>185</v>
      </c>
      <c r="S5" t="s">
        <v>1071</v>
      </c>
      <c r="T5" s="28">
        <v>36</v>
      </c>
      <c r="U5" s="28"/>
      <c r="V5">
        <v>75</v>
      </c>
      <c r="W5">
        <v>209</v>
      </c>
    </row>
    <row r="6" spans="1:26" ht="14">
      <c r="A6" s="431" t="s">
        <v>23</v>
      </c>
      <c r="B6" s="850">
        <v>1118.1938700000001</v>
      </c>
      <c r="C6" s="850">
        <v>112.71372000000001</v>
      </c>
      <c r="D6" s="850">
        <v>156.14142000000001</v>
      </c>
      <c r="E6" s="850">
        <v>675.2115</v>
      </c>
      <c r="F6" s="850">
        <v>6360.6113100000002</v>
      </c>
      <c r="G6" s="850">
        <v>794.19150000000002</v>
      </c>
      <c r="H6" s="850">
        <v>543.11395500000003</v>
      </c>
      <c r="I6" s="850">
        <v>964.20400500000005</v>
      </c>
      <c r="J6" s="850">
        <v>30941.641350000002</v>
      </c>
      <c r="K6" s="850">
        <v>4740.1830299999992</v>
      </c>
      <c r="L6" s="850">
        <v>748.38419999999996</v>
      </c>
      <c r="M6" s="850">
        <v>2817.9223199999997</v>
      </c>
      <c r="N6" s="435">
        <f>SUM(N4:N5)</f>
        <v>49972.512179999998</v>
      </c>
      <c r="O6" s="28"/>
      <c r="P6" s="1083">
        <v>34</v>
      </c>
      <c r="Q6" s="38" t="s">
        <v>1098</v>
      </c>
      <c r="R6" s="38" t="s">
        <v>245</v>
      </c>
      <c r="S6" t="s">
        <v>1071</v>
      </c>
      <c r="T6" s="28">
        <v>149</v>
      </c>
      <c r="U6" s="28"/>
      <c r="V6">
        <v>57</v>
      </c>
      <c r="W6">
        <v>49</v>
      </c>
    </row>
    <row r="7" spans="1:26" ht="14">
      <c r="A7" s="431" t="s">
        <v>821</v>
      </c>
      <c r="B7" s="846">
        <v>676.20300000000009</v>
      </c>
      <c r="C7" s="846">
        <v>3525.1791000000003</v>
      </c>
      <c r="D7" s="846">
        <v>590.14080000000001</v>
      </c>
      <c r="E7" s="846">
        <v>767.42100000000005</v>
      </c>
      <c r="F7" s="846">
        <v>6104.2689</v>
      </c>
      <c r="G7" s="846">
        <v>1427.76</v>
      </c>
      <c r="H7" s="846">
        <v>1475.3519999999999</v>
      </c>
      <c r="I7" s="846">
        <v>1051.1883</v>
      </c>
      <c r="J7" s="846">
        <v>12796.298999999999</v>
      </c>
      <c r="K7" s="846">
        <v>13487.176200000002</v>
      </c>
      <c r="L7" s="846">
        <v>1981.0170000000001</v>
      </c>
      <c r="M7" s="846">
        <v>1844.19</v>
      </c>
      <c r="N7" s="444">
        <f>SUM(B7:M7)</f>
        <v>45726.195300000007</v>
      </c>
      <c r="O7" s="28"/>
      <c r="P7" s="1083">
        <v>53</v>
      </c>
      <c r="Q7" s="38" t="s">
        <v>1098</v>
      </c>
      <c r="R7" s="38" t="s">
        <v>179</v>
      </c>
      <c r="S7" t="s">
        <v>1071</v>
      </c>
      <c r="T7" s="28">
        <v>128</v>
      </c>
      <c r="U7" s="28"/>
      <c r="V7">
        <v>138</v>
      </c>
      <c r="W7">
        <v>166</v>
      </c>
    </row>
    <row r="8" spans="1:26" ht="14">
      <c r="A8" s="464" t="s">
        <v>823</v>
      </c>
      <c r="B8" s="846">
        <f>B6-B7</f>
        <v>441.99086999999997</v>
      </c>
      <c r="C8" s="846">
        <f t="shared" ref="C8:M8" si="0">C6-C7</f>
        <v>-3412.4653800000001</v>
      </c>
      <c r="D8" s="846">
        <f t="shared" si="0"/>
        <v>-433.99937999999997</v>
      </c>
      <c r="E8" s="846">
        <f t="shared" si="0"/>
        <v>-92.209500000000048</v>
      </c>
      <c r="F8" s="846">
        <f t="shared" si="0"/>
        <v>256.3424100000002</v>
      </c>
      <c r="G8" s="846">
        <f t="shared" si="0"/>
        <v>-633.56849999999997</v>
      </c>
      <c r="H8" s="846">
        <f t="shared" si="0"/>
        <v>-932.23804499999983</v>
      </c>
      <c r="I8" s="846">
        <f t="shared" si="0"/>
        <v>-86.984294999999975</v>
      </c>
      <c r="J8" s="846">
        <f t="shared" si="0"/>
        <v>18145.342350000003</v>
      </c>
      <c r="K8" s="846">
        <f t="shared" si="0"/>
        <v>-8746.9931700000016</v>
      </c>
      <c r="L8" s="846">
        <f t="shared" si="0"/>
        <v>-1232.6328000000001</v>
      </c>
      <c r="M8" s="846">
        <f t="shared" si="0"/>
        <v>973.73231999999962</v>
      </c>
      <c r="N8" s="444">
        <f>SUM(B8:M8)</f>
        <v>4246.3168800000021</v>
      </c>
      <c r="O8" s="28"/>
      <c r="P8" s="1084">
        <v>26</v>
      </c>
      <c r="Q8" s="38" t="s">
        <v>1098</v>
      </c>
      <c r="R8" s="38" t="s">
        <v>180</v>
      </c>
      <c r="S8" t="s">
        <v>1071</v>
      </c>
      <c r="T8" s="28">
        <v>88</v>
      </c>
      <c r="U8" s="28"/>
      <c r="V8">
        <v>60</v>
      </c>
      <c r="W8">
        <v>30</v>
      </c>
    </row>
    <row r="9" spans="1:26" ht="14">
      <c r="A9" s="273"/>
      <c r="B9" s="273"/>
      <c r="C9" s="273"/>
      <c r="D9" s="273"/>
      <c r="E9" s="273"/>
      <c r="F9" s="273"/>
      <c r="G9" s="273"/>
      <c r="H9" s="273"/>
      <c r="I9" s="273"/>
      <c r="J9" s="273"/>
      <c r="K9" s="273"/>
      <c r="L9" s="273"/>
      <c r="M9" s="273"/>
      <c r="N9" s="273"/>
      <c r="O9" s="28"/>
      <c r="P9" s="606">
        <v>10.199999999999999</v>
      </c>
      <c r="Q9" s="38" t="s">
        <v>1098</v>
      </c>
      <c r="R9" s="38" t="s">
        <v>184</v>
      </c>
      <c r="S9" t="s">
        <v>1096</v>
      </c>
      <c r="T9" s="28">
        <v>7</v>
      </c>
      <c r="U9" s="28"/>
      <c r="V9">
        <v>14.8</v>
      </c>
      <c r="W9">
        <v>6.6</v>
      </c>
    </row>
    <row r="10" spans="1:26" ht="14">
      <c r="A10" s="437" t="s">
        <v>66</v>
      </c>
      <c r="B10" s="432" t="s">
        <v>69</v>
      </c>
      <c r="C10" s="432" t="s">
        <v>70</v>
      </c>
      <c r="D10" s="432" t="s">
        <v>71</v>
      </c>
      <c r="E10" s="432" t="s">
        <v>72</v>
      </c>
      <c r="F10" s="432" t="s">
        <v>73</v>
      </c>
      <c r="G10" s="432" t="s">
        <v>74</v>
      </c>
      <c r="H10" s="432" t="s">
        <v>75</v>
      </c>
      <c r="I10" s="432" t="s">
        <v>76</v>
      </c>
      <c r="J10" s="432" t="s">
        <v>77</v>
      </c>
      <c r="K10" s="432" t="s">
        <v>78</v>
      </c>
      <c r="L10" s="432" t="s">
        <v>79</v>
      </c>
      <c r="M10" s="432" t="s">
        <v>80</v>
      </c>
      <c r="N10" s="437" t="s">
        <v>89</v>
      </c>
      <c r="O10" s="32"/>
      <c r="P10" s="726">
        <v>12.4</v>
      </c>
      <c r="Q10" s="28" t="s">
        <v>1098</v>
      </c>
      <c r="R10" s="28" t="s">
        <v>181</v>
      </c>
      <c r="S10" s="28" t="s">
        <v>1071</v>
      </c>
      <c r="T10" s="28">
        <v>25.1</v>
      </c>
      <c r="U10" s="28"/>
      <c r="V10">
        <v>56</v>
      </c>
      <c r="W10">
        <v>4.7</v>
      </c>
    </row>
    <row r="11" spans="1:26" ht="14">
      <c r="A11" s="434" t="s">
        <v>571</v>
      </c>
      <c r="B11" s="184">
        <v>766</v>
      </c>
      <c r="C11" s="184">
        <v>784</v>
      </c>
      <c r="D11" s="184">
        <v>452</v>
      </c>
      <c r="E11" s="184">
        <v>253</v>
      </c>
      <c r="F11" s="184">
        <v>268</v>
      </c>
      <c r="G11" s="184">
        <v>297</v>
      </c>
      <c r="H11" s="184">
        <v>344.5</v>
      </c>
      <c r="I11" s="184">
        <v>621</v>
      </c>
      <c r="J11" s="184">
        <v>587</v>
      </c>
      <c r="K11" s="184">
        <v>54</v>
      </c>
      <c r="L11" s="184">
        <v>174</v>
      </c>
      <c r="M11" s="184">
        <v>492</v>
      </c>
      <c r="N11" s="435">
        <f>AVERAGE(B11:M11)</f>
        <v>424.375</v>
      </c>
      <c r="O11" s="33"/>
      <c r="P11" s="726">
        <v>12.1</v>
      </c>
      <c r="Q11" s="28" t="s">
        <v>1098</v>
      </c>
      <c r="R11" s="28" t="s">
        <v>181</v>
      </c>
      <c r="S11" s="28" t="s">
        <v>1071</v>
      </c>
      <c r="T11" s="28">
        <v>28</v>
      </c>
      <c r="U11" s="28"/>
      <c r="V11">
        <v>52.5</v>
      </c>
      <c r="W11">
        <v>4.4000000000000004</v>
      </c>
    </row>
    <row r="12" spans="1:26" ht="14">
      <c r="A12" s="434" t="s">
        <v>570</v>
      </c>
      <c r="B12" s="442">
        <v>2637</v>
      </c>
      <c r="C12" s="442">
        <v>2411</v>
      </c>
      <c r="D12" s="442">
        <v>2087</v>
      </c>
      <c r="E12" s="442">
        <v>544</v>
      </c>
      <c r="F12" s="442">
        <v>240</v>
      </c>
      <c r="G12" s="442">
        <v>456</v>
      </c>
      <c r="H12" s="442">
        <v>425.5</v>
      </c>
      <c r="I12" s="442">
        <v>290.5</v>
      </c>
      <c r="J12" s="848">
        <v>311</v>
      </c>
      <c r="K12" s="848">
        <v>125</v>
      </c>
      <c r="L12" s="704">
        <v>514</v>
      </c>
      <c r="M12" s="704">
        <v>472</v>
      </c>
      <c r="N12" s="435">
        <f>AVERAGE(B12:M12)</f>
        <v>876.08333333333337</v>
      </c>
      <c r="O12" s="33"/>
      <c r="P12" s="33"/>
      <c r="Q12" s="589"/>
      <c r="R12" s="589"/>
      <c r="S12" s="714"/>
      <c r="T12" s="714"/>
      <c r="U12" s="714"/>
      <c r="V12" s="714"/>
    </row>
    <row r="13" spans="1:26" ht="14">
      <c r="A13" s="443" t="s">
        <v>822</v>
      </c>
      <c r="B13" s="442">
        <v>167</v>
      </c>
      <c r="C13" s="442">
        <v>261</v>
      </c>
      <c r="D13" s="442">
        <v>168</v>
      </c>
      <c r="E13" s="442">
        <v>21</v>
      </c>
      <c r="F13" s="442">
        <v>289</v>
      </c>
      <c r="G13" s="442">
        <v>161</v>
      </c>
      <c r="H13" s="442">
        <v>119.5</v>
      </c>
      <c r="I13" s="442">
        <v>54.5</v>
      </c>
      <c r="J13" s="848">
        <v>147.5</v>
      </c>
      <c r="K13" s="848">
        <v>118.5</v>
      </c>
      <c r="L13" s="704">
        <v>324</v>
      </c>
      <c r="M13" s="704">
        <v>427</v>
      </c>
      <c r="N13" s="444">
        <f>AVERAGE(B13:M13)</f>
        <v>188.16666666666666</v>
      </c>
      <c r="O13" s="33"/>
      <c r="P13" s="33"/>
      <c r="Q13" s="589"/>
      <c r="R13" s="637"/>
      <c r="S13" s="714"/>
      <c r="T13" s="714"/>
      <c r="U13" s="714"/>
      <c r="V13" s="714"/>
    </row>
    <row r="14" spans="1:26" ht="14">
      <c r="A14" s="273" t="s">
        <v>81</v>
      </c>
      <c r="B14" s="847">
        <v>2.7230000000000002E-3</v>
      </c>
      <c r="C14" s="273"/>
      <c r="D14" s="273"/>
      <c r="E14" s="273"/>
      <c r="F14" s="273"/>
      <c r="G14" s="273"/>
      <c r="H14" s="273"/>
      <c r="I14" s="273"/>
      <c r="J14" s="273"/>
      <c r="K14" s="273"/>
      <c r="L14" s="273"/>
      <c r="M14" s="273"/>
      <c r="N14" s="273"/>
      <c r="O14" s="28"/>
      <c r="P14" s="28"/>
      <c r="Q14" s="589"/>
      <c r="R14" s="589"/>
      <c r="S14" s="714"/>
      <c r="T14" s="714"/>
      <c r="U14" s="714"/>
      <c r="V14" s="714"/>
    </row>
    <row r="15" spans="1:26" ht="14">
      <c r="A15" s="273"/>
      <c r="B15" s="273"/>
      <c r="C15" s="273"/>
      <c r="D15" s="273"/>
      <c r="E15" s="273"/>
      <c r="F15" s="273"/>
      <c r="G15" s="273"/>
      <c r="H15" s="273"/>
      <c r="I15" s="273"/>
      <c r="J15" s="273"/>
      <c r="K15" s="273"/>
      <c r="L15" s="273"/>
      <c r="M15" s="273"/>
      <c r="N15" s="273"/>
      <c r="O15" s="28"/>
      <c r="P15" s="28"/>
      <c r="Q15" s="590"/>
      <c r="R15" s="589"/>
      <c r="S15" s="715"/>
      <c r="T15" s="715"/>
      <c r="U15" s="715"/>
      <c r="V15" s="715"/>
    </row>
    <row r="16" spans="1:26" ht="14">
      <c r="A16" s="437" t="s">
        <v>82</v>
      </c>
      <c r="B16" s="438" t="s">
        <v>69</v>
      </c>
      <c r="C16" s="438" t="s">
        <v>70</v>
      </c>
      <c r="D16" s="438" t="s">
        <v>71</v>
      </c>
      <c r="E16" s="438" t="s">
        <v>72</v>
      </c>
      <c r="F16" s="438" t="s">
        <v>73</v>
      </c>
      <c r="G16" s="438" t="s">
        <v>74</v>
      </c>
      <c r="H16" s="438" t="s">
        <v>75</v>
      </c>
      <c r="I16" s="438" t="s">
        <v>76</v>
      </c>
      <c r="J16" s="438" t="s">
        <v>77</v>
      </c>
      <c r="K16" s="438" t="s">
        <v>78</v>
      </c>
      <c r="L16" s="438" t="s">
        <v>79</v>
      </c>
      <c r="M16" s="438" t="s">
        <v>80</v>
      </c>
      <c r="N16" s="438" t="s">
        <v>356</v>
      </c>
      <c r="O16" s="28"/>
      <c r="P16" s="28"/>
      <c r="Q16" s="589"/>
      <c r="R16" s="1180" t="s">
        <v>1940</v>
      </c>
      <c r="S16" s="1180"/>
      <c r="T16" s="1180"/>
      <c r="U16" s="1180"/>
      <c r="V16" s="716"/>
      <c r="W16" s="589"/>
      <c r="X16" s="1180" t="s">
        <v>1170</v>
      </c>
      <c r="Y16" s="1180"/>
      <c r="Z16" s="1180"/>
    </row>
    <row r="17" spans="1:28" ht="14">
      <c r="A17" s="434" t="s">
        <v>571</v>
      </c>
      <c r="B17" s="326">
        <f>B4*$B$14*B11</f>
        <v>166.68793688820003</v>
      </c>
      <c r="C17" s="326">
        <f t="shared" ref="C17:M17" si="1">C4*$B$14*C11</f>
        <v>45.424080014880005</v>
      </c>
      <c r="D17" s="326">
        <f t="shared" si="1"/>
        <v>115.00429821216001</v>
      </c>
      <c r="E17" s="326">
        <f t="shared" si="1"/>
        <v>71.311796879400021</v>
      </c>
      <c r="F17" s="326">
        <f t="shared" si="1"/>
        <v>722.70720401291999</v>
      </c>
      <c r="G17" s="326">
        <f t="shared" si="1"/>
        <v>29.829072457800002</v>
      </c>
      <c r="H17" s="326">
        <f t="shared" si="1"/>
        <v>204.42665158119755</v>
      </c>
      <c r="I17" s="326">
        <f t="shared" si="1"/>
        <v>23.908453530570004</v>
      </c>
      <c r="J17" s="326">
        <f t="shared" si="1"/>
        <v>5003.1011839063513</v>
      </c>
      <c r="K17" s="326">
        <f t="shared" si="1"/>
        <v>19.072528147259998</v>
      </c>
      <c r="L17" s="326">
        <f t="shared" si="1"/>
        <v>6.4828906254000005</v>
      </c>
      <c r="M17" s="326">
        <f t="shared" si="1"/>
        <v>69.179343801120012</v>
      </c>
      <c r="N17" s="435">
        <f>SUM(B17:M17)</f>
        <v>6477.1354400572582</v>
      </c>
      <c r="O17" s="28"/>
      <c r="P17" s="28"/>
      <c r="Q17" s="730"/>
      <c r="R17" s="735" t="s">
        <v>442</v>
      </c>
      <c r="S17" s="1118" t="s">
        <v>921</v>
      </c>
      <c r="T17" s="735" t="s">
        <v>922</v>
      </c>
      <c r="U17" s="1120">
        <v>2013</v>
      </c>
      <c r="W17" s="730"/>
      <c r="X17" s="736" t="s">
        <v>500</v>
      </c>
      <c r="Y17" s="736" t="s">
        <v>1168</v>
      </c>
      <c r="Z17" s="736" t="s">
        <v>1169</v>
      </c>
      <c r="AA17" s="1"/>
    </row>
    <row r="18" spans="1:28" ht="14">
      <c r="A18" s="434" t="s">
        <v>570</v>
      </c>
      <c r="B18" s="326">
        <f>B5*$B$14*B12</f>
        <v>7455.4150963124703</v>
      </c>
      <c r="C18" s="326">
        <f t="shared" ref="C18:M18" si="2">C5*$B$14*C12</f>
        <v>600.29218317789002</v>
      </c>
      <c r="D18" s="326">
        <f t="shared" si="2"/>
        <v>356.33187263646005</v>
      </c>
      <c r="E18" s="326">
        <f t="shared" si="2"/>
        <v>846.86444095680008</v>
      </c>
      <c r="F18" s="326">
        <f t="shared" si="2"/>
        <v>3509.5862221056004</v>
      </c>
      <c r="G18" s="326">
        <f t="shared" si="2"/>
        <v>940.33988339760015</v>
      </c>
      <c r="H18" s="326">
        <f t="shared" si="2"/>
        <v>376.77951767620505</v>
      </c>
      <c r="I18" s="326">
        <f t="shared" si="2"/>
        <v>751.53151211927263</v>
      </c>
      <c r="J18" s="326">
        <f t="shared" si="2"/>
        <v>23552.315723475003</v>
      </c>
      <c r="K18" s="326">
        <f t="shared" si="2"/>
        <v>1569.2904281250001</v>
      </c>
      <c r="L18" s="326">
        <f t="shared" si="2"/>
        <v>1028.3043828330001</v>
      </c>
      <c r="M18" s="326">
        <f t="shared" si="2"/>
        <v>3555.3843939599997</v>
      </c>
      <c r="N18" s="435">
        <f>SUM(B18:M18)</f>
        <v>44542.435656775298</v>
      </c>
      <c r="O18" s="28"/>
      <c r="P18" s="28"/>
      <c r="Q18" s="733" t="s">
        <v>206</v>
      </c>
      <c r="R18" s="731">
        <v>2433</v>
      </c>
      <c r="S18" s="1119">
        <v>45514</v>
      </c>
      <c r="T18" s="731">
        <v>2548</v>
      </c>
      <c r="U18" s="731">
        <f>N32</f>
        <v>94110.13949083793</v>
      </c>
      <c r="W18" s="733" t="s">
        <v>206</v>
      </c>
      <c r="X18" s="737">
        <v>81560</v>
      </c>
      <c r="Y18" s="738">
        <v>53501</v>
      </c>
      <c r="Z18" s="737">
        <f t="shared" ref="Z18:Z23" si="3">X18-Y18</f>
        <v>28059</v>
      </c>
      <c r="AA18" s="739">
        <f t="shared" ref="AA18:AA23" si="4">Z18/X18</f>
        <v>0.34402893575282001</v>
      </c>
    </row>
    <row r="19" spans="1:28" ht="14">
      <c r="A19" s="439" t="s">
        <v>90</v>
      </c>
      <c r="B19" s="849">
        <f>SUM(B17:B18)</f>
        <v>7622.1030332006703</v>
      </c>
      <c r="C19" s="849">
        <f t="shared" ref="C19:N19" si="5">SUM(C17:C18)</f>
        <v>645.71626319277004</v>
      </c>
      <c r="D19" s="849">
        <f t="shared" si="5"/>
        <v>471.33617084862004</v>
      </c>
      <c r="E19" s="849">
        <f t="shared" si="5"/>
        <v>918.17623783620013</v>
      </c>
      <c r="F19" s="849">
        <f t="shared" si="5"/>
        <v>4232.2934261185201</v>
      </c>
      <c r="G19" s="849">
        <f t="shared" si="5"/>
        <v>970.1689558554001</v>
      </c>
      <c r="H19" s="849">
        <f t="shared" si="5"/>
        <v>581.20616925740262</v>
      </c>
      <c r="I19" s="849">
        <f t="shared" si="5"/>
        <v>775.43996564984263</v>
      </c>
      <c r="J19" s="849">
        <f t="shared" si="5"/>
        <v>28555.416907381354</v>
      </c>
      <c r="K19" s="849">
        <f t="shared" si="5"/>
        <v>1588.3629562722601</v>
      </c>
      <c r="L19" s="849">
        <f t="shared" si="5"/>
        <v>1034.7872734584</v>
      </c>
      <c r="M19" s="849">
        <f t="shared" si="5"/>
        <v>3624.5637377611197</v>
      </c>
      <c r="N19" s="435">
        <f t="shared" si="5"/>
        <v>51019.571096832558</v>
      </c>
      <c r="O19" s="28"/>
      <c r="P19" s="28"/>
      <c r="Q19" s="640" t="s">
        <v>185</v>
      </c>
      <c r="R19" s="731">
        <v>775</v>
      </c>
      <c r="S19" s="1119">
        <v>28555</v>
      </c>
      <c r="T19" s="731">
        <v>1588</v>
      </c>
      <c r="U19" s="731">
        <f>N19</f>
        <v>51019.571096832558</v>
      </c>
      <c r="W19" s="640" t="s">
        <v>185</v>
      </c>
      <c r="X19" s="737">
        <v>17610</v>
      </c>
      <c r="Y19" s="738">
        <v>14239</v>
      </c>
      <c r="Z19" s="737">
        <f t="shared" si="3"/>
        <v>3371</v>
      </c>
      <c r="AA19" s="739">
        <f t="shared" si="4"/>
        <v>0.19142532651902328</v>
      </c>
    </row>
    <row r="20" spans="1:28" ht="14">
      <c r="A20" s="443" t="s">
        <v>822</v>
      </c>
      <c r="B20" s="326">
        <f>B7*$B$14*B13</f>
        <v>307.49722842300002</v>
      </c>
      <c r="C20" s="326">
        <f t="shared" ref="C20:M20" si="6">C7*$B$14*C13</f>
        <v>2505.3553619073004</v>
      </c>
      <c r="D20" s="326">
        <f t="shared" si="6"/>
        <v>269.96817093120001</v>
      </c>
      <c r="E20" s="326">
        <f t="shared" si="6"/>
        <v>43.883435043000006</v>
      </c>
      <c r="F20" s="326">
        <f t="shared" si="6"/>
        <v>4803.7360980483008</v>
      </c>
      <c r="G20" s="326">
        <f t="shared" si="6"/>
        <v>625.93426727999997</v>
      </c>
      <c r="H20" s="326">
        <f t="shared" si="6"/>
        <v>480.07732777199999</v>
      </c>
      <c r="I20" s="326">
        <f t="shared" si="6"/>
        <v>156.00002287905002</v>
      </c>
      <c r="J20" s="326">
        <f t="shared" si="6"/>
        <v>5139.5375211075007</v>
      </c>
      <c r="K20" s="326">
        <f t="shared" si="6"/>
        <v>4351.9813239231007</v>
      </c>
      <c r="L20" s="326">
        <f t="shared" si="6"/>
        <v>1747.7562102840002</v>
      </c>
      <c r="M20" s="326">
        <f t="shared" si="6"/>
        <v>2144.27844099</v>
      </c>
      <c r="N20" s="444">
        <f>SUM(B20:M20)</f>
        <v>22576.005408588459</v>
      </c>
      <c r="O20" s="28"/>
      <c r="P20" s="28"/>
      <c r="Q20" s="640" t="s">
        <v>245</v>
      </c>
      <c r="R20" s="731">
        <v>391</v>
      </c>
      <c r="S20" s="1119">
        <v>4128</v>
      </c>
      <c r="T20" s="731">
        <v>439</v>
      </c>
      <c r="U20" s="731"/>
      <c r="W20" s="640" t="s">
        <v>245</v>
      </c>
      <c r="X20" s="737">
        <v>5814</v>
      </c>
      <c r="Y20" s="738">
        <v>4128</v>
      </c>
      <c r="Z20" s="737">
        <f t="shared" si="3"/>
        <v>1686</v>
      </c>
      <c r="AA20" s="739">
        <f t="shared" si="4"/>
        <v>0.28998968008255932</v>
      </c>
    </row>
    <row r="21" spans="1:28" ht="14">
      <c r="A21" s="443" t="s">
        <v>824</v>
      </c>
      <c r="B21" s="326">
        <f>B19-B20</f>
        <v>7314.6058047776705</v>
      </c>
      <c r="C21" s="326">
        <f t="shared" ref="C21:M21" si="7">C19-C20</f>
        <v>-1859.6390987145305</v>
      </c>
      <c r="D21" s="326">
        <f t="shared" si="7"/>
        <v>201.36799991742004</v>
      </c>
      <c r="E21" s="326">
        <f t="shared" si="7"/>
        <v>874.29280279320017</v>
      </c>
      <c r="F21" s="326">
        <f t="shared" si="7"/>
        <v>-571.44267192978077</v>
      </c>
      <c r="G21" s="326">
        <f t="shared" si="7"/>
        <v>344.23468857540013</v>
      </c>
      <c r="H21" s="326">
        <f t="shared" si="7"/>
        <v>101.12884148540263</v>
      </c>
      <c r="I21" s="326">
        <f t="shared" si="7"/>
        <v>619.43994277079264</v>
      </c>
      <c r="J21" s="326">
        <f t="shared" si="7"/>
        <v>23415.879386273853</v>
      </c>
      <c r="K21" s="326">
        <f t="shared" si="7"/>
        <v>-2763.6183676508408</v>
      </c>
      <c r="L21" s="326">
        <f t="shared" si="7"/>
        <v>-712.96893682560017</v>
      </c>
      <c r="M21" s="326">
        <f t="shared" si="7"/>
        <v>1480.2852967711196</v>
      </c>
      <c r="N21" s="444">
        <f>SUM(B21:M21)</f>
        <v>28443.565688244104</v>
      </c>
      <c r="O21" s="28"/>
      <c r="P21" s="28"/>
      <c r="Q21" s="640" t="s">
        <v>68</v>
      </c>
      <c r="R21" s="731">
        <v>172</v>
      </c>
      <c r="S21" s="1119">
        <v>13050</v>
      </c>
      <c r="T21" s="731">
        <v>26</v>
      </c>
      <c r="U21" s="731">
        <f>N45</f>
        <v>14386.68102046366</v>
      </c>
      <c r="W21" s="640" t="s">
        <v>179</v>
      </c>
      <c r="X21" s="737">
        <v>13986</v>
      </c>
      <c r="Y21" s="738">
        <v>5139</v>
      </c>
      <c r="Z21" s="737">
        <f t="shared" si="3"/>
        <v>8847</v>
      </c>
      <c r="AA21" s="739">
        <f t="shared" si="4"/>
        <v>0.63256113256113256</v>
      </c>
    </row>
    <row r="22" spans="1:28" ht="14">
      <c r="A22" s="467"/>
      <c r="B22" s="466"/>
      <c r="C22" s="466"/>
      <c r="D22" s="466"/>
      <c r="E22" s="466"/>
      <c r="F22" s="466"/>
      <c r="G22" s="466"/>
      <c r="H22" s="466"/>
      <c r="I22" s="466"/>
      <c r="J22" s="466"/>
      <c r="K22" s="466"/>
      <c r="L22" s="466"/>
      <c r="M22" s="466"/>
      <c r="N22" s="441"/>
      <c r="O22" s="28"/>
      <c r="P22" s="28"/>
      <c r="Q22" s="734" t="s">
        <v>180</v>
      </c>
      <c r="R22" s="731">
        <v>231</v>
      </c>
      <c r="S22" s="1119">
        <v>2528</v>
      </c>
      <c r="T22" s="731">
        <v>335</v>
      </c>
      <c r="U22" s="731"/>
      <c r="W22" s="734" t="s">
        <v>180</v>
      </c>
      <c r="X22" s="737">
        <v>2528</v>
      </c>
      <c r="Y22" s="738">
        <v>1937</v>
      </c>
      <c r="Z22" s="737">
        <f t="shared" si="3"/>
        <v>591</v>
      </c>
      <c r="AA22" s="739">
        <f t="shared" si="4"/>
        <v>0.23378164556962025</v>
      </c>
    </row>
    <row r="23" spans="1:28" s="10" customFormat="1" ht="14">
      <c r="A23" s="440"/>
      <c r="B23" s="441"/>
      <c r="C23" s="441"/>
      <c r="D23" s="441"/>
      <c r="E23" s="441"/>
      <c r="F23" s="441"/>
      <c r="G23" s="441"/>
      <c r="H23" s="441"/>
      <c r="I23" s="441"/>
      <c r="J23" s="441"/>
      <c r="K23" s="441"/>
      <c r="L23" s="441"/>
      <c r="M23" s="441"/>
      <c r="N23" s="441"/>
      <c r="O23" s="318"/>
      <c r="P23" s="318"/>
      <c r="Q23" s="640" t="s">
        <v>184</v>
      </c>
      <c r="R23" s="732">
        <f>I60</f>
        <v>69737.383477361262</v>
      </c>
      <c r="S23" s="1119">
        <f>J60</f>
        <v>1331703.4211148149</v>
      </c>
      <c r="T23" s="732">
        <f>K60</f>
        <v>315270.86548775999</v>
      </c>
      <c r="U23" s="1117">
        <f>N60</f>
        <v>2103351.4735176614</v>
      </c>
      <c r="W23" s="640" t="s">
        <v>184</v>
      </c>
      <c r="X23" s="738">
        <v>1720000</v>
      </c>
      <c r="Y23" s="738">
        <v>362380</v>
      </c>
      <c r="Z23" s="737">
        <f t="shared" si="3"/>
        <v>1357620</v>
      </c>
      <c r="AA23" s="739">
        <f t="shared" si="4"/>
        <v>0.78931395348837208</v>
      </c>
    </row>
    <row r="24" spans="1:28" s="10" customFormat="1" ht="14">
      <c r="A24" s="437" t="s">
        <v>361</v>
      </c>
      <c r="B24" s="432" t="s">
        <v>69</v>
      </c>
      <c r="C24" s="432" t="s">
        <v>70</v>
      </c>
      <c r="D24" s="432" t="s">
        <v>71</v>
      </c>
      <c r="E24" s="432" t="s">
        <v>72</v>
      </c>
      <c r="F24" s="432" t="s">
        <v>73</v>
      </c>
      <c r="G24" s="432" t="s">
        <v>74</v>
      </c>
      <c r="H24" s="432" t="s">
        <v>75</v>
      </c>
      <c r="I24" s="432" t="s">
        <v>76</v>
      </c>
      <c r="J24" s="432" t="s">
        <v>77</v>
      </c>
      <c r="K24" s="432" t="s">
        <v>78</v>
      </c>
      <c r="L24" s="432" t="s">
        <v>79</v>
      </c>
      <c r="M24" s="432" t="s">
        <v>80</v>
      </c>
      <c r="N24" s="437" t="s">
        <v>89</v>
      </c>
      <c r="O24" s="318"/>
      <c r="P24" s="318"/>
      <c r="Q24" s="318"/>
      <c r="R24" s="318"/>
      <c r="S24" s="318"/>
      <c r="T24" s="318"/>
      <c r="U24" s="318"/>
    </row>
    <row r="25" spans="1:28" s="10" customFormat="1" ht="14">
      <c r="A25" s="434" t="s">
        <v>571</v>
      </c>
      <c r="B25" s="848">
        <v>1207</v>
      </c>
      <c r="C25" s="848">
        <v>947</v>
      </c>
      <c r="D25" s="848">
        <v>684</v>
      </c>
      <c r="E25" s="848">
        <v>446</v>
      </c>
      <c r="F25" s="848">
        <v>529</v>
      </c>
      <c r="G25" s="848">
        <v>512</v>
      </c>
      <c r="H25" s="848">
        <v>736.5</v>
      </c>
      <c r="I25" s="1082">
        <v>1149.5</v>
      </c>
      <c r="J25" s="1082">
        <v>837</v>
      </c>
      <c r="K25" s="1082">
        <v>183.5</v>
      </c>
      <c r="L25" s="442">
        <v>367</v>
      </c>
      <c r="M25" s="442">
        <v>398</v>
      </c>
      <c r="N25" s="435">
        <f>AVERAGE(B25:M25)</f>
        <v>666.375</v>
      </c>
      <c r="O25" s="318"/>
      <c r="P25" s="318"/>
      <c r="Q25" s="318"/>
      <c r="R25" s="318"/>
      <c r="S25" s="318"/>
      <c r="T25" s="318"/>
      <c r="U25" s="318"/>
    </row>
    <row r="26" spans="1:28" s="10" customFormat="1" ht="14">
      <c r="A26" s="434" t="s">
        <v>570</v>
      </c>
      <c r="B26" s="848">
        <v>3154</v>
      </c>
      <c r="C26" s="848">
        <v>2634</v>
      </c>
      <c r="D26" s="848">
        <v>2870</v>
      </c>
      <c r="E26" s="848">
        <v>843</v>
      </c>
      <c r="F26" s="848">
        <v>965</v>
      </c>
      <c r="G26" s="848">
        <v>654</v>
      </c>
      <c r="H26" s="848">
        <v>1153</v>
      </c>
      <c r="I26" s="848">
        <v>923.5</v>
      </c>
      <c r="J26" s="848">
        <v>601</v>
      </c>
      <c r="K26" s="848">
        <v>203</v>
      </c>
      <c r="L26" s="848">
        <v>406</v>
      </c>
      <c r="M26" s="848">
        <v>683</v>
      </c>
      <c r="N26" s="435">
        <f>AVERAGE(B26:M26)</f>
        <v>1257.4583333333333</v>
      </c>
      <c r="O26" s="318"/>
      <c r="P26" s="318"/>
      <c r="Q26" s="318"/>
      <c r="R26" s="318"/>
      <c r="S26" s="318"/>
      <c r="T26" s="318"/>
      <c r="U26" s="318"/>
    </row>
    <row r="27" spans="1:28" s="10" customFormat="1" ht="14">
      <c r="A27" s="467" t="s">
        <v>822</v>
      </c>
      <c r="B27" s="848">
        <v>1050</v>
      </c>
      <c r="C27" s="848">
        <v>713</v>
      </c>
      <c r="D27" s="848">
        <v>621</v>
      </c>
      <c r="E27" s="848">
        <v>450</v>
      </c>
      <c r="F27" s="848">
        <v>865</v>
      </c>
      <c r="G27" s="848">
        <v>697</v>
      </c>
      <c r="H27" s="848">
        <v>928.5</v>
      </c>
      <c r="I27" s="848">
        <v>1691</v>
      </c>
      <c r="J27" s="848">
        <v>621</v>
      </c>
      <c r="K27" s="848">
        <v>395.5</v>
      </c>
      <c r="L27" s="848">
        <v>791</v>
      </c>
      <c r="M27" s="848">
        <v>642</v>
      </c>
      <c r="N27" s="435">
        <f>AVERAGE(B27:M27)</f>
        <v>788.75</v>
      </c>
      <c r="O27" s="318"/>
      <c r="P27" s="318"/>
      <c r="Q27" s="852" t="s">
        <v>11</v>
      </c>
      <c r="R27" s="852" t="s">
        <v>10</v>
      </c>
      <c r="S27" s="318"/>
      <c r="T27" s="722">
        <v>41491</v>
      </c>
      <c r="U27" s="722"/>
      <c r="V27" s="723">
        <v>41526</v>
      </c>
      <c r="W27" s="723">
        <v>41540</v>
      </c>
      <c r="X27" s="723">
        <v>41558</v>
      </c>
      <c r="Z27" s="10" t="s">
        <v>1172</v>
      </c>
      <c r="AA27" s="10">
        <f>J6*17.8*0.0027*30</f>
        <v>44611.658498430006</v>
      </c>
      <c r="AB27" s="10" t="s">
        <v>1171</v>
      </c>
    </row>
    <row r="28" spans="1:28" s="10" customFormat="1" ht="14">
      <c r="A28" s="443"/>
      <c r="B28" s="428"/>
      <c r="C28" s="428"/>
      <c r="D28" s="428"/>
      <c r="E28" s="428"/>
      <c r="F28" s="428"/>
      <c r="G28" s="428"/>
      <c r="H28" s="428"/>
      <c r="I28" s="428"/>
      <c r="J28" s="428"/>
      <c r="K28" s="428"/>
      <c r="L28" s="428"/>
      <c r="M28" s="428"/>
      <c r="N28" s="444"/>
      <c r="O28" s="318"/>
      <c r="P28" s="318"/>
      <c r="Q28" s="852" t="s">
        <v>19</v>
      </c>
      <c r="R28" s="852"/>
      <c r="S28" s="318"/>
      <c r="T28" s="318"/>
      <c r="U28" s="318"/>
      <c r="Z28" s="10" t="s">
        <v>1173</v>
      </c>
      <c r="AA28" s="10">
        <f>20650*12.8*0.0027*30</f>
        <v>21409.919999999998</v>
      </c>
      <c r="AB28" s="10" t="s">
        <v>1171</v>
      </c>
    </row>
    <row r="29" spans="1:28" s="10" customFormat="1" ht="14">
      <c r="A29" s="437" t="s">
        <v>476</v>
      </c>
      <c r="B29" s="438" t="s">
        <v>69</v>
      </c>
      <c r="C29" s="438" t="s">
        <v>70</v>
      </c>
      <c r="D29" s="438" t="s">
        <v>71</v>
      </c>
      <c r="E29" s="438" t="s">
        <v>72</v>
      </c>
      <c r="F29" s="438" t="s">
        <v>73</v>
      </c>
      <c r="G29" s="438" t="s">
        <v>74</v>
      </c>
      <c r="H29" s="438" t="s">
        <v>75</v>
      </c>
      <c r="I29" s="438" t="s">
        <v>76</v>
      </c>
      <c r="J29" s="438" t="s">
        <v>77</v>
      </c>
      <c r="K29" s="438" t="s">
        <v>78</v>
      </c>
      <c r="L29" s="438" t="s">
        <v>79</v>
      </c>
      <c r="M29" s="438" t="s">
        <v>80</v>
      </c>
      <c r="N29" s="438" t="s">
        <v>356</v>
      </c>
      <c r="O29" s="318"/>
      <c r="P29" s="318"/>
      <c r="Q29" s="852" t="s">
        <v>1095</v>
      </c>
      <c r="R29" s="852" t="s">
        <v>206</v>
      </c>
      <c r="S29" s="318" t="s">
        <v>1071</v>
      </c>
      <c r="T29" s="318">
        <v>1049</v>
      </c>
      <c r="U29" s="318"/>
      <c r="V29" s="10">
        <v>962</v>
      </c>
      <c r="W29" s="10">
        <v>712</v>
      </c>
    </row>
    <row r="30" spans="1:28" s="10" customFormat="1" ht="14">
      <c r="A30" s="434" t="s">
        <v>571</v>
      </c>
      <c r="B30" s="326">
        <f>B4*$B$14*B25</f>
        <v>262.65318514890004</v>
      </c>
      <c r="C30" s="326">
        <f t="shared" ref="C30:M30" si="8">C4*$B$14*C25</f>
        <v>54.868117058790006</v>
      </c>
      <c r="D30" s="326">
        <f t="shared" si="8"/>
        <v>174.03305304672</v>
      </c>
      <c r="E30" s="326">
        <f t="shared" si="8"/>
        <v>125.71170517080003</v>
      </c>
      <c r="F30" s="326">
        <f t="shared" si="8"/>
        <v>1426.5377273240099</v>
      </c>
      <c r="G30" s="326">
        <f t="shared" si="8"/>
        <v>51.422508748800006</v>
      </c>
      <c r="H30" s="326">
        <f t="shared" si="8"/>
        <v>437.03985163875757</v>
      </c>
      <c r="I30" s="326">
        <f t="shared" si="8"/>
        <v>44.255663982915003</v>
      </c>
      <c r="J30" s="326">
        <f t="shared" si="8"/>
        <v>7133.8938516688513</v>
      </c>
      <c r="K30" s="326">
        <f t="shared" si="8"/>
        <v>64.811276204114989</v>
      </c>
      <c r="L30" s="326">
        <f t="shared" si="8"/>
        <v>13.673683100700002</v>
      </c>
      <c r="M30" s="326">
        <f t="shared" si="8"/>
        <v>55.962152099280004</v>
      </c>
      <c r="N30" s="435">
        <f>SUM(B30:M30)</f>
        <v>9844.8627751926397</v>
      </c>
      <c r="O30" s="318"/>
      <c r="P30" s="318"/>
      <c r="Q30" s="852" t="s">
        <v>1095</v>
      </c>
      <c r="R30" s="852" t="s">
        <v>185</v>
      </c>
      <c r="S30" s="318" t="s">
        <v>1071</v>
      </c>
      <c r="T30" s="318">
        <v>557</v>
      </c>
      <c r="U30" s="318"/>
      <c r="V30" s="10">
        <v>851</v>
      </c>
      <c r="W30" s="10">
        <v>323</v>
      </c>
    </row>
    <row r="31" spans="1:28" s="10" customFormat="1" ht="14">
      <c r="A31" s="434" t="s">
        <v>570</v>
      </c>
      <c r="B31" s="326">
        <f>B5*$B$14*B26</f>
        <v>8917.0948857677413</v>
      </c>
      <c r="C31" s="326">
        <f t="shared" ref="C31:M31" si="9">C5*$B$14*C26</f>
        <v>655.81485296166011</v>
      </c>
      <c r="D31" s="326">
        <f t="shared" si="9"/>
        <v>490.02035192460005</v>
      </c>
      <c r="E31" s="326">
        <f t="shared" si="9"/>
        <v>1312.3285362621002</v>
      </c>
      <c r="F31" s="326">
        <f t="shared" si="9"/>
        <v>14111.461268049601</v>
      </c>
      <c r="G31" s="326">
        <f t="shared" si="9"/>
        <v>1348.6453590834003</v>
      </c>
      <c r="H31" s="326">
        <f t="shared" si="9"/>
        <v>1020.9795155832301</v>
      </c>
      <c r="I31" s="326">
        <f t="shared" si="9"/>
        <v>2389.1199705409581</v>
      </c>
      <c r="J31" s="326">
        <f t="shared" si="9"/>
        <v>45514.282153725006</v>
      </c>
      <c r="K31" s="326">
        <f t="shared" si="9"/>
        <v>2548.5276552750001</v>
      </c>
      <c r="L31" s="326">
        <f t="shared" si="9"/>
        <v>812.24042690700014</v>
      </c>
      <c r="M31" s="326">
        <f t="shared" si="9"/>
        <v>5144.7617395649995</v>
      </c>
      <c r="N31" s="435">
        <f>SUM(B31:M31)</f>
        <v>84265.27671564529</v>
      </c>
      <c r="O31" s="318"/>
      <c r="P31" s="318"/>
      <c r="Q31" s="852" t="s">
        <v>1095</v>
      </c>
      <c r="R31" s="852" t="s">
        <v>245</v>
      </c>
      <c r="S31" s="318" t="s">
        <v>1071</v>
      </c>
      <c r="T31" s="318">
        <v>53</v>
      </c>
      <c r="U31" s="318"/>
      <c r="V31" s="10">
        <v>53</v>
      </c>
      <c r="W31" s="10">
        <v>31</v>
      </c>
    </row>
    <row r="32" spans="1:28" ht="14">
      <c r="A32" s="439" t="s">
        <v>90</v>
      </c>
      <c r="B32" s="849">
        <f>SUM(B30:B31)</f>
        <v>9179.7480709166412</v>
      </c>
      <c r="C32" s="849">
        <f t="shared" ref="C32:N32" si="10">SUM(C30:C31)</f>
        <v>710.68297002045006</v>
      </c>
      <c r="D32" s="849">
        <f t="shared" si="10"/>
        <v>664.05340497132011</v>
      </c>
      <c r="E32" s="849">
        <f t="shared" si="10"/>
        <v>1438.0402414329003</v>
      </c>
      <c r="F32" s="849">
        <f t="shared" si="10"/>
        <v>15537.998995373611</v>
      </c>
      <c r="G32" s="849">
        <f t="shared" si="10"/>
        <v>1400.0678678322004</v>
      </c>
      <c r="H32" s="849">
        <f t="shared" si="10"/>
        <v>1458.0193672219875</v>
      </c>
      <c r="I32" s="849">
        <f t="shared" si="10"/>
        <v>2433.375634523873</v>
      </c>
      <c r="J32" s="849">
        <f t="shared" si="10"/>
        <v>52648.176005393856</v>
      </c>
      <c r="K32" s="849">
        <f t="shared" si="10"/>
        <v>2613.3389314791152</v>
      </c>
      <c r="L32" s="849">
        <f t="shared" si="10"/>
        <v>825.91411000770017</v>
      </c>
      <c r="M32" s="849">
        <f t="shared" si="10"/>
        <v>5200.7238916642791</v>
      </c>
      <c r="N32" s="435">
        <f t="shared" si="10"/>
        <v>94110.13949083793</v>
      </c>
      <c r="O32" s="34"/>
      <c r="P32" s="34"/>
      <c r="Q32" s="853" t="s">
        <v>1095</v>
      </c>
      <c r="R32" s="853" t="s">
        <v>179</v>
      </c>
      <c r="S32" s="28" t="s">
        <v>1071</v>
      </c>
      <c r="T32" s="28">
        <v>28</v>
      </c>
      <c r="U32" s="28"/>
      <c r="V32">
        <v>11</v>
      </c>
      <c r="W32">
        <v>57</v>
      </c>
    </row>
    <row r="33" spans="1:23" ht="14">
      <c r="A33" s="443" t="s">
        <v>822</v>
      </c>
      <c r="B33" s="326">
        <f>B7*$B$14*B27</f>
        <v>1933.3658074500004</v>
      </c>
      <c r="C33" s="326">
        <f t="shared" ref="C33:M33" si="11">C7*$B$14*C27</f>
        <v>6844.1316974709016</v>
      </c>
      <c r="D33" s="326">
        <f t="shared" si="11"/>
        <v>997.91806040640006</v>
      </c>
      <c r="E33" s="326">
        <f t="shared" si="11"/>
        <v>940.35932235000007</v>
      </c>
      <c r="F33" s="326">
        <f t="shared" si="11"/>
        <v>14377.964445715501</v>
      </c>
      <c r="G33" s="326">
        <f t="shared" si="11"/>
        <v>2709.78996456</v>
      </c>
      <c r="H33" s="326">
        <f t="shared" si="11"/>
        <v>3730.1405760359999</v>
      </c>
      <c r="I33" s="326">
        <f t="shared" si="11"/>
        <v>4840.2942878619006</v>
      </c>
      <c r="J33" s="326">
        <f t="shared" si="11"/>
        <v>21638.324071917003</v>
      </c>
      <c r="K33" s="326">
        <f t="shared" si="11"/>
        <v>14524.967203473303</v>
      </c>
      <c r="L33" s="326">
        <f t="shared" si="11"/>
        <v>4266.898649181001</v>
      </c>
      <c r="M33" s="326">
        <f t="shared" si="11"/>
        <v>3223.9502555399999</v>
      </c>
      <c r="N33" s="444">
        <f>SUM(B33:M33)</f>
        <v>80028.104341962026</v>
      </c>
      <c r="O33" s="34"/>
      <c r="P33" s="34"/>
      <c r="Q33" s="853" t="s">
        <v>1095</v>
      </c>
      <c r="R33" s="853" t="s">
        <v>180</v>
      </c>
      <c r="S33" s="28" t="s">
        <v>1071</v>
      </c>
      <c r="T33" s="28">
        <v>7</v>
      </c>
      <c r="U33" s="28"/>
      <c r="V33">
        <v>2</v>
      </c>
      <c r="W33">
        <v>15</v>
      </c>
    </row>
    <row r="34" spans="1:23" ht="14">
      <c r="A34" s="443" t="s">
        <v>825</v>
      </c>
      <c r="B34" s="851">
        <f>B32-B33</f>
        <v>7246.3822634666412</v>
      </c>
      <c r="C34" s="851">
        <f t="shared" ref="C34:M34" si="12">C32-C33</f>
        <v>-6133.4487274504518</v>
      </c>
      <c r="D34" s="851">
        <f t="shared" si="12"/>
        <v>-333.86465543507995</v>
      </c>
      <c r="E34" s="851">
        <f t="shared" si="12"/>
        <v>497.68091908290023</v>
      </c>
      <c r="F34" s="851">
        <f t="shared" si="12"/>
        <v>1160.0345496581103</v>
      </c>
      <c r="G34" s="851">
        <f t="shared" si="12"/>
        <v>-1309.7220967277997</v>
      </c>
      <c r="H34" s="851">
        <f t="shared" si="12"/>
        <v>-2272.1212088140123</v>
      </c>
      <c r="I34" s="851">
        <f t="shared" si="12"/>
        <v>-2406.9186533380275</v>
      </c>
      <c r="J34" s="851">
        <f t="shared" si="12"/>
        <v>31009.851933476853</v>
      </c>
      <c r="K34" s="851">
        <f t="shared" si="12"/>
        <v>-11911.628271994188</v>
      </c>
      <c r="L34" s="851">
        <f t="shared" si="12"/>
        <v>-3440.9845391733006</v>
      </c>
      <c r="M34" s="851">
        <f t="shared" si="12"/>
        <v>1976.7736361242792</v>
      </c>
      <c r="N34" s="444">
        <f>SUM(B34:M34)</f>
        <v>14082.035148875922</v>
      </c>
      <c r="O34" s="34"/>
      <c r="P34" s="34"/>
      <c r="Q34" s="853" t="s">
        <v>1095</v>
      </c>
      <c r="R34" s="853" t="s">
        <v>184</v>
      </c>
      <c r="S34" s="28" t="s">
        <v>1096</v>
      </c>
      <c r="T34" s="28">
        <v>16.399999999999999</v>
      </c>
      <c r="U34" s="28"/>
      <c r="V34">
        <v>20.2</v>
      </c>
      <c r="W34">
        <v>20.399999999999999</v>
      </c>
    </row>
    <row r="35" spans="1:23" ht="14">
      <c r="A35" s="467"/>
      <c r="B35" s="441"/>
      <c r="C35" s="441"/>
      <c r="D35" s="441"/>
      <c r="E35" s="441"/>
      <c r="F35" s="441"/>
      <c r="G35" s="441"/>
      <c r="H35" s="441"/>
      <c r="I35" s="441"/>
      <c r="J35" s="441">
        <f>SUM(J33:K33)</f>
        <v>36163.291275390307</v>
      </c>
      <c r="K35" s="441"/>
      <c r="L35" s="441"/>
      <c r="M35" s="441"/>
      <c r="N35" s="441"/>
      <c r="O35" s="34"/>
      <c r="P35" s="34"/>
      <c r="Q35" s="853" t="s">
        <v>20</v>
      </c>
      <c r="R35" s="853"/>
      <c r="S35" s="28"/>
      <c r="T35" s="28"/>
      <c r="U35" s="28"/>
    </row>
    <row r="36" spans="1:23" s="10" customFormat="1" ht="14">
      <c r="A36" s="468"/>
      <c r="B36" s="441"/>
      <c r="C36" s="441"/>
      <c r="D36" s="441"/>
      <c r="E36" s="441"/>
      <c r="F36" s="441"/>
      <c r="G36" s="441"/>
      <c r="H36" s="441"/>
      <c r="I36" s="441"/>
      <c r="J36" s="441"/>
      <c r="K36" s="441"/>
      <c r="L36" s="441"/>
      <c r="M36" s="441"/>
      <c r="N36" s="441"/>
      <c r="O36" s="319"/>
      <c r="P36" s="319"/>
      <c r="Q36" s="854" t="s">
        <v>1097</v>
      </c>
      <c r="R36" s="854" t="s">
        <v>206</v>
      </c>
      <c r="S36" s="318" t="s">
        <v>1071</v>
      </c>
      <c r="T36" s="318">
        <v>1078</v>
      </c>
      <c r="U36" s="318"/>
      <c r="V36" s="10">
        <v>592</v>
      </c>
      <c r="W36" s="10">
        <v>610</v>
      </c>
    </row>
    <row r="37" spans="1:23" ht="14">
      <c r="A37" s="437" t="s">
        <v>67</v>
      </c>
      <c r="B37" s="432" t="s">
        <v>69</v>
      </c>
      <c r="C37" s="432" t="s">
        <v>70</v>
      </c>
      <c r="D37" s="432" t="s">
        <v>71</v>
      </c>
      <c r="E37" s="432" t="s">
        <v>72</v>
      </c>
      <c r="F37" s="432" t="s">
        <v>73</v>
      </c>
      <c r="G37" s="432" t="s">
        <v>74</v>
      </c>
      <c r="H37" s="432" t="s">
        <v>75</v>
      </c>
      <c r="I37" s="432" t="s">
        <v>76</v>
      </c>
      <c r="J37" s="432" t="s">
        <v>77</v>
      </c>
      <c r="K37" s="432" t="s">
        <v>78</v>
      </c>
      <c r="L37" s="432" t="s">
        <v>79</v>
      </c>
      <c r="M37" s="432" t="s">
        <v>80</v>
      </c>
      <c r="N37" s="438" t="s">
        <v>89</v>
      </c>
      <c r="O37" s="35"/>
      <c r="P37" s="35"/>
      <c r="Q37" s="855" t="s">
        <v>1097</v>
      </c>
      <c r="R37" s="855" t="s">
        <v>185</v>
      </c>
      <c r="S37" t="s">
        <v>1071</v>
      </c>
      <c r="T37" s="28">
        <v>327</v>
      </c>
      <c r="U37" s="28"/>
      <c r="V37">
        <v>415</v>
      </c>
      <c r="W37">
        <v>207</v>
      </c>
    </row>
    <row r="38" spans="1:23" ht="14">
      <c r="A38" s="445" t="s">
        <v>117</v>
      </c>
      <c r="B38" s="846">
        <v>72</v>
      </c>
      <c r="C38" s="846">
        <v>38</v>
      </c>
      <c r="D38" s="442">
        <v>5</v>
      </c>
      <c r="E38" s="846">
        <v>2</v>
      </c>
      <c r="F38" s="846">
        <v>19</v>
      </c>
      <c r="G38" s="846">
        <v>12</v>
      </c>
      <c r="H38" s="846">
        <v>11.5</v>
      </c>
      <c r="I38" s="1039">
        <v>22</v>
      </c>
      <c r="J38" s="1039">
        <v>34</v>
      </c>
      <c r="K38" s="1039">
        <v>2</v>
      </c>
      <c r="L38" s="846">
        <v>20</v>
      </c>
      <c r="M38" s="846">
        <v>9</v>
      </c>
      <c r="N38" s="446">
        <f>AVERAGE(B38:M38)</f>
        <v>20.541666666666668</v>
      </c>
      <c r="O38" s="36"/>
      <c r="P38" s="36"/>
      <c r="Q38" s="856" t="s">
        <v>1097</v>
      </c>
      <c r="R38" s="856" t="s">
        <v>245</v>
      </c>
      <c r="S38" t="s">
        <v>1071</v>
      </c>
      <c r="T38" s="28">
        <v>206</v>
      </c>
      <c r="U38" s="28"/>
      <c r="V38">
        <v>43</v>
      </c>
      <c r="W38">
        <v>27</v>
      </c>
    </row>
    <row r="39" spans="1:23" ht="14">
      <c r="A39" s="445" t="s">
        <v>116</v>
      </c>
      <c r="B39" s="846">
        <v>63</v>
      </c>
      <c r="C39" s="846">
        <v>79</v>
      </c>
      <c r="D39" s="442">
        <v>70</v>
      </c>
      <c r="E39" s="846">
        <v>16</v>
      </c>
      <c r="F39" s="846">
        <v>34</v>
      </c>
      <c r="G39" s="846">
        <v>46</v>
      </c>
      <c r="H39" s="846">
        <v>52.5</v>
      </c>
      <c r="I39" s="846">
        <v>66</v>
      </c>
      <c r="J39" s="442">
        <v>49.5</v>
      </c>
      <c r="K39" s="442">
        <v>2</v>
      </c>
      <c r="L39" s="442">
        <v>17</v>
      </c>
      <c r="M39" s="442">
        <v>20</v>
      </c>
      <c r="N39" s="436">
        <f>AVERAGE(B39:M39)</f>
        <v>42.916666666666664</v>
      </c>
      <c r="O39" s="36"/>
      <c r="P39" s="36"/>
      <c r="Q39" s="856" t="s">
        <v>1097</v>
      </c>
      <c r="R39" s="856" t="s">
        <v>179</v>
      </c>
      <c r="S39" t="s">
        <v>1071</v>
      </c>
      <c r="T39" s="28">
        <v>68</v>
      </c>
      <c r="U39" s="28"/>
      <c r="V39">
        <v>49</v>
      </c>
      <c r="W39">
        <v>50</v>
      </c>
    </row>
    <row r="40" spans="1:23" ht="14">
      <c r="A40" s="443" t="s">
        <v>822</v>
      </c>
      <c r="B40" s="846">
        <v>74</v>
      </c>
      <c r="C40" s="846">
        <v>39</v>
      </c>
      <c r="D40" s="442">
        <v>27</v>
      </c>
      <c r="E40" s="846">
        <v>17</v>
      </c>
      <c r="F40" s="846">
        <v>30</v>
      </c>
      <c r="G40" s="846">
        <v>60</v>
      </c>
      <c r="H40" s="846">
        <v>121.5</v>
      </c>
      <c r="I40" s="846">
        <v>203</v>
      </c>
      <c r="J40" s="442">
        <v>90.5</v>
      </c>
      <c r="K40" s="442">
        <v>51</v>
      </c>
      <c r="L40" s="442">
        <v>25</v>
      </c>
      <c r="M40" s="442">
        <v>15</v>
      </c>
      <c r="N40" s="436">
        <f>AVERAGE(B40:M40)</f>
        <v>62.75</v>
      </c>
      <c r="O40" s="36"/>
      <c r="P40" s="36"/>
      <c r="Q40" s="856" t="s">
        <v>1097</v>
      </c>
      <c r="R40" s="856" t="s">
        <v>180</v>
      </c>
      <c r="S40" t="s">
        <v>1071</v>
      </c>
      <c r="T40" s="28">
        <v>28</v>
      </c>
      <c r="U40" s="28"/>
      <c r="V40">
        <v>15</v>
      </c>
      <c r="W40">
        <v>13</v>
      </c>
    </row>
    <row r="41" spans="1:23" ht="14">
      <c r="A41" s="273"/>
      <c r="B41" s="273"/>
      <c r="C41" s="273"/>
      <c r="D41" s="273"/>
      <c r="E41" s="273"/>
      <c r="F41" s="273"/>
      <c r="G41" s="273"/>
      <c r="H41" s="273"/>
      <c r="I41" s="273"/>
      <c r="J41" s="273">
        <v>119</v>
      </c>
      <c r="K41" s="273"/>
      <c r="L41" s="273"/>
      <c r="M41" s="273"/>
      <c r="N41" s="273"/>
      <c r="O41" s="28"/>
      <c r="P41" s="28"/>
      <c r="Q41" s="857" t="s">
        <v>1097</v>
      </c>
      <c r="R41" s="857" t="s">
        <v>184</v>
      </c>
      <c r="S41" s="28" t="s">
        <v>1096</v>
      </c>
      <c r="T41" s="28">
        <v>14.5</v>
      </c>
      <c r="U41" s="28"/>
      <c r="V41">
        <v>13</v>
      </c>
      <c r="W41">
        <v>17.600000000000001</v>
      </c>
    </row>
    <row r="42" spans="1:23" ht="14">
      <c r="A42" s="437" t="s">
        <v>114</v>
      </c>
      <c r="B42" s="438" t="s">
        <v>69</v>
      </c>
      <c r="C42" s="438" t="s">
        <v>70</v>
      </c>
      <c r="D42" s="438" t="s">
        <v>71</v>
      </c>
      <c r="E42" s="438" t="s">
        <v>72</v>
      </c>
      <c r="F42" s="438" t="s">
        <v>73</v>
      </c>
      <c r="G42" s="438" t="s">
        <v>74</v>
      </c>
      <c r="H42" s="438" t="s">
        <v>75</v>
      </c>
      <c r="I42" s="438" t="s">
        <v>76</v>
      </c>
      <c r="J42" s="438" t="s">
        <v>77</v>
      </c>
      <c r="K42" s="438" t="s">
        <v>78</v>
      </c>
      <c r="L42" s="438" t="s">
        <v>79</v>
      </c>
      <c r="M42" s="438" t="s">
        <v>80</v>
      </c>
      <c r="N42" s="438" t="s">
        <v>356</v>
      </c>
      <c r="O42" s="28"/>
      <c r="P42" s="28"/>
      <c r="Q42" s="857" t="s">
        <v>1101</v>
      </c>
      <c r="R42" s="857"/>
      <c r="S42" s="28"/>
      <c r="T42" s="28"/>
      <c r="U42" s="28"/>
    </row>
    <row r="43" spans="1:23" ht="14">
      <c r="A43" s="434" t="s">
        <v>571</v>
      </c>
      <c r="B43" s="429">
        <f t="shared" ref="B43:M43" si="13">B38*$B$14*B4</f>
        <v>15.667795634400001</v>
      </c>
      <c r="C43" s="429">
        <f t="shared" si="13"/>
        <v>2.20167734766</v>
      </c>
      <c r="D43" s="429">
        <f t="shared" si="13"/>
        <v>1.2721714404000002</v>
      </c>
      <c r="E43" s="429">
        <f t="shared" si="13"/>
        <v>0.56372961960000012</v>
      </c>
      <c r="F43" s="429">
        <f t="shared" si="13"/>
        <v>51.236704762110001</v>
      </c>
      <c r="G43" s="429">
        <f t="shared" si="13"/>
        <v>1.2052150488000002</v>
      </c>
      <c r="H43" s="429">
        <f t="shared" si="13"/>
        <v>6.824111736382501</v>
      </c>
      <c r="I43" s="429">
        <f t="shared" si="13"/>
        <v>0.84699835373999999</v>
      </c>
      <c r="J43" s="429">
        <f t="shared" si="13"/>
        <v>289.7878028157001</v>
      </c>
      <c r="K43" s="429">
        <f t="shared" si="13"/>
        <v>0.70638993137999995</v>
      </c>
      <c r="L43" s="429">
        <f t="shared" si="13"/>
        <v>0.74515984200000018</v>
      </c>
      <c r="M43" s="429">
        <f t="shared" si="13"/>
        <v>1.26547580124</v>
      </c>
      <c r="N43" s="435">
        <f>SUM(B43:M43)</f>
        <v>372.32323233341259</v>
      </c>
      <c r="O43" s="28"/>
      <c r="P43" s="28"/>
      <c r="Q43" s="1085">
        <v>45</v>
      </c>
      <c r="R43" s="857" t="s">
        <v>206</v>
      </c>
      <c r="S43" s="28" t="s">
        <v>1071</v>
      </c>
      <c r="T43" s="28">
        <v>2241</v>
      </c>
      <c r="U43" s="28"/>
      <c r="V43">
        <v>607</v>
      </c>
      <c r="W43">
        <v>635</v>
      </c>
    </row>
    <row r="44" spans="1:23" ht="14">
      <c r="A44" s="434" t="s">
        <v>570</v>
      </c>
      <c r="B44" s="428">
        <f t="shared" ref="B44:M44" si="14">B39*$B$14*B5</f>
        <v>178.11571902453002</v>
      </c>
      <c r="C44" s="428">
        <f t="shared" si="14"/>
        <v>19.669465977210002</v>
      </c>
      <c r="D44" s="428">
        <f t="shared" si="14"/>
        <v>11.9517159006</v>
      </c>
      <c r="E44" s="428">
        <f t="shared" si="14"/>
        <v>24.907777675200002</v>
      </c>
      <c r="F44" s="428">
        <f t="shared" si="14"/>
        <v>497.1913814649601</v>
      </c>
      <c r="G44" s="428">
        <f t="shared" si="14"/>
        <v>94.858847886600017</v>
      </c>
      <c r="H44" s="428">
        <f t="shared" si="14"/>
        <v>46.488659642775012</v>
      </c>
      <c r="I44" s="428">
        <f t="shared" si="14"/>
        <v>170.74382030937002</v>
      </c>
      <c r="J44" s="428">
        <f>(J39*$B$14*J5)+J48</f>
        <v>12760.659805162502</v>
      </c>
      <c r="K44" s="428">
        <f t="shared" si="14"/>
        <v>25.10864685</v>
      </c>
      <c r="L44" s="428">
        <f t="shared" si="14"/>
        <v>34.010067136500005</v>
      </c>
      <c r="M44" s="428">
        <f t="shared" si="14"/>
        <v>150.6518811</v>
      </c>
      <c r="N44" s="435">
        <f>SUM(B44:M44)</f>
        <v>14014.357788130248</v>
      </c>
      <c r="O44" s="28"/>
      <c r="P44" s="28"/>
      <c r="Q44" s="1085">
        <v>45</v>
      </c>
      <c r="R44" s="857" t="s">
        <v>185</v>
      </c>
      <c r="S44" s="28" t="s">
        <v>1071</v>
      </c>
      <c r="T44" s="28">
        <v>29</v>
      </c>
      <c r="U44" s="28"/>
      <c r="V44">
        <v>80</v>
      </c>
      <c r="W44">
        <v>215</v>
      </c>
    </row>
    <row r="45" spans="1:23" ht="14">
      <c r="A45" s="439" t="s">
        <v>90</v>
      </c>
      <c r="B45" s="447">
        <f>SUM(B43:B44)</f>
        <v>193.78351465893002</v>
      </c>
      <c r="C45" s="447">
        <f t="shared" ref="C45:M45" si="15">SUM(C43:C44)</f>
        <v>21.871143324870001</v>
      </c>
      <c r="D45" s="447">
        <f t="shared" si="15"/>
        <v>13.223887341000001</v>
      </c>
      <c r="E45" s="447">
        <f t="shared" si="15"/>
        <v>25.471507294800002</v>
      </c>
      <c r="F45" s="447">
        <f t="shared" si="15"/>
        <v>548.42808622707014</v>
      </c>
      <c r="G45" s="447">
        <f t="shared" si="15"/>
        <v>96.064062935400017</v>
      </c>
      <c r="H45" s="447">
        <f t="shared" si="15"/>
        <v>53.31277137915751</v>
      </c>
      <c r="I45" s="447">
        <f t="shared" si="15"/>
        <v>171.59081866311001</v>
      </c>
      <c r="J45" s="447">
        <f>SUM(J43:J44)</f>
        <v>13050.447607978202</v>
      </c>
      <c r="K45" s="447">
        <f t="shared" si="15"/>
        <v>25.815036781379998</v>
      </c>
      <c r="L45" s="447">
        <f t="shared" si="15"/>
        <v>34.755226978500005</v>
      </c>
      <c r="M45" s="447">
        <f t="shared" si="15"/>
        <v>151.91735690124</v>
      </c>
      <c r="N45" s="435">
        <f>SUM(N43:N44)</f>
        <v>14386.68102046366</v>
      </c>
      <c r="O45" s="28"/>
      <c r="P45" s="28"/>
      <c r="Q45" s="1085">
        <v>45</v>
      </c>
      <c r="R45" s="857" t="s">
        <v>245</v>
      </c>
      <c r="S45" s="28" t="s">
        <v>1071</v>
      </c>
      <c r="T45" s="28">
        <v>56</v>
      </c>
      <c r="U45" s="28"/>
      <c r="V45">
        <v>66</v>
      </c>
      <c r="W45">
        <v>62</v>
      </c>
    </row>
    <row r="46" spans="1:23" ht="14">
      <c r="A46" s="443" t="s">
        <v>822</v>
      </c>
      <c r="B46" s="428">
        <f t="shared" ref="B46:M46" si="16">B40*$B$14*B7</f>
        <v>136.25625690600003</v>
      </c>
      <c r="C46" s="428">
        <f t="shared" si="16"/>
        <v>374.36344488270004</v>
      </c>
      <c r="D46" s="428">
        <f t="shared" si="16"/>
        <v>43.387741756800004</v>
      </c>
      <c r="E46" s="428">
        <f t="shared" si="16"/>
        <v>35.524685511000008</v>
      </c>
      <c r="F46" s="428">
        <f t="shared" si="16"/>
        <v>498.65772644100002</v>
      </c>
      <c r="G46" s="428">
        <f t="shared" si="16"/>
        <v>233.2674288</v>
      </c>
      <c r="H46" s="428">
        <f t="shared" si="16"/>
        <v>488.11209476400001</v>
      </c>
      <c r="I46" s="428">
        <f t="shared" si="16"/>
        <v>581.06430540270003</v>
      </c>
      <c r="J46" s="428">
        <f t="shared" si="16"/>
        <v>3153.4111570185</v>
      </c>
      <c r="K46" s="428">
        <f t="shared" si="16"/>
        <v>1873.0046204226003</v>
      </c>
      <c r="L46" s="428">
        <f t="shared" si="16"/>
        <v>134.85773227500002</v>
      </c>
      <c r="M46" s="428">
        <f t="shared" si="16"/>
        <v>75.325940549999999</v>
      </c>
      <c r="N46" s="444">
        <f>SUM(B46:M46)</f>
        <v>7627.2331347303007</v>
      </c>
      <c r="O46" s="28"/>
      <c r="P46" s="28"/>
      <c r="Q46" s="1085">
        <v>45</v>
      </c>
      <c r="R46" s="857" t="s">
        <v>179</v>
      </c>
      <c r="S46" s="28" t="s">
        <v>1071</v>
      </c>
      <c r="T46" s="28">
        <v>259</v>
      </c>
      <c r="U46" s="28"/>
      <c r="V46">
        <v>120</v>
      </c>
      <c r="W46">
        <v>61</v>
      </c>
    </row>
    <row r="47" spans="1:23" ht="14">
      <c r="A47" s="443" t="s">
        <v>826</v>
      </c>
      <c r="B47" s="428">
        <f>B45-B46</f>
        <v>57.527257752929984</v>
      </c>
      <c r="C47" s="428">
        <f t="shared" ref="C47:M47" si="17">C45-C46</f>
        <v>-352.49230155783005</v>
      </c>
      <c r="D47" s="428">
        <f t="shared" si="17"/>
        <v>-30.163854415800003</v>
      </c>
      <c r="E47" s="428">
        <f t="shared" si="17"/>
        <v>-10.053178216200006</v>
      </c>
      <c r="F47" s="428">
        <f t="shared" si="17"/>
        <v>49.770359786070117</v>
      </c>
      <c r="G47" s="428">
        <f t="shared" si="17"/>
        <v>-137.20336586459999</v>
      </c>
      <c r="H47" s="428">
        <f t="shared" si="17"/>
        <v>-434.79932338484252</v>
      </c>
      <c r="I47" s="428">
        <f t="shared" si="17"/>
        <v>-409.47348673959004</v>
      </c>
      <c r="J47" s="428">
        <f t="shared" si="17"/>
        <v>9897.0364509597021</v>
      </c>
      <c r="K47" s="428">
        <f t="shared" si="17"/>
        <v>-1847.1895836412202</v>
      </c>
      <c r="L47" s="428">
        <f t="shared" si="17"/>
        <v>-100.10250529650001</v>
      </c>
      <c r="M47" s="428">
        <f t="shared" si="17"/>
        <v>76.591416351239999</v>
      </c>
      <c r="N47" s="444">
        <f>SUM(B47:M47)</f>
        <v>6759.4478857333588</v>
      </c>
      <c r="O47" s="28"/>
      <c r="P47" s="28"/>
      <c r="Q47" s="1085">
        <v>45</v>
      </c>
      <c r="R47" s="857" t="s">
        <v>180</v>
      </c>
      <c r="S47" s="28" t="s">
        <v>1071</v>
      </c>
      <c r="T47" s="28">
        <v>83</v>
      </c>
      <c r="U47" s="28"/>
      <c r="V47">
        <v>51</v>
      </c>
      <c r="W47">
        <v>25</v>
      </c>
    </row>
    <row r="48" spans="1:23" ht="14">
      <c r="A48" s="467"/>
      <c r="B48" s="465"/>
      <c r="C48" s="465"/>
      <c r="D48" s="465"/>
      <c r="E48" s="465"/>
      <c r="F48" s="465"/>
      <c r="G48" s="465"/>
      <c r="H48" s="465"/>
      <c r="I48" s="465"/>
      <c r="J48" s="465">
        <f>J41*$B$14*J5</f>
        <v>9011.9793282750015</v>
      </c>
      <c r="K48" s="465"/>
      <c r="L48" s="465"/>
      <c r="M48" s="465"/>
      <c r="N48" s="441"/>
      <c r="O48" s="28"/>
      <c r="P48" s="28"/>
      <c r="Q48" s="1085">
        <v>45</v>
      </c>
      <c r="R48" s="857" t="s">
        <v>184</v>
      </c>
      <c r="S48" s="28" t="s">
        <v>1096</v>
      </c>
      <c r="T48" s="28">
        <v>15.4</v>
      </c>
      <c r="U48" s="28"/>
      <c r="V48">
        <v>18</v>
      </c>
      <c r="W48">
        <v>10.4</v>
      </c>
    </row>
    <row r="49" spans="1:24" ht="14">
      <c r="A49" s="342"/>
      <c r="B49" s="342"/>
      <c r="C49" s="342"/>
      <c r="D49" s="342"/>
      <c r="E49" s="342"/>
      <c r="F49" s="342"/>
      <c r="G49" s="342"/>
      <c r="H49" s="342"/>
      <c r="I49" s="342"/>
      <c r="J49" s="342"/>
      <c r="K49" s="342"/>
      <c r="L49" s="342"/>
      <c r="M49" s="342"/>
      <c r="N49" s="441"/>
      <c r="O49" s="34"/>
      <c r="P49" s="34"/>
      <c r="Q49" s="853" t="s">
        <v>1102</v>
      </c>
      <c r="R49" s="853"/>
      <c r="S49" s="28"/>
      <c r="T49" s="28"/>
      <c r="U49" s="28"/>
    </row>
    <row r="50" spans="1:24" ht="22.5" customHeight="1">
      <c r="A50" s="448" t="s">
        <v>65</v>
      </c>
      <c r="B50" s="449" t="s">
        <v>69</v>
      </c>
      <c r="C50" s="449" t="s">
        <v>70</v>
      </c>
      <c r="D50" s="449" t="s">
        <v>71</v>
      </c>
      <c r="E50" s="449" t="s">
        <v>72</v>
      </c>
      <c r="F50" s="449" t="s">
        <v>73</v>
      </c>
      <c r="G50" s="449" t="s">
        <v>74</v>
      </c>
      <c r="H50" s="449" t="s">
        <v>75</v>
      </c>
      <c r="I50" s="449" t="s">
        <v>76</v>
      </c>
      <c r="J50" s="449" t="s">
        <v>77</v>
      </c>
      <c r="K50" s="449" t="s">
        <v>78</v>
      </c>
      <c r="L50" s="449" t="s">
        <v>79</v>
      </c>
      <c r="M50" s="449" t="s">
        <v>80</v>
      </c>
      <c r="N50" s="438" t="s">
        <v>89</v>
      </c>
      <c r="O50" s="32"/>
      <c r="P50" s="32"/>
      <c r="Q50" s="858" t="s">
        <v>1098</v>
      </c>
      <c r="R50" s="858" t="s">
        <v>206</v>
      </c>
      <c r="S50" t="s">
        <v>1071</v>
      </c>
      <c r="T50" s="28">
        <v>1272</v>
      </c>
      <c r="U50" s="28"/>
      <c r="V50">
        <v>864</v>
      </c>
      <c r="W50">
        <v>968</v>
      </c>
      <c r="X50">
        <v>715</v>
      </c>
    </row>
    <row r="51" spans="1:24" ht="14">
      <c r="A51" s="434" t="s">
        <v>571</v>
      </c>
      <c r="B51" s="326">
        <v>27.2</v>
      </c>
      <c r="C51" s="326">
        <v>57</v>
      </c>
      <c r="D51" s="326">
        <v>6.4</v>
      </c>
      <c r="E51" s="326">
        <v>6.8</v>
      </c>
      <c r="F51" s="326">
        <v>15</v>
      </c>
      <c r="G51" s="326">
        <v>4</v>
      </c>
      <c r="H51" s="326">
        <v>6.75</v>
      </c>
      <c r="I51" s="326">
        <v>20.6</v>
      </c>
      <c r="J51" s="326">
        <v>20.299999999999997</v>
      </c>
      <c r="K51" s="326">
        <v>4</v>
      </c>
      <c r="L51" s="326">
        <v>4</v>
      </c>
      <c r="M51" s="326">
        <v>4</v>
      </c>
      <c r="N51" s="436">
        <f>AVERAGE(B51:M51)</f>
        <v>14.670833333333334</v>
      </c>
      <c r="O51" s="37"/>
      <c r="P51" s="37"/>
      <c r="Q51" s="859" t="s">
        <v>1098</v>
      </c>
      <c r="R51" s="859" t="s">
        <v>185</v>
      </c>
      <c r="S51" t="s">
        <v>1071</v>
      </c>
      <c r="T51" s="28">
        <v>36</v>
      </c>
      <c r="U51" s="28"/>
      <c r="V51">
        <v>75</v>
      </c>
      <c r="W51">
        <v>209</v>
      </c>
      <c r="X51">
        <v>173</v>
      </c>
    </row>
    <row r="52" spans="1:24" ht="14">
      <c r="A52" s="434" t="s">
        <v>570</v>
      </c>
      <c r="B52" s="326">
        <v>5.8</v>
      </c>
      <c r="C52" s="326">
        <v>6.6</v>
      </c>
      <c r="D52" s="326">
        <v>12.4</v>
      </c>
      <c r="E52" s="326">
        <v>8</v>
      </c>
      <c r="F52" s="326">
        <v>14.6</v>
      </c>
      <c r="G52" s="326">
        <v>12</v>
      </c>
      <c r="H52" s="326">
        <v>14.899999999999999</v>
      </c>
      <c r="I52" s="326">
        <v>26.65</v>
      </c>
      <c r="J52" s="326">
        <v>15.3</v>
      </c>
      <c r="K52" s="326">
        <v>25</v>
      </c>
      <c r="L52" s="326">
        <v>4.8</v>
      </c>
      <c r="M52" s="326">
        <v>4.5999999999999996</v>
      </c>
      <c r="N52" s="436">
        <f>AVERAGE(B52:M52)</f>
        <v>12.554166666666667</v>
      </c>
      <c r="O52" s="38"/>
      <c r="P52" s="38"/>
      <c r="Q52" s="860" t="s">
        <v>1098</v>
      </c>
      <c r="R52" s="860" t="s">
        <v>245</v>
      </c>
      <c r="S52" t="s">
        <v>1071</v>
      </c>
      <c r="T52" s="28">
        <v>149</v>
      </c>
      <c r="U52" s="28"/>
      <c r="V52">
        <v>57</v>
      </c>
      <c r="W52">
        <v>49</v>
      </c>
      <c r="X52">
        <v>34</v>
      </c>
    </row>
    <row r="53" spans="1:24" ht="14">
      <c r="A53" s="443" t="s">
        <v>822</v>
      </c>
      <c r="B53" s="326">
        <v>7.6</v>
      </c>
      <c r="C53" s="326">
        <v>7</v>
      </c>
      <c r="D53" s="326">
        <v>8.1999999999999993</v>
      </c>
      <c r="E53" s="326">
        <v>5.6</v>
      </c>
      <c r="F53" s="326">
        <v>5.4</v>
      </c>
      <c r="G53" s="326">
        <v>9.1999999999999993</v>
      </c>
      <c r="H53" s="326">
        <v>16.600000000000001</v>
      </c>
      <c r="I53" s="326">
        <v>16.600000000000001</v>
      </c>
      <c r="J53" s="326">
        <v>14.2</v>
      </c>
      <c r="K53" s="326">
        <v>19.8</v>
      </c>
      <c r="L53" s="326">
        <v>4</v>
      </c>
      <c r="M53" s="326">
        <v>4</v>
      </c>
      <c r="N53" s="469">
        <f>AVERAGE(B53:M53)</f>
        <v>9.85</v>
      </c>
      <c r="O53" s="38"/>
      <c r="P53" s="38"/>
      <c r="Q53" s="860" t="s">
        <v>1098</v>
      </c>
      <c r="R53" s="860" t="s">
        <v>179</v>
      </c>
      <c r="S53" t="s">
        <v>1071</v>
      </c>
      <c r="T53" s="28">
        <v>128</v>
      </c>
      <c r="U53" s="28"/>
      <c r="V53">
        <v>138</v>
      </c>
      <c r="W53">
        <v>166</v>
      </c>
      <c r="X53">
        <v>53</v>
      </c>
    </row>
    <row r="54" spans="1:24" ht="14">
      <c r="A54" s="467"/>
      <c r="B54" s="466"/>
      <c r="C54" s="466"/>
      <c r="D54" s="466"/>
      <c r="E54" s="466"/>
      <c r="F54" s="466"/>
      <c r="G54" s="466"/>
      <c r="H54" s="466"/>
      <c r="I54" s="466"/>
      <c r="J54" s="466"/>
      <c r="K54" s="466"/>
      <c r="L54" s="466"/>
      <c r="M54" s="466"/>
      <c r="N54" s="470"/>
      <c r="O54" s="38"/>
      <c r="P54" s="38"/>
      <c r="Q54" s="860" t="s">
        <v>1098</v>
      </c>
      <c r="R54" s="860" t="s">
        <v>180</v>
      </c>
      <c r="S54" t="s">
        <v>1071</v>
      </c>
      <c r="T54" s="28">
        <v>88</v>
      </c>
      <c r="U54" s="28"/>
      <c r="V54">
        <v>60</v>
      </c>
      <c r="W54">
        <v>30</v>
      </c>
      <c r="X54">
        <v>26</v>
      </c>
    </row>
    <row r="55" spans="1:24" ht="14">
      <c r="A55" s="467"/>
      <c r="B55" s="466"/>
      <c r="C55" s="466"/>
      <c r="D55" s="466"/>
      <c r="E55" s="466"/>
      <c r="F55" s="466"/>
      <c r="G55" s="466"/>
      <c r="H55" s="466"/>
      <c r="I55" s="466"/>
      <c r="J55" s="466"/>
      <c r="K55" s="466"/>
      <c r="L55" s="466"/>
      <c r="M55" s="466"/>
      <c r="N55" s="470"/>
      <c r="O55" s="38"/>
      <c r="P55" s="38"/>
      <c r="Q55" s="860" t="s">
        <v>1098</v>
      </c>
      <c r="R55" s="860" t="s">
        <v>184</v>
      </c>
      <c r="S55" t="s">
        <v>1096</v>
      </c>
      <c r="T55" s="28">
        <v>7</v>
      </c>
      <c r="U55" s="28"/>
      <c r="V55">
        <v>14.8</v>
      </c>
      <c r="W55">
        <v>6.6</v>
      </c>
      <c r="X55">
        <v>10.199999999999999</v>
      </c>
    </row>
    <row r="56" spans="1:24" ht="14">
      <c r="A56" s="273"/>
      <c r="B56" s="273"/>
      <c r="C56" s="273"/>
      <c r="D56" s="273"/>
      <c r="E56" s="273"/>
      <c r="F56" s="273"/>
      <c r="G56" s="273"/>
      <c r="H56" s="273"/>
      <c r="I56" s="273"/>
      <c r="J56" s="273"/>
      <c r="K56" s="273"/>
      <c r="L56" s="273"/>
      <c r="M56" s="273"/>
      <c r="N56" s="450"/>
      <c r="O56" s="28"/>
      <c r="P56" s="28"/>
      <c r="Q56" s="857" t="s">
        <v>1098</v>
      </c>
      <c r="R56" s="857" t="s">
        <v>181</v>
      </c>
      <c r="S56" s="28" t="s">
        <v>1071</v>
      </c>
      <c r="T56" s="28">
        <v>25.1</v>
      </c>
      <c r="U56" s="28"/>
      <c r="V56">
        <v>56</v>
      </c>
      <c r="W56">
        <v>4.7</v>
      </c>
      <c r="X56">
        <v>12.4</v>
      </c>
    </row>
    <row r="57" spans="1:24" ht="14">
      <c r="A57" s="448" t="s">
        <v>113</v>
      </c>
      <c r="B57" s="438" t="s">
        <v>69</v>
      </c>
      <c r="C57" s="438" t="s">
        <v>70</v>
      </c>
      <c r="D57" s="438" t="s">
        <v>71</v>
      </c>
      <c r="E57" s="438" t="s">
        <v>72</v>
      </c>
      <c r="F57" s="438" t="s">
        <v>73</v>
      </c>
      <c r="G57" s="438" t="s">
        <v>74</v>
      </c>
      <c r="H57" s="438" t="s">
        <v>75</v>
      </c>
      <c r="I57" s="438" t="s">
        <v>76</v>
      </c>
      <c r="J57" s="438" t="s">
        <v>77</v>
      </c>
      <c r="K57" s="438" t="s">
        <v>78</v>
      </c>
      <c r="L57" s="438" t="s">
        <v>79</v>
      </c>
      <c r="M57" s="438" t="s">
        <v>80</v>
      </c>
      <c r="N57" s="436" t="s">
        <v>356</v>
      </c>
      <c r="O57" s="28"/>
      <c r="P57" s="28"/>
      <c r="Q57" s="857" t="s">
        <v>1098</v>
      </c>
      <c r="R57" s="857" t="s">
        <v>181</v>
      </c>
      <c r="S57" s="28" t="s">
        <v>1071</v>
      </c>
      <c r="T57" s="28">
        <v>28</v>
      </c>
      <c r="U57" s="28"/>
      <c r="V57">
        <v>52.5</v>
      </c>
      <c r="W57">
        <v>4.4000000000000004</v>
      </c>
      <c r="X57">
        <v>12.1</v>
      </c>
    </row>
    <row r="58" spans="1:24" ht="14">
      <c r="A58" s="434" t="s">
        <v>571</v>
      </c>
      <c r="B58" s="451">
        <f>B51*$B$14*B4*1000</f>
        <v>5918.9450174400017</v>
      </c>
      <c r="C58" s="451">
        <f t="shared" ref="C58:M58" si="18">C51*$B$14*C4*1000</f>
        <v>3302.5160214900002</v>
      </c>
      <c r="D58" s="451">
        <f t="shared" si="18"/>
        <v>1628.3794437120002</v>
      </c>
      <c r="E58" s="451">
        <f t="shared" si="18"/>
        <v>1916.6807066400004</v>
      </c>
      <c r="F58" s="451">
        <f t="shared" si="18"/>
        <v>40450.030075349998</v>
      </c>
      <c r="G58" s="451">
        <f t="shared" si="18"/>
        <v>401.73834960000005</v>
      </c>
      <c r="H58" s="451">
        <f t="shared" si="18"/>
        <v>4005.4568887462506</v>
      </c>
      <c r="I58" s="451">
        <f t="shared" si="18"/>
        <v>793.09845850200008</v>
      </c>
      <c r="J58" s="451">
        <f t="shared" si="18"/>
        <v>173020.36462231501</v>
      </c>
      <c r="K58" s="451">
        <f t="shared" si="18"/>
        <v>1412.7798627599998</v>
      </c>
      <c r="L58" s="451">
        <f t="shared" si="18"/>
        <v>149.03196840000001</v>
      </c>
      <c r="M58" s="451">
        <f t="shared" si="18"/>
        <v>562.43368944000008</v>
      </c>
      <c r="N58" s="435">
        <f>SUM(B58:M58)</f>
        <v>233561.45510439525</v>
      </c>
      <c r="O58" s="31"/>
      <c r="P58" s="28"/>
      <c r="Q58" s="28"/>
      <c r="R58" s="28"/>
      <c r="S58" s="28"/>
      <c r="T58" s="28"/>
      <c r="U58" s="28"/>
    </row>
    <row r="59" spans="1:24" ht="14">
      <c r="A59" s="434" t="s">
        <v>570</v>
      </c>
      <c r="B59" s="451">
        <f>B52*$B$14*B5*1000</f>
        <v>16397.955084797999</v>
      </c>
      <c r="C59" s="451">
        <f t="shared" ref="C59:M59" si="19">C52*$B$14*C5*1000</f>
        <v>1643.2718411340002</v>
      </c>
      <c r="D59" s="451">
        <f t="shared" si="19"/>
        <v>2117.161102392</v>
      </c>
      <c r="E59" s="451">
        <f t="shared" si="19"/>
        <v>12453.888837600001</v>
      </c>
      <c r="F59" s="451">
        <f t="shared" si="19"/>
        <v>213499.82851142401</v>
      </c>
      <c r="G59" s="451">
        <f t="shared" si="19"/>
        <v>24745.786405200004</v>
      </c>
      <c r="H59" s="451">
        <f t="shared" si="19"/>
        <v>13193.924355759</v>
      </c>
      <c r="I59" s="451">
        <f t="shared" si="19"/>
        <v>68944.285018859257</v>
      </c>
      <c r="J59" s="451">
        <f t="shared" si="19"/>
        <v>1158683.0564925</v>
      </c>
      <c r="K59" s="451">
        <f t="shared" si="19"/>
        <v>313858.08562500001</v>
      </c>
      <c r="L59" s="451">
        <f t="shared" si="19"/>
        <v>9602.8424856000001</v>
      </c>
      <c r="M59" s="451">
        <f t="shared" si="19"/>
        <v>34649.932653000003</v>
      </c>
      <c r="N59" s="435">
        <f>SUM(B59:M59)</f>
        <v>1869790.0184132664</v>
      </c>
      <c r="O59" s="28"/>
      <c r="P59" s="28"/>
      <c r="Q59" s="28"/>
      <c r="R59" s="28"/>
      <c r="S59" s="28"/>
      <c r="T59" s="28"/>
      <c r="U59" s="28"/>
    </row>
    <row r="60" spans="1:24" ht="14">
      <c r="A60" s="439" t="s">
        <v>90</v>
      </c>
      <c r="B60" s="435">
        <f>SUM(B58:B59)</f>
        <v>22316.900102238</v>
      </c>
      <c r="C60" s="435">
        <f t="shared" ref="C60:N60" si="20">SUM(C58:C59)</f>
        <v>4945.7878626239999</v>
      </c>
      <c r="D60" s="435">
        <f t="shared" si="20"/>
        <v>3745.540546104</v>
      </c>
      <c r="E60" s="435">
        <f t="shared" si="20"/>
        <v>14370.569544240001</v>
      </c>
      <c r="F60" s="435">
        <f t="shared" si="20"/>
        <v>253949.858586774</v>
      </c>
      <c r="G60" s="435">
        <f t="shared" si="20"/>
        <v>25147.524754800004</v>
      </c>
      <c r="H60" s="435">
        <f t="shared" si="20"/>
        <v>17199.38124450525</v>
      </c>
      <c r="I60" s="435">
        <f t="shared" si="20"/>
        <v>69737.383477361262</v>
      </c>
      <c r="J60" s="435">
        <f t="shared" si="20"/>
        <v>1331703.4211148149</v>
      </c>
      <c r="K60" s="435">
        <f t="shared" si="20"/>
        <v>315270.86548775999</v>
      </c>
      <c r="L60" s="435">
        <f t="shared" si="20"/>
        <v>9751.8744540000007</v>
      </c>
      <c r="M60" s="435">
        <f t="shared" si="20"/>
        <v>35212.36634244</v>
      </c>
      <c r="N60" s="435">
        <f t="shared" si="20"/>
        <v>2103351.4735176614</v>
      </c>
      <c r="O60" s="28"/>
      <c r="P60" s="28"/>
      <c r="Q60" s="28"/>
      <c r="R60" s="28"/>
      <c r="S60" s="28"/>
      <c r="T60" s="28"/>
      <c r="U60" s="28"/>
    </row>
    <row r="61" spans="1:24" ht="14">
      <c r="A61" s="434" t="s">
        <v>822</v>
      </c>
      <c r="B61" s="451">
        <f>B53*$B$14*B7*1000</f>
        <v>13993.885844400002</v>
      </c>
      <c r="C61" s="451">
        <f t="shared" ref="C61:M61" si="21">C53*$B$14*C7*1000</f>
        <v>67193.43882510002</v>
      </c>
      <c r="D61" s="451">
        <f t="shared" si="21"/>
        <v>13177.01786688</v>
      </c>
      <c r="E61" s="451">
        <f t="shared" si="21"/>
        <v>11702.2493448</v>
      </c>
      <c r="F61" s="451">
        <f t="shared" si="21"/>
        <v>89758.390759380025</v>
      </c>
      <c r="G61" s="451">
        <f t="shared" si="21"/>
        <v>35767.672416000001</v>
      </c>
      <c r="H61" s="451">
        <f t="shared" si="21"/>
        <v>66688.566033600015</v>
      </c>
      <c r="I61" s="451">
        <f t="shared" si="21"/>
        <v>47515.603298940005</v>
      </c>
      <c r="J61" s="451">
        <f t="shared" si="21"/>
        <v>494789.37491339998</v>
      </c>
      <c r="K61" s="451">
        <f t="shared" si="21"/>
        <v>727166.49969348009</v>
      </c>
      <c r="L61" s="451">
        <f t="shared" si="21"/>
        <v>21577.237164000002</v>
      </c>
      <c r="M61" s="451">
        <f t="shared" si="21"/>
        <v>20086.91748</v>
      </c>
      <c r="N61" s="444">
        <f>SUM(B61:M61)</f>
        <v>1609416.8536399803</v>
      </c>
      <c r="O61" s="28"/>
      <c r="P61" s="28"/>
      <c r="Q61" s="28"/>
      <c r="R61" s="28"/>
      <c r="S61" s="28"/>
      <c r="T61" s="28"/>
      <c r="U61" s="28"/>
    </row>
    <row r="62" spans="1:24" ht="14">
      <c r="A62" s="434" t="s">
        <v>827</v>
      </c>
      <c r="B62" s="451">
        <f>B60-B61</f>
        <v>8323.0142578379982</v>
      </c>
      <c r="C62" s="451">
        <f t="shared" ref="C62:M62" si="22">C60-C61</f>
        <v>-62247.650962476022</v>
      </c>
      <c r="D62" s="451">
        <f t="shared" si="22"/>
        <v>-9431.4773207760009</v>
      </c>
      <c r="E62" s="451">
        <f t="shared" si="22"/>
        <v>2668.3201994400006</v>
      </c>
      <c r="F62" s="451">
        <f t="shared" si="22"/>
        <v>164191.46782739396</v>
      </c>
      <c r="G62" s="451">
        <f t="shared" si="22"/>
        <v>-10620.147661199997</v>
      </c>
      <c r="H62" s="451">
        <f t="shared" si="22"/>
        <v>-49489.184789094768</v>
      </c>
      <c r="I62" s="451">
        <f t="shared" si="22"/>
        <v>22221.780178421257</v>
      </c>
      <c r="J62" s="451">
        <f t="shared" si="22"/>
        <v>836914.04620141489</v>
      </c>
      <c r="K62" s="451">
        <f t="shared" si="22"/>
        <v>-411895.6342057201</v>
      </c>
      <c r="L62" s="451">
        <f t="shared" si="22"/>
        <v>-11825.362710000001</v>
      </c>
      <c r="M62" s="451">
        <f t="shared" si="22"/>
        <v>15125.44886244</v>
      </c>
      <c r="N62" s="444">
        <f>SUM(B62:M62)</f>
        <v>493934.61987768125</v>
      </c>
      <c r="O62" s="28"/>
      <c r="P62" s="28"/>
      <c r="Q62" s="28"/>
      <c r="R62" s="28"/>
      <c r="S62" s="28"/>
      <c r="T62" s="28"/>
      <c r="U62" s="28"/>
    </row>
    <row r="63" spans="1:24">
      <c r="B63" s="28"/>
      <c r="C63" s="28"/>
      <c r="D63" s="28"/>
      <c r="E63" s="28"/>
      <c r="F63" s="28"/>
      <c r="G63" s="28"/>
      <c r="H63" s="28"/>
      <c r="I63" s="28"/>
      <c r="J63" s="28"/>
      <c r="K63" s="28"/>
      <c r="L63" s="28"/>
      <c r="M63" s="28"/>
      <c r="N63" s="28"/>
      <c r="O63" s="28"/>
      <c r="P63" s="28"/>
      <c r="Q63" s="28"/>
      <c r="R63" s="28"/>
      <c r="S63" s="28"/>
      <c r="T63" s="28"/>
      <c r="U63" s="28"/>
    </row>
    <row r="64" spans="1:24">
      <c r="B64" s="28"/>
      <c r="C64" s="28"/>
      <c r="D64" s="28"/>
      <c r="E64" s="28"/>
      <c r="F64" s="28"/>
      <c r="G64" s="28"/>
      <c r="H64" s="28"/>
      <c r="I64" s="28"/>
      <c r="J64" s="28"/>
      <c r="K64" s="28"/>
      <c r="L64" s="28"/>
      <c r="M64" s="28"/>
      <c r="N64" s="28"/>
      <c r="O64" s="28"/>
      <c r="P64" s="28"/>
      <c r="Q64" s="28"/>
      <c r="R64" s="28"/>
      <c r="S64" s="28"/>
      <c r="T64" s="28"/>
      <c r="U64" s="28"/>
    </row>
    <row r="65" spans="2:21">
      <c r="B65" s="28"/>
      <c r="C65" s="28"/>
      <c r="D65" s="28"/>
      <c r="E65" s="28"/>
      <c r="F65" s="28"/>
      <c r="G65" s="28"/>
      <c r="H65" s="28"/>
      <c r="I65" s="28"/>
      <c r="J65" s="28"/>
      <c r="K65" s="28"/>
      <c r="L65" s="28"/>
      <c r="M65" s="28"/>
      <c r="N65" s="28"/>
      <c r="O65" s="28"/>
      <c r="P65" s="28"/>
      <c r="Q65" s="28"/>
      <c r="R65" s="28"/>
      <c r="S65" s="28"/>
      <c r="T65" s="28"/>
      <c r="U65" s="28"/>
    </row>
    <row r="66" spans="2:21">
      <c r="B66" s="28"/>
      <c r="C66" s="28"/>
      <c r="D66" s="28"/>
      <c r="E66" s="28"/>
      <c r="F66" s="28"/>
      <c r="G66" s="28"/>
      <c r="H66" s="28"/>
      <c r="I66" s="28"/>
      <c r="J66" s="28"/>
      <c r="K66" s="28"/>
      <c r="L66" s="28"/>
      <c r="M66" s="28"/>
      <c r="N66" s="28"/>
      <c r="O66" s="28"/>
      <c r="P66" s="28"/>
      <c r="Q66" s="28"/>
      <c r="R66" s="28"/>
      <c r="S66" s="28"/>
      <c r="T66" s="28"/>
      <c r="U66" s="28"/>
    </row>
    <row r="67" spans="2:21">
      <c r="B67" s="28"/>
      <c r="C67" s="28"/>
      <c r="D67" s="28"/>
      <c r="E67" s="28"/>
      <c r="F67" s="28"/>
      <c r="G67" s="28"/>
      <c r="H67" s="28"/>
      <c r="I67" s="28"/>
      <c r="J67" s="28"/>
      <c r="K67" s="28"/>
      <c r="L67" s="28"/>
      <c r="M67" s="28"/>
      <c r="N67" s="28"/>
      <c r="O67" s="28"/>
      <c r="P67" s="28"/>
      <c r="Q67" s="28"/>
      <c r="R67" s="28"/>
      <c r="S67" s="28"/>
      <c r="T67" s="28"/>
      <c r="U67" s="28"/>
    </row>
    <row r="68" spans="2:21">
      <c r="B68" s="28"/>
      <c r="C68" s="28"/>
      <c r="D68" s="28"/>
      <c r="E68" s="28"/>
      <c r="F68" s="28"/>
      <c r="G68" s="28"/>
      <c r="H68" s="28"/>
      <c r="I68" s="28"/>
      <c r="J68" s="28"/>
      <c r="K68" s="28"/>
      <c r="L68" s="28"/>
      <c r="M68" s="28"/>
      <c r="N68" s="28"/>
      <c r="O68" s="28"/>
      <c r="P68" s="28"/>
      <c r="Q68" s="28"/>
      <c r="R68" s="28"/>
      <c r="S68" s="28"/>
      <c r="T68" s="28"/>
      <c r="U68" s="28"/>
    </row>
    <row r="69" spans="2:21">
      <c r="B69" s="28"/>
      <c r="C69" s="28"/>
      <c r="D69" s="28"/>
      <c r="E69" s="28"/>
      <c r="F69" s="28"/>
      <c r="G69" s="28"/>
      <c r="H69" s="28"/>
      <c r="I69" s="28"/>
      <c r="J69" s="28"/>
      <c r="K69" s="28"/>
      <c r="L69" s="28"/>
      <c r="M69" s="28"/>
      <c r="N69" s="28"/>
      <c r="O69" s="28"/>
      <c r="P69" s="28"/>
      <c r="Q69" s="28"/>
      <c r="R69" s="28"/>
      <c r="S69" s="28"/>
      <c r="T69" s="28"/>
      <c r="U69" s="28"/>
    </row>
    <row r="70" spans="2:21">
      <c r="B70" s="28"/>
      <c r="C70" s="28"/>
      <c r="D70" s="28"/>
      <c r="E70" s="28"/>
      <c r="F70" s="28"/>
      <c r="G70" s="28"/>
      <c r="H70" s="28"/>
      <c r="I70" s="28"/>
      <c r="J70" s="28"/>
      <c r="K70" s="28"/>
      <c r="L70" s="28"/>
      <c r="M70" s="28"/>
      <c r="N70" s="28"/>
      <c r="O70" s="28"/>
      <c r="P70" s="28"/>
      <c r="Q70" s="28"/>
      <c r="R70" s="28"/>
      <c r="S70" s="28"/>
      <c r="T70" s="28"/>
      <c r="U70" s="28"/>
    </row>
    <row r="71" spans="2:21">
      <c r="B71" s="28"/>
      <c r="C71" s="28"/>
      <c r="D71" s="28"/>
      <c r="E71" s="28"/>
      <c r="F71" s="28"/>
      <c r="G71" s="28"/>
      <c r="H71" s="28"/>
      <c r="I71" s="28"/>
      <c r="J71" s="28"/>
      <c r="K71" s="28"/>
      <c r="L71" s="28"/>
      <c r="M71" s="28"/>
      <c r="N71" s="28"/>
      <c r="O71" s="28"/>
      <c r="P71" s="28"/>
      <c r="Q71" s="28"/>
      <c r="R71" s="28"/>
      <c r="S71" s="28"/>
      <c r="T71" s="28"/>
      <c r="U71" s="28"/>
    </row>
    <row r="72" spans="2:21">
      <c r="B72" s="28"/>
      <c r="C72" s="28"/>
      <c r="D72" s="28"/>
      <c r="E72" s="28"/>
      <c r="F72" s="28"/>
      <c r="G72" s="28"/>
      <c r="H72" s="28"/>
      <c r="I72" s="28"/>
      <c r="J72" s="28"/>
      <c r="K72" s="28"/>
      <c r="L72" s="28"/>
      <c r="M72" s="28"/>
      <c r="N72" s="28"/>
      <c r="O72" s="28"/>
      <c r="P72" s="28"/>
      <c r="Q72" s="28"/>
      <c r="R72" s="28"/>
      <c r="S72" s="28"/>
      <c r="T72" s="28"/>
      <c r="U72" s="28"/>
    </row>
    <row r="73" spans="2:21">
      <c r="B73" s="28"/>
      <c r="C73" s="28"/>
      <c r="D73" s="28"/>
      <c r="E73" s="28"/>
      <c r="F73" s="28"/>
      <c r="G73" s="28"/>
      <c r="H73" s="28"/>
      <c r="I73" s="28"/>
      <c r="J73" s="28"/>
      <c r="K73" s="28"/>
      <c r="L73" s="28"/>
      <c r="M73" s="28"/>
      <c r="N73" s="28"/>
      <c r="O73" s="28"/>
      <c r="P73" s="28"/>
      <c r="Q73" s="28"/>
      <c r="R73" s="28"/>
      <c r="S73" s="28"/>
      <c r="T73" s="28"/>
      <c r="U73" s="28"/>
    </row>
    <row r="74" spans="2:21">
      <c r="B74" s="28"/>
      <c r="C74" s="28"/>
      <c r="D74" s="28"/>
      <c r="E74" s="28"/>
      <c r="F74" s="28"/>
      <c r="G74" s="28"/>
      <c r="H74" s="28"/>
      <c r="I74" s="28"/>
      <c r="J74" s="28"/>
      <c r="K74" s="28"/>
      <c r="L74" s="28"/>
      <c r="M74" s="28"/>
      <c r="N74" s="28"/>
      <c r="O74" s="28"/>
      <c r="P74" s="28"/>
      <c r="Q74" s="28"/>
      <c r="R74" s="28"/>
      <c r="S74" s="28"/>
      <c r="T74" s="28"/>
      <c r="U74" s="28"/>
    </row>
    <row r="75" spans="2:21">
      <c r="B75" s="28"/>
      <c r="C75" s="28"/>
      <c r="D75" s="28"/>
      <c r="E75" s="28"/>
      <c r="F75" s="28"/>
      <c r="G75" s="28"/>
      <c r="H75" s="28"/>
      <c r="I75" s="28"/>
      <c r="J75" s="28"/>
      <c r="K75" s="28"/>
      <c r="L75" s="28"/>
      <c r="M75" s="28"/>
      <c r="N75" s="28"/>
      <c r="O75" s="28"/>
      <c r="P75" s="28"/>
      <c r="Q75" s="28"/>
      <c r="R75" s="28"/>
      <c r="S75" s="28"/>
      <c r="T75" s="28"/>
      <c r="U75" s="28"/>
    </row>
    <row r="76" spans="2:21">
      <c r="B76" s="28"/>
      <c r="C76" s="28"/>
      <c r="D76" s="28"/>
      <c r="E76" s="28"/>
      <c r="F76" s="28"/>
      <c r="G76" s="28"/>
      <c r="H76" s="28"/>
      <c r="I76" s="28"/>
      <c r="J76" s="28"/>
      <c r="K76" s="28"/>
      <c r="L76" s="28"/>
      <c r="M76" s="28"/>
      <c r="N76" s="28"/>
      <c r="O76" s="28"/>
      <c r="P76" s="28"/>
      <c r="Q76" s="28"/>
      <c r="R76" s="28"/>
      <c r="S76" s="28"/>
      <c r="T76" s="28"/>
      <c r="U76" s="28"/>
    </row>
    <row r="77" spans="2:21">
      <c r="B77" s="28"/>
      <c r="C77" s="28"/>
      <c r="D77" s="28"/>
      <c r="E77" s="28"/>
      <c r="F77" s="28"/>
      <c r="G77" s="28"/>
      <c r="H77" s="28"/>
      <c r="I77" s="28"/>
      <c r="J77" s="28"/>
      <c r="K77" s="28"/>
      <c r="L77" s="28"/>
      <c r="M77" s="28"/>
      <c r="N77" s="28"/>
      <c r="O77" s="28"/>
      <c r="P77" s="28"/>
      <c r="Q77" s="28"/>
      <c r="R77" s="28"/>
      <c r="S77" s="28"/>
      <c r="T77" s="28"/>
      <c r="U77" s="28"/>
    </row>
    <row r="78" spans="2:21">
      <c r="B78" s="28"/>
      <c r="C78" s="28"/>
      <c r="D78" s="28"/>
      <c r="E78" s="28"/>
      <c r="F78" s="28"/>
      <c r="G78" s="28"/>
      <c r="H78" s="28"/>
      <c r="I78" s="28"/>
      <c r="J78" s="28"/>
      <c r="K78" s="28"/>
      <c r="L78" s="28"/>
      <c r="M78" s="28"/>
      <c r="N78" s="28"/>
      <c r="O78" s="28"/>
      <c r="P78" s="28"/>
      <c r="Q78" s="28"/>
      <c r="R78" s="28"/>
      <c r="S78" s="28"/>
      <c r="T78" s="28"/>
      <c r="U78" s="28"/>
    </row>
    <row r="79" spans="2:21">
      <c r="B79" s="28"/>
      <c r="C79" s="28"/>
      <c r="D79" s="28"/>
      <c r="E79" s="28"/>
      <c r="F79" s="28"/>
      <c r="G79" s="28"/>
      <c r="H79" s="28"/>
      <c r="I79" s="28"/>
      <c r="J79" s="28"/>
      <c r="K79" s="28"/>
      <c r="L79" s="28"/>
      <c r="M79" s="28"/>
      <c r="N79" s="28"/>
      <c r="O79" s="28"/>
      <c r="P79" s="28"/>
      <c r="Q79" s="28"/>
      <c r="R79" s="28"/>
      <c r="S79" s="28"/>
      <c r="T79" s="28"/>
      <c r="U79" s="28"/>
    </row>
    <row r="118" spans="1:16" ht="14.5">
      <c r="A118" s="1181" t="s">
        <v>1946</v>
      </c>
      <c r="B118" s="1181"/>
      <c r="C118" s="1181"/>
      <c r="D118" s="1181"/>
      <c r="E118" s="1181"/>
    </row>
    <row r="119" spans="1:16" ht="13">
      <c r="A119" s="1136"/>
      <c r="B119" s="137" t="s">
        <v>90</v>
      </c>
      <c r="C119" s="137" t="s">
        <v>1947</v>
      </c>
      <c r="D119" s="137" t="s">
        <v>1948</v>
      </c>
      <c r="E119" s="137" t="s">
        <v>1949</v>
      </c>
    </row>
    <row r="120" spans="1:16" ht="13">
      <c r="A120" s="1137" t="s">
        <v>779</v>
      </c>
      <c r="B120" s="55">
        <v>372.32323233341259</v>
      </c>
      <c r="C120" s="55">
        <f>0.88+5.07+1.66</f>
        <v>7.61</v>
      </c>
      <c r="D120" s="55">
        <f>B120-C120</f>
        <v>364.71323233341258</v>
      </c>
      <c r="E120" s="1138">
        <f>D120/B120</f>
        <v>0.97956077048346712</v>
      </c>
    </row>
    <row r="121" spans="1:16" ht="13">
      <c r="A121" s="1137" t="s">
        <v>778</v>
      </c>
      <c r="B121" s="55">
        <v>14014.357788130248</v>
      </c>
      <c r="C121" s="55">
        <f>1138-C120</f>
        <v>1130.3900000000001</v>
      </c>
      <c r="D121" s="55">
        <f>B121-C121</f>
        <v>12883.967788130249</v>
      </c>
      <c r="E121" s="1138">
        <f>D121/B121</f>
        <v>0.91934057792092283</v>
      </c>
    </row>
    <row r="122" spans="1:16" ht="13">
      <c r="A122" s="1139" t="s">
        <v>1950</v>
      </c>
      <c r="B122" s="460">
        <f>SUM(B120:B121)</f>
        <v>14386.68102046366</v>
      </c>
      <c r="C122" s="460">
        <f>SUM(C120:C121)</f>
        <v>1138</v>
      </c>
      <c r="D122" s="460">
        <f>SUM(D120:D121)</f>
        <v>13248.68102046366</v>
      </c>
      <c r="E122" s="1140">
        <f>D122/B122</f>
        <v>0.92089905945775086</v>
      </c>
    </row>
    <row r="123" spans="1:16" ht="13">
      <c r="A123" s="1135" t="s">
        <v>822</v>
      </c>
      <c r="B123" s="55">
        <v>7627</v>
      </c>
      <c r="C123" s="40"/>
      <c r="D123" s="40"/>
    </row>
    <row r="124" spans="1:16" ht="13">
      <c r="A124" s="1135" t="s">
        <v>826</v>
      </c>
      <c r="B124" s="55">
        <v>6759.4478857333588</v>
      </c>
      <c r="C124" s="40"/>
      <c r="D124" s="40"/>
      <c r="K124" s="1177">
        <v>2013</v>
      </c>
      <c r="L124" s="1177"/>
      <c r="M124" s="1177"/>
      <c r="N124">
        <v>2012</v>
      </c>
    </row>
    <row r="125" spans="1:16">
      <c r="K125" s="137" t="s">
        <v>1947</v>
      </c>
      <c r="L125" s="137" t="s">
        <v>1948</v>
      </c>
      <c r="M125" s="137" t="s">
        <v>1949</v>
      </c>
      <c r="N125" s="137" t="s">
        <v>1947</v>
      </c>
      <c r="O125" s="137" t="s">
        <v>1948</v>
      </c>
      <c r="P125" s="137" t="s">
        <v>1949</v>
      </c>
    </row>
    <row r="126" spans="1:16">
      <c r="B126" s="1142">
        <v>2008</v>
      </c>
      <c r="C126" s="1142">
        <v>2009</v>
      </c>
      <c r="D126" s="1142">
        <v>2010</v>
      </c>
      <c r="E126" s="1142">
        <v>2011</v>
      </c>
      <c r="F126" s="1142">
        <v>2012</v>
      </c>
      <c r="G126" s="1142">
        <v>2013</v>
      </c>
      <c r="K126" s="40">
        <v>1138</v>
      </c>
      <c r="L126" s="40">
        <v>13248.68102046366</v>
      </c>
      <c r="M126" s="1143">
        <v>0.92089905945775086</v>
      </c>
      <c r="N126">
        <v>972</v>
      </c>
      <c r="O126">
        <v>634</v>
      </c>
      <c r="P126" s="1143">
        <f>O126/(N126+O126)</f>
        <v>0.39476961394769616</v>
      </c>
    </row>
    <row r="127" spans="1:16" ht="13">
      <c r="A127" s="1141" t="s">
        <v>826</v>
      </c>
      <c r="B127" s="55">
        <v>667</v>
      </c>
      <c r="C127" s="55">
        <v>1014</v>
      </c>
      <c r="D127" s="55">
        <v>1395</v>
      </c>
      <c r="E127" s="55">
        <v>223</v>
      </c>
      <c r="F127" s="55">
        <v>374</v>
      </c>
      <c r="G127" s="147">
        <v>6759</v>
      </c>
      <c r="H127">
        <f>SUM(B127:G127)</f>
        <v>10432</v>
      </c>
    </row>
  </sheetData>
  <mergeCells count="6">
    <mergeCell ref="K124:M124"/>
    <mergeCell ref="A1:N1"/>
    <mergeCell ref="B2:M2"/>
    <mergeCell ref="X16:Z16"/>
    <mergeCell ref="R16:U16"/>
    <mergeCell ref="A118:E118"/>
  </mergeCells>
  <phoneticPr fontId="7" type="noConversion"/>
  <pageMargins left="0.75" right="0.75" top="1" bottom="1" header="0.5" footer="0.5"/>
  <pageSetup orientation="landscape" horizontalDpi="4294967294"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Z65"/>
  <sheetViews>
    <sheetView topLeftCell="A43" workbookViewId="0">
      <selection activeCell="Z15" sqref="Z15"/>
    </sheetView>
  </sheetViews>
  <sheetFormatPr defaultRowHeight="12.5"/>
  <cols>
    <col min="1" max="1" width="8.36328125" bestFit="1" customWidth="1"/>
    <col min="2" max="2" width="6.54296875" bestFit="1" customWidth="1"/>
    <col min="3" max="7" width="7" bestFit="1" customWidth="1"/>
    <col min="8" max="9" width="6.54296875" bestFit="1" customWidth="1"/>
    <col min="10" max="11" width="5.54296875" bestFit="1" customWidth="1"/>
    <col min="12" max="12" width="6" bestFit="1" customWidth="1"/>
    <col min="13" max="14" width="5.54296875" bestFit="1" customWidth="1"/>
    <col min="15" max="15" width="8" customWidth="1"/>
    <col min="16" max="16" width="7.6328125" customWidth="1"/>
  </cols>
  <sheetData>
    <row r="1" spans="1:25" ht="13">
      <c r="A1" s="1182" t="s">
        <v>37</v>
      </c>
      <c r="B1" s="1182"/>
      <c r="C1" s="1182"/>
      <c r="D1" s="1182"/>
      <c r="E1" s="1182"/>
      <c r="F1" s="1182"/>
      <c r="G1" s="1182"/>
      <c r="H1" s="1182"/>
      <c r="I1" s="1182"/>
      <c r="J1" s="1182"/>
      <c r="K1" s="1182"/>
      <c r="L1" s="1182"/>
      <c r="M1" s="1182"/>
      <c r="N1" s="1182"/>
    </row>
    <row r="2" spans="1:25">
      <c r="B2" s="587">
        <v>1988</v>
      </c>
      <c r="C2" s="587">
        <v>1991</v>
      </c>
      <c r="D2" s="587">
        <v>1992</v>
      </c>
      <c r="E2" s="587">
        <v>1993</v>
      </c>
      <c r="F2" s="587">
        <v>1994</v>
      </c>
      <c r="G2" s="587">
        <v>1995</v>
      </c>
      <c r="H2" s="587">
        <v>1996</v>
      </c>
      <c r="I2" s="587">
        <v>1997</v>
      </c>
      <c r="J2" s="587">
        <v>1998</v>
      </c>
      <c r="K2" s="587">
        <v>1999</v>
      </c>
      <c r="L2" s="587">
        <v>2000</v>
      </c>
      <c r="M2" s="587">
        <v>2001</v>
      </c>
      <c r="N2" s="587">
        <v>2002</v>
      </c>
      <c r="O2" s="587">
        <v>2003</v>
      </c>
      <c r="P2" s="587">
        <v>2004</v>
      </c>
      <c r="Q2" s="587">
        <v>2005</v>
      </c>
      <c r="R2" s="587">
        <v>2006</v>
      </c>
      <c r="S2" s="587">
        <v>2007</v>
      </c>
      <c r="T2" s="587">
        <v>2008</v>
      </c>
      <c r="U2" s="587">
        <v>2009</v>
      </c>
      <c r="V2" s="587">
        <v>2010</v>
      </c>
      <c r="W2" s="587">
        <v>2011</v>
      </c>
      <c r="X2" s="587">
        <v>2012</v>
      </c>
      <c r="Y2" s="845">
        <v>2013</v>
      </c>
    </row>
    <row r="3" spans="1:25">
      <c r="A3" s="39" t="s">
        <v>29</v>
      </c>
      <c r="B3">
        <v>166</v>
      </c>
      <c r="C3">
        <v>184.16</v>
      </c>
      <c r="D3">
        <v>162.26</v>
      </c>
      <c r="E3">
        <v>167.91</v>
      </c>
      <c r="F3">
        <v>87.03</v>
      </c>
      <c r="G3">
        <v>40.909999999999997</v>
      </c>
      <c r="H3" s="6">
        <v>29.44</v>
      </c>
      <c r="I3" s="6">
        <v>37.700000000000003</v>
      </c>
      <c r="J3">
        <v>36.6</v>
      </c>
      <c r="K3">
        <v>41.6</v>
      </c>
      <c r="L3">
        <v>60</v>
      </c>
      <c r="M3">
        <v>49.8</v>
      </c>
      <c r="N3">
        <v>50.2</v>
      </c>
      <c r="O3">
        <v>49.5</v>
      </c>
      <c r="P3">
        <v>31.9</v>
      </c>
      <c r="Q3">
        <v>39.200000000000003</v>
      </c>
      <c r="R3">
        <v>24</v>
      </c>
      <c r="S3">
        <v>30.7</v>
      </c>
      <c r="T3">
        <v>50.6</v>
      </c>
      <c r="U3">
        <v>34.799999999999997</v>
      </c>
      <c r="V3">
        <v>33.6</v>
      </c>
      <c r="W3">
        <v>40.799999999999997</v>
      </c>
      <c r="X3">
        <v>61.6</v>
      </c>
      <c r="Y3">
        <v>65.599999999999994</v>
      </c>
    </row>
    <row r="4" spans="1:25">
      <c r="A4" s="39" t="s">
        <v>30</v>
      </c>
      <c r="B4" s="6">
        <v>255.14285714285714</v>
      </c>
      <c r="C4">
        <v>349.27</v>
      </c>
      <c r="D4">
        <v>266.27</v>
      </c>
      <c r="E4">
        <v>442.5</v>
      </c>
      <c r="F4">
        <v>348.74</v>
      </c>
      <c r="G4">
        <v>492.7</v>
      </c>
      <c r="H4" s="6">
        <v>577.75</v>
      </c>
      <c r="I4" s="6">
        <v>393</v>
      </c>
      <c r="J4" s="40">
        <v>358</v>
      </c>
      <c r="K4" s="40">
        <v>402</v>
      </c>
      <c r="L4">
        <v>441</v>
      </c>
      <c r="M4">
        <v>387</v>
      </c>
      <c r="N4">
        <v>282</v>
      </c>
      <c r="O4">
        <v>266</v>
      </c>
      <c r="P4">
        <v>247</v>
      </c>
      <c r="Q4">
        <v>207</v>
      </c>
      <c r="R4">
        <v>153</v>
      </c>
      <c r="S4">
        <v>229</v>
      </c>
      <c r="T4">
        <v>232</v>
      </c>
      <c r="U4">
        <v>267</v>
      </c>
      <c r="V4">
        <v>254</v>
      </c>
      <c r="W4">
        <v>172</v>
      </c>
      <c r="X4">
        <v>134</v>
      </c>
      <c r="Y4">
        <v>153</v>
      </c>
    </row>
    <row r="5" spans="1:25">
      <c r="A5" s="39" t="s">
        <v>31</v>
      </c>
      <c r="B5" s="6">
        <v>7.4714285714285706</v>
      </c>
      <c r="C5">
        <v>21.22</v>
      </c>
      <c r="D5">
        <v>19.010000000000002</v>
      </c>
      <c r="E5">
        <v>8.9</v>
      </c>
      <c r="F5">
        <v>20.43</v>
      </c>
      <c r="G5">
        <v>5.09</v>
      </c>
      <c r="H5" s="6">
        <v>17.100000000000001</v>
      </c>
      <c r="I5" s="6">
        <v>8.1999999999999993</v>
      </c>
      <c r="J5">
        <v>4.3</v>
      </c>
      <c r="K5">
        <v>5.8</v>
      </c>
      <c r="L5">
        <v>14.1</v>
      </c>
      <c r="M5">
        <v>24.6</v>
      </c>
      <c r="N5">
        <v>15.4</v>
      </c>
      <c r="O5">
        <v>14.8</v>
      </c>
      <c r="P5">
        <v>6.6</v>
      </c>
      <c r="Q5">
        <v>15.5</v>
      </c>
      <c r="R5">
        <v>9.1</v>
      </c>
      <c r="S5">
        <v>9.3000000000000007</v>
      </c>
      <c r="T5">
        <v>17.3</v>
      </c>
      <c r="U5">
        <v>12.5</v>
      </c>
      <c r="V5">
        <v>10.6</v>
      </c>
      <c r="W5">
        <v>10.8</v>
      </c>
      <c r="X5">
        <v>14.9</v>
      </c>
      <c r="Y5">
        <v>14.6</v>
      </c>
    </row>
    <row r="6" spans="1:25">
      <c r="A6" s="39" t="s">
        <v>32</v>
      </c>
      <c r="B6">
        <v>14</v>
      </c>
      <c r="C6">
        <v>69.67</v>
      </c>
      <c r="D6">
        <v>65.67</v>
      </c>
      <c r="E6">
        <v>32</v>
      </c>
      <c r="F6">
        <v>69.5</v>
      </c>
      <c r="G6">
        <v>36.85</v>
      </c>
      <c r="H6" s="6">
        <v>97.3</v>
      </c>
      <c r="I6" s="6">
        <v>31.7</v>
      </c>
      <c r="J6">
        <v>41.3</v>
      </c>
      <c r="K6">
        <v>36.700000000000003</v>
      </c>
      <c r="L6">
        <v>104.9</v>
      </c>
      <c r="M6">
        <v>69.7</v>
      </c>
      <c r="N6">
        <v>43.7</v>
      </c>
      <c r="O6">
        <v>37.700000000000003</v>
      </c>
      <c r="P6">
        <v>15.2</v>
      </c>
      <c r="Q6">
        <v>75.5</v>
      </c>
      <c r="R6">
        <v>28.7</v>
      </c>
      <c r="S6">
        <v>50.8</v>
      </c>
      <c r="T6">
        <v>73.900000000000006</v>
      </c>
      <c r="U6">
        <v>80.400000000000006</v>
      </c>
      <c r="V6">
        <v>24.1</v>
      </c>
      <c r="W6">
        <v>17.399999999999999</v>
      </c>
      <c r="X6">
        <v>52.9</v>
      </c>
      <c r="Y6">
        <v>54.3</v>
      </c>
    </row>
    <row r="7" spans="1:25">
      <c r="A7" s="39" t="s">
        <v>27</v>
      </c>
      <c r="B7">
        <v>1.625</v>
      </c>
      <c r="C7">
        <v>2.17</v>
      </c>
      <c r="D7">
        <v>2.1</v>
      </c>
      <c r="E7">
        <v>2.84</v>
      </c>
      <c r="F7">
        <v>1.79</v>
      </c>
      <c r="G7">
        <v>2.14</v>
      </c>
      <c r="H7" s="6">
        <v>2.5125000000000002</v>
      </c>
      <c r="I7" s="6">
        <v>1.7</v>
      </c>
      <c r="J7">
        <v>1.8</v>
      </c>
      <c r="K7">
        <v>1.8</v>
      </c>
      <c r="L7">
        <v>2.4</v>
      </c>
      <c r="M7">
        <v>2.2999999999999998</v>
      </c>
      <c r="N7">
        <v>3</v>
      </c>
      <c r="O7">
        <v>1.7</v>
      </c>
      <c r="P7">
        <v>2.6</v>
      </c>
      <c r="Q7">
        <v>2.1</v>
      </c>
      <c r="R7">
        <v>2.4</v>
      </c>
      <c r="S7">
        <v>1.7</v>
      </c>
      <c r="T7">
        <v>2.4</v>
      </c>
      <c r="U7">
        <v>2.7</v>
      </c>
      <c r="V7">
        <v>1.7</v>
      </c>
      <c r="W7">
        <v>2.2000000000000002</v>
      </c>
      <c r="X7">
        <v>2.21</v>
      </c>
      <c r="Y7">
        <v>1.86</v>
      </c>
    </row>
    <row r="10" spans="1:25" ht="13">
      <c r="A10" s="1182" t="s">
        <v>33</v>
      </c>
      <c r="B10" s="1182"/>
      <c r="C10" s="1182"/>
      <c r="D10" s="1182"/>
      <c r="E10" s="1182"/>
      <c r="F10" s="1182"/>
      <c r="G10" s="1182"/>
      <c r="H10" s="1182"/>
      <c r="I10" s="1182"/>
      <c r="J10" s="1182"/>
      <c r="K10" s="1182"/>
      <c r="L10" s="1182"/>
      <c r="M10" s="1182"/>
      <c r="N10" s="1182"/>
    </row>
    <row r="11" spans="1:25">
      <c r="C11" s="587">
        <v>1991</v>
      </c>
      <c r="D11" s="587">
        <v>1992</v>
      </c>
      <c r="E11" s="587">
        <v>1993</v>
      </c>
      <c r="F11" s="587">
        <v>1994</v>
      </c>
      <c r="G11" s="587">
        <v>1995</v>
      </c>
      <c r="H11" s="587">
        <v>1996</v>
      </c>
      <c r="I11" s="587">
        <v>1997</v>
      </c>
      <c r="J11" s="587">
        <v>1998</v>
      </c>
      <c r="K11" s="587">
        <v>1999</v>
      </c>
      <c r="L11" s="587">
        <v>2000</v>
      </c>
      <c r="M11" s="587">
        <v>2001</v>
      </c>
      <c r="N11" s="587">
        <v>2002</v>
      </c>
      <c r="O11" s="587">
        <v>2003</v>
      </c>
      <c r="P11" s="587">
        <v>2004</v>
      </c>
      <c r="Q11" s="587">
        <v>2005</v>
      </c>
      <c r="R11" s="587">
        <v>2006</v>
      </c>
      <c r="S11" s="587">
        <v>2007</v>
      </c>
      <c r="T11" s="587">
        <v>2008</v>
      </c>
      <c r="U11" s="587">
        <v>2009</v>
      </c>
      <c r="V11" s="587">
        <v>2010</v>
      </c>
      <c r="W11" s="587">
        <v>2011</v>
      </c>
      <c r="X11" s="587">
        <v>2012</v>
      </c>
      <c r="Y11" s="845">
        <v>2013</v>
      </c>
    </row>
    <row r="12" spans="1:25">
      <c r="A12" s="39" t="s">
        <v>29</v>
      </c>
      <c r="C12">
        <v>191.83</v>
      </c>
      <c r="D12">
        <v>181.66</v>
      </c>
      <c r="E12">
        <v>206.9</v>
      </c>
      <c r="F12">
        <v>92.27</v>
      </c>
      <c r="G12">
        <v>58.4</v>
      </c>
      <c r="H12">
        <v>30.9</v>
      </c>
      <c r="I12">
        <v>39</v>
      </c>
      <c r="J12" s="6">
        <v>35</v>
      </c>
      <c r="K12" s="6">
        <v>46.4</v>
      </c>
      <c r="L12">
        <v>42.4</v>
      </c>
      <c r="M12">
        <v>62.2</v>
      </c>
      <c r="N12">
        <v>51</v>
      </c>
      <c r="O12">
        <v>62.4</v>
      </c>
      <c r="P12">
        <v>40.299999999999997</v>
      </c>
      <c r="Q12">
        <v>45.8</v>
      </c>
      <c r="R12">
        <v>25.5</v>
      </c>
      <c r="S12">
        <v>28.6</v>
      </c>
      <c r="T12">
        <v>61.4</v>
      </c>
      <c r="U12">
        <v>49.1</v>
      </c>
      <c r="V12">
        <v>38.799999999999997</v>
      </c>
      <c r="W12">
        <v>55.2</v>
      </c>
      <c r="X12">
        <v>97.2</v>
      </c>
      <c r="Y12">
        <v>111.7</v>
      </c>
    </row>
    <row r="13" spans="1:25">
      <c r="A13" s="39" t="s">
        <v>30</v>
      </c>
      <c r="C13">
        <v>234.14</v>
      </c>
      <c r="D13">
        <v>133.19999999999999</v>
      </c>
      <c r="E13">
        <v>198.57</v>
      </c>
      <c r="F13">
        <v>156.69999999999999</v>
      </c>
      <c r="G13">
        <v>284.52999999999997</v>
      </c>
      <c r="H13">
        <v>340.4</v>
      </c>
      <c r="I13">
        <v>302.89999999999998</v>
      </c>
      <c r="J13">
        <v>228</v>
      </c>
      <c r="K13">
        <v>201</v>
      </c>
      <c r="L13">
        <v>347</v>
      </c>
      <c r="M13">
        <v>208</v>
      </c>
      <c r="N13">
        <v>171</v>
      </c>
      <c r="O13">
        <v>121</v>
      </c>
      <c r="P13">
        <v>175</v>
      </c>
      <c r="Q13">
        <v>150</v>
      </c>
      <c r="R13">
        <v>102</v>
      </c>
      <c r="S13">
        <v>145</v>
      </c>
      <c r="T13">
        <v>79</v>
      </c>
      <c r="U13">
        <v>180</v>
      </c>
      <c r="V13">
        <v>112</v>
      </c>
      <c r="W13">
        <v>111</v>
      </c>
      <c r="X13">
        <v>32</v>
      </c>
      <c r="Y13">
        <v>103</v>
      </c>
    </row>
    <row r="14" spans="1:25">
      <c r="A14" s="39" t="s">
        <v>31</v>
      </c>
      <c r="C14">
        <v>3.99</v>
      </c>
      <c r="D14">
        <v>11.78</v>
      </c>
      <c r="E14">
        <v>14.4</v>
      </c>
      <c r="F14">
        <v>26.4</v>
      </c>
      <c r="G14">
        <v>10.96</v>
      </c>
      <c r="H14">
        <v>23.81</v>
      </c>
      <c r="I14">
        <v>6</v>
      </c>
      <c r="J14">
        <v>2.7</v>
      </c>
      <c r="K14">
        <v>3.1</v>
      </c>
      <c r="L14">
        <v>14.6</v>
      </c>
      <c r="M14">
        <v>23.5</v>
      </c>
      <c r="N14">
        <v>20.3</v>
      </c>
      <c r="O14">
        <v>18.5</v>
      </c>
      <c r="P14">
        <v>8.5</v>
      </c>
      <c r="Q14">
        <v>15.4</v>
      </c>
      <c r="R14">
        <v>13.2</v>
      </c>
      <c r="S14">
        <v>6.5</v>
      </c>
      <c r="T14">
        <v>25.8</v>
      </c>
      <c r="U14">
        <v>23.3</v>
      </c>
      <c r="V14">
        <v>15.2</v>
      </c>
      <c r="W14">
        <v>9</v>
      </c>
      <c r="X14">
        <v>25.1</v>
      </c>
      <c r="Y14">
        <v>26.4</v>
      </c>
    </row>
    <row r="15" spans="1:25">
      <c r="A15" s="39" t="s">
        <v>32</v>
      </c>
      <c r="C15">
        <v>6.25</v>
      </c>
      <c r="D15">
        <v>26.18</v>
      </c>
      <c r="E15">
        <v>32</v>
      </c>
      <c r="F15">
        <v>69.5</v>
      </c>
      <c r="G15">
        <v>36.85</v>
      </c>
      <c r="H15">
        <v>91.4</v>
      </c>
      <c r="I15">
        <v>16.399999999999999</v>
      </c>
      <c r="J15">
        <v>5.8</v>
      </c>
      <c r="K15">
        <v>7.7</v>
      </c>
      <c r="L15">
        <v>95.9</v>
      </c>
      <c r="M15">
        <v>69.7</v>
      </c>
      <c r="N15">
        <v>43.7</v>
      </c>
      <c r="O15">
        <v>37.700000000000003</v>
      </c>
      <c r="P15">
        <v>15.2</v>
      </c>
      <c r="Q15">
        <v>75.5</v>
      </c>
      <c r="R15">
        <v>28.7</v>
      </c>
      <c r="S15">
        <v>20.7</v>
      </c>
      <c r="T15">
        <v>73.900000000000006</v>
      </c>
      <c r="U15">
        <v>80.400000000000006</v>
      </c>
      <c r="V15">
        <v>22.8</v>
      </c>
      <c r="W15">
        <v>17.399999999999999</v>
      </c>
      <c r="X15">
        <v>52.9</v>
      </c>
      <c r="Y15">
        <v>54.3</v>
      </c>
    </row>
    <row r="16" spans="1:25">
      <c r="A16" s="39" t="s">
        <v>27</v>
      </c>
      <c r="C16">
        <v>2.0299999999999998</v>
      </c>
      <c r="D16">
        <v>2.12</v>
      </c>
      <c r="E16">
        <v>2.23</v>
      </c>
      <c r="F16">
        <v>1.7</v>
      </c>
      <c r="G16">
        <v>1.24</v>
      </c>
      <c r="H16">
        <v>2.5329999999999999</v>
      </c>
      <c r="I16">
        <v>1.4</v>
      </c>
      <c r="J16">
        <v>1.7</v>
      </c>
      <c r="K16">
        <v>1.8</v>
      </c>
      <c r="L16">
        <v>2.31</v>
      </c>
      <c r="M16">
        <v>2.2999999999999998</v>
      </c>
      <c r="N16">
        <v>2.7</v>
      </c>
      <c r="O16">
        <v>1.6</v>
      </c>
      <c r="P16">
        <v>2</v>
      </c>
      <c r="Q16">
        <v>1.5</v>
      </c>
      <c r="R16">
        <v>2.4</v>
      </c>
      <c r="S16">
        <v>2.5</v>
      </c>
      <c r="T16">
        <v>1.5</v>
      </c>
      <c r="U16">
        <v>1.8</v>
      </c>
      <c r="V16">
        <v>1.6</v>
      </c>
      <c r="W16">
        <v>2.2000000000000002</v>
      </c>
      <c r="X16">
        <v>1.42</v>
      </c>
      <c r="Y16">
        <v>1.1399999999999999</v>
      </c>
    </row>
    <row r="18" spans="1:25" ht="13">
      <c r="A18" s="1182" t="s">
        <v>38</v>
      </c>
      <c r="B18" s="1182"/>
      <c r="C18" s="1182"/>
      <c r="D18" s="1182"/>
      <c r="E18" s="1182"/>
      <c r="F18" s="1182"/>
      <c r="G18" s="1182"/>
      <c r="H18" s="1182"/>
      <c r="I18" s="1182"/>
      <c r="J18" s="1182"/>
      <c r="K18" s="1182"/>
      <c r="L18" s="1182"/>
      <c r="M18" s="1182"/>
      <c r="N18" s="1182"/>
    </row>
    <row r="19" spans="1:25">
      <c r="A19" s="41" t="s">
        <v>34</v>
      </c>
      <c r="B19" s="6">
        <f>LN(B7)</f>
        <v>0.48550781578170082</v>
      </c>
      <c r="C19" s="6">
        <f t="shared" ref="C19:R19" si="0">LN(C7)</f>
        <v>0.77472716755236815</v>
      </c>
      <c r="D19" s="6">
        <f t="shared" si="0"/>
        <v>0.74193734472937733</v>
      </c>
      <c r="E19" s="6">
        <f t="shared" si="0"/>
        <v>1.0438040521731147</v>
      </c>
      <c r="F19" s="6">
        <f t="shared" si="0"/>
        <v>0.58221561985266368</v>
      </c>
      <c r="G19" s="6">
        <f t="shared" si="0"/>
        <v>0.76080582903376015</v>
      </c>
      <c r="H19" s="6">
        <f t="shared" si="0"/>
        <v>0.92127827338519419</v>
      </c>
      <c r="I19" s="6">
        <f t="shared" si="0"/>
        <v>0.53062825106217038</v>
      </c>
      <c r="J19" s="6">
        <f t="shared" si="0"/>
        <v>0.58778666490211906</v>
      </c>
      <c r="K19" s="6">
        <f t="shared" si="0"/>
        <v>0.58778666490211906</v>
      </c>
      <c r="L19" s="6">
        <f t="shared" si="0"/>
        <v>0.87546873735389985</v>
      </c>
      <c r="M19" s="6">
        <f t="shared" si="0"/>
        <v>0.83290912293510388</v>
      </c>
      <c r="N19" s="6">
        <f t="shared" si="0"/>
        <v>1.0986122886681098</v>
      </c>
      <c r="O19" s="6">
        <f t="shared" si="0"/>
        <v>0.53062825106217038</v>
      </c>
      <c r="P19" s="6">
        <f t="shared" si="0"/>
        <v>0.95551144502743635</v>
      </c>
      <c r="Q19" s="6">
        <f t="shared" si="0"/>
        <v>0.74193734472937733</v>
      </c>
      <c r="R19" s="6">
        <f t="shared" si="0"/>
        <v>0.87546873735389985</v>
      </c>
      <c r="S19" s="6">
        <f t="shared" ref="S19:X19" si="1">LN(S7)</f>
        <v>0.53062825106217038</v>
      </c>
      <c r="T19" s="6">
        <f t="shared" si="1"/>
        <v>0.87546873735389985</v>
      </c>
      <c r="U19" s="6">
        <f t="shared" si="1"/>
        <v>0.99325177301028345</v>
      </c>
      <c r="V19" s="6">
        <f t="shared" si="1"/>
        <v>0.53062825106217038</v>
      </c>
      <c r="W19" s="6">
        <f t="shared" si="1"/>
        <v>0.78845736036427028</v>
      </c>
      <c r="X19" s="6">
        <f t="shared" si="1"/>
        <v>0.79299251552966143</v>
      </c>
      <c r="Y19" s="6">
        <f t="shared" ref="Y19" si="2">LN(Y7)</f>
        <v>0.62057648772510998</v>
      </c>
    </row>
    <row r="20" spans="1:25">
      <c r="A20" s="41"/>
      <c r="B20" s="6">
        <f>60-(14.41*B19)</f>
        <v>53.003832374585691</v>
      </c>
      <c r="C20" s="6">
        <f t="shared" ref="C20:R20" si="3">60-(14.41*C19)</f>
        <v>48.836181515570374</v>
      </c>
      <c r="D20" s="6">
        <f t="shared" si="3"/>
        <v>49.308682862449672</v>
      </c>
      <c r="E20" s="6">
        <f t="shared" si="3"/>
        <v>44.958783608185414</v>
      </c>
      <c r="F20" s="6">
        <f t="shared" si="3"/>
        <v>51.610272917923112</v>
      </c>
      <c r="G20" s="6">
        <f t="shared" si="3"/>
        <v>49.036788003623514</v>
      </c>
      <c r="H20" s="6">
        <f t="shared" si="3"/>
        <v>46.724380080519353</v>
      </c>
      <c r="I20" s="6">
        <f t="shared" si="3"/>
        <v>52.353646902194129</v>
      </c>
      <c r="J20" s="6">
        <f t="shared" si="3"/>
        <v>51.529994158760466</v>
      </c>
      <c r="K20" s="6">
        <f t="shared" si="3"/>
        <v>51.529994158760466</v>
      </c>
      <c r="L20" s="6">
        <f t="shared" si="3"/>
        <v>47.384495494730302</v>
      </c>
      <c r="M20" s="6">
        <f t="shared" si="3"/>
        <v>47.997779538505156</v>
      </c>
      <c r="N20" s="6">
        <f t="shared" si="3"/>
        <v>44.168996920292535</v>
      </c>
      <c r="O20" s="6">
        <f t="shared" si="3"/>
        <v>52.353646902194129</v>
      </c>
      <c r="P20" s="6">
        <f t="shared" si="3"/>
        <v>46.231080077154644</v>
      </c>
      <c r="Q20" s="6">
        <f t="shared" si="3"/>
        <v>49.308682862449672</v>
      </c>
      <c r="R20" s="6">
        <f t="shared" si="3"/>
        <v>47.384495494730302</v>
      </c>
      <c r="S20" s="6">
        <f t="shared" ref="S20:X20" si="4">60-(14.41*S19)</f>
        <v>52.353646902194129</v>
      </c>
      <c r="T20" s="6">
        <f t="shared" si="4"/>
        <v>47.384495494730302</v>
      </c>
      <c r="U20" s="6">
        <f t="shared" si="4"/>
        <v>45.687241950921816</v>
      </c>
      <c r="V20" s="6">
        <f t="shared" si="4"/>
        <v>52.353646902194129</v>
      </c>
      <c r="W20" s="6">
        <f t="shared" si="4"/>
        <v>48.638329437150865</v>
      </c>
      <c r="X20" s="6">
        <f t="shared" si="4"/>
        <v>48.57297785121758</v>
      </c>
      <c r="Y20" s="6">
        <f t="shared" ref="Y20" si="5">60-(14.41*Y19)</f>
        <v>51.057492811881161</v>
      </c>
    </row>
    <row r="21" spans="1:25">
      <c r="A21" s="41"/>
      <c r="B21" s="6"/>
      <c r="C21" s="6"/>
      <c r="D21" s="6"/>
      <c r="E21" s="6"/>
      <c r="F21" s="6"/>
      <c r="G21" s="6"/>
      <c r="H21" s="6"/>
      <c r="I21" s="6"/>
      <c r="J21" s="6"/>
      <c r="K21" s="6"/>
      <c r="L21" s="6"/>
      <c r="M21" s="6"/>
      <c r="N21" s="6"/>
    </row>
    <row r="22" spans="1:25">
      <c r="A22" s="41" t="s">
        <v>35</v>
      </c>
      <c r="B22" s="6">
        <f>LN(B5)</f>
        <v>2.0110862220155639</v>
      </c>
      <c r="C22" s="6">
        <f t="shared" ref="C22:R22" si="6">LN(C5)</f>
        <v>3.0549441331858369</v>
      </c>
      <c r="D22" s="6">
        <f t="shared" si="6"/>
        <v>2.9449651565003379</v>
      </c>
      <c r="E22" s="6">
        <f t="shared" si="6"/>
        <v>2.1860512767380942</v>
      </c>
      <c r="F22" s="6">
        <f t="shared" si="6"/>
        <v>3.0170044088295307</v>
      </c>
      <c r="G22" s="6">
        <f t="shared" si="6"/>
        <v>1.6272778305624314</v>
      </c>
      <c r="H22" s="6">
        <f t="shared" si="6"/>
        <v>2.8390784635086144</v>
      </c>
      <c r="I22" s="6">
        <f t="shared" si="6"/>
        <v>2.1041341542702074</v>
      </c>
      <c r="J22" s="6">
        <f t="shared" si="6"/>
        <v>1.4586150226995167</v>
      </c>
      <c r="K22" s="6">
        <f t="shared" si="6"/>
        <v>1.7578579175523736</v>
      </c>
      <c r="L22" s="6">
        <f t="shared" si="6"/>
        <v>2.6461747973841225</v>
      </c>
      <c r="M22" s="6">
        <f t="shared" si="6"/>
        <v>3.202746442938317</v>
      </c>
      <c r="N22" s="6">
        <f t="shared" si="6"/>
        <v>2.7343675094195836</v>
      </c>
      <c r="O22" s="6">
        <f t="shared" si="6"/>
        <v>2.6946271807700692</v>
      </c>
      <c r="P22" s="6">
        <f t="shared" si="6"/>
        <v>1.8870696490323797</v>
      </c>
      <c r="Q22" s="6">
        <f t="shared" si="6"/>
        <v>2.7408400239252009</v>
      </c>
      <c r="R22" s="6">
        <f t="shared" si="6"/>
        <v>2.2082744135228043</v>
      </c>
      <c r="S22" s="6">
        <f t="shared" ref="S22:X22" si="7">LN(S5)</f>
        <v>2.2300144001592104</v>
      </c>
      <c r="T22" s="6">
        <f t="shared" si="7"/>
        <v>2.8507065015037334</v>
      </c>
      <c r="U22" s="6">
        <f t="shared" si="7"/>
        <v>2.5257286443082556</v>
      </c>
      <c r="V22" s="6">
        <f t="shared" si="7"/>
        <v>2.3608540011180215</v>
      </c>
      <c r="W22" s="6">
        <f t="shared" si="7"/>
        <v>2.379546134130174</v>
      </c>
      <c r="X22" s="6">
        <f t="shared" si="7"/>
        <v>2.7013612129514133</v>
      </c>
      <c r="Y22" s="6">
        <f t="shared" ref="Y22" si="8">LN(Y5)</f>
        <v>2.6810215287142909</v>
      </c>
    </row>
    <row r="23" spans="1:25">
      <c r="A23" s="41"/>
      <c r="B23" s="6">
        <f>(9.81*B22)+30.6</f>
        <v>50.328755837972679</v>
      </c>
      <c r="C23" s="6">
        <f t="shared" ref="C23:R23" si="9">(9.81*C22)+30.6</f>
        <v>60.569001946553058</v>
      </c>
      <c r="D23" s="6">
        <f t="shared" si="9"/>
        <v>59.490108185268312</v>
      </c>
      <c r="E23" s="6">
        <f t="shared" si="9"/>
        <v>52.045163024800708</v>
      </c>
      <c r="F23" s="6">
        <f t="shared" si="9"/>
        <v>60.196813250617694</v>
      </c>
      <c r="G23" s="6">
        <f t="shared" si="9"/>
        <v>46.563595517817454</v>
      </c>
      <c r="H23" s="6">
        <f t="shared" si="9"/>
        <v>58.451359727019508</v>
      </c>
      <c r="I23" s="6">
        <f t="shared" si="9"/>
        <v>51.241556053390738</v>
      </c>
      <c r="J23" s="6">
        <f t="shared" si="9"/>
        <v>44.90901337268226</v>
      </c>
      <c r="K23" s="6">
        <f t="shared" si="9"/>
        <v>47.844586171188787</v>
      </c>
      <c r="L23" s="6">
        <f t="shared" si="9"/>
        <v>56.558974762338245</v>
      </c>
      <c r="M23" s="6">
        <f t="shared" si="9"/>
        <v>62.018942605224893</v>
      </c>
      <c r="N23" s="6">
        <f t="shared" si="9"/>
        <v>57.424145267406118</v>
      </c>
      <c r="O23" s="6">
        <f t="shared" si="9"/>
        <v>57.034292643354384</v>
      </c>
      <c r="P23" s="6">
        <f t="shared" si="9"/>
        <v>49.112153257007648</v>
      </c>
      <c r="Q23" s="6">
        <f t="shared" si="9"/>
        <v>57.487640634706224</v>
      </c>
      <c r="R23" s="6">
        <f t="shared" si="9"/>
        <v>52.263171996658713</v>
      </c>
      <c r="S23" s="6">
        <f t="shared" ref="S23:X23" si="10">(9.81*S22)+30.6</f>
        <v>52.47644126556186</v>
      </c>
      <c r="T23" s="6">
        <f t="shared" si="10"/>
        <v>58.565430779751622</v>
      </c>
      <c r="U23" s="6">
        <f t="shared" si="10"/>
        <v>55.377398000663987</v>
      </c>
      <c r="V23" s="6">
        <f t="shared" si="10"/>
        <v>53.759977750967792</v>
      </c>
      <c r="W23" s="6">
        <f t="shared" si="10"/>
        <v>53.943347575817015</v>
      </c>
      <c r="X23" s="6">
        <f t="shared" si="10"/>
        <v>57.100353499053369</v>
      </c>
      <c r="Y23" s="6">
        <f t="shared" ref="Y23" si="11">(9.81*Y22)+30.6</f>
        <v>56.900821196687197</v>
      </c>
    </row>
    <row r="24" spans="1:25">
      <c r="A24" s="41"/>
      <c r="B24" s="6"/>
      <c r="C24" s="6"/>
      <c r="D24" s="6"/>
      <c r="E24" s="6"/>
      <c r="F24" s="6"/>
      <c r="G24" s="6"/>
      <c r="H24" s="6"/>
      <c r="I24" s="6"/>
      <c r="J24" s="6"/>
      <c r="K24" s="6"/>
      <c r="L24" s="6"/>
      <c r="M24" s="6"/>
      <c r="N24" s="6"/>
    </row>
    <row r="25" spans="1:25">
      <c r="A25" s="41" t="s">
        <v>36</v>
      </c>
      <c r="B25" s="6">
        <f>LN(B3)</f>
        <v>5.1119877883565437</v>
      </c>
      <c r="C25" s="6">
        <f t="shared" ref="C25:R25" si="12">LN(C3)</f>
        <v>5.2158049449735726</v>
      </c>
      <c r="D25" s="6">
        <f t="shared" si="12"/>
        <v>5.0891999869669187</v>
      </c>
      <c r="E25" s="6">
        <f t="shared" si="12"/>
        <v>5.1234281215713775</v>
      </c>
      <c r="F25" s="6">
        <f t="shared" si="12"/>
        <v>4.4662528868014224</v>
      </c>
      <c r="G25" s="6">
        <f t="shared" si="12"/>
        <v>3.7113745319413072</v>
      </c>
      <c r="H25" s="6">
        <f t="shared" si="12"/>
        <v>3.3823542938606757</v>
      </c>
      <c r="I25" s="6">
        <f t="shared" si="12"/>
        <v>3.629660094453965</v>
      </c>
      <c r="J25" s="6">
        <f t="shared" si="12"/>
        <v>3.6000482404073204</v>
      </c>
      <c r="K25" s="6">
        <f t="shared" si="12"/>
        <v>3.7281001672672178</v>
      </c>
      <c r="L25" s="6">
        <f t="shared" si="12"/>
        <v>4.0943445622221004</v>
      </c>
      <c r="M25" s="6">
        <f t="shared" si="12"/>
        <v>3.9080149840306073</v>
      </c>
      <c r="N25" s="6">
        <f t="shared" si="12"/>
        <v>3.9160150266976834</v>
      </c>
      <c r="O25" s="6">
        <f t="shared" si="12"/>
        <v>3.9019726695746448</v>
      </c>
      <c r="P25" s="6">
        <f t="shared" si="12"/>
        <v>3.4626060097907989</v>
      </c>
      <c r="Q25" s="6">
        <f t="shared" si="12"/>
        <v>3.6686767467964168</v>
      </c>
      <c r="R25" s="6">
        <f t="shared" si="12"/>
        <v>3.1780538303479458</v>
      </c>
      <c r="S25" s="6">
        <f t="shared" ref="S25:X25" si="13">LN(S3)</f>
        <v>3.4242626545931514</v>
      </c>
      <c r="T25" s="6">
        <f t="shared" si="13"/>
        <v>3.9239515762934198</v>
      </c>
      <c r="U25" s="6">
        <f t="shared" si="13"/>
        <v>3.5496173867804286</v>
      </c>
      <c r="V25" s="6">
        <f t="shared" si="13"/>
        <v>3.5145260669691587</v>
      </c>
      <c r="W25" s="6">
        <f t="shared" si="13"/>
        <v>3.708682081410116</v>
      </c>
      <c r="X25" s="6">
        <f t="shared" si="13"/>
        <v>4.1206618705394744</v>
      </c>
      <c r="Y25" s="6">
        <f t="shared" ref="Y25" si="14">LN(Y3)</f>
        <v>4.1835756959500436</v>
      </c>
    </row>
    <row r="26" spans="1:25">
      <c r="A26" s="41"/>
      <c r="B26" s="6">
        <f>+(14.42*B25)+4.15</f>
        <v>77.86486390810137</v>
      </c>
      <c r="C26" s="6">
        <f t="shared" ref="C26:R26" si="15">+(14.42*C25)+4.15</f>
        <v>79.361907306518916</v>
      </c>
      <c r="D26" s="6">
        <f t="shared" si="15"/>
        <v>77.53626381206297</v>
      </c>
      <c r="E26" s="6">
        <f t="shared" si="15"/>
        <v>78.029833513059273</v>
      </c>
      <c r="F26" s="6">
        <f t="shared" si="15"/>
        <v>68.55336662767651</v>
      </c>
      <c r="G26" s="6">
        <f t="shared" si="15"/>
        <v>57.668020750593648</v>
      </c>
      <c r="H26" s="6">
        <f t="shared" si="15"/>
        <v>52.923548917470939</v>
      </c>
      <c r="I26" s="6">
        <f t="shared" si="15"/>
        <v>56.48969856202617</v>
      </c>
      <c r="J26" s="6">
        <f t="shared" si="15"/>
        <v>56.062695626673559</v>
      </c>
      <c r="K26" s="6">
        <f t="shared" si="15"/>
        <v>57.909204411993279</v>
      </c>
      <c r="L26" s="6">
        <f t="shared" si="15"/>
        <v>63.190448587242685</v>
      </c>
      <c r="M26" s="6">
        <f t="shared" si="15"/>
        <v>60.503576069721355</v>
      </c>
      <c r="N26" s="6">
        <f t="shared" si="15"/>
        <v>60.618936684980596</v>
      </c>
      <c r="O26" s="6">
        <f t="shared" si="15"/>
        <v>60.416445895266378</v>
      </c>
      <c r="P26" s="6">
        <f t="shared" si="15"/>
        <v>54.080778661183317</v>
      </c>
      <c r="Q26" s="6">
        <f t="shared" si="15"/>
        <v>57.052318688804327</v>
      </c>
      <c r="R26" s="6">
        <f t="shared" si="15"/>
        <v>49.977536233617379</v>
      </c>
      <c r="S26" s="6">
        <f t="shared" ref="S26:X26" si="16">+(14.42*S25)+4.15</f>
        <v>53.527867479233244</v>
      </c>
      <c r="T26" s="6">
        <f t="shared" si="16"/>
        <v>60.733381730151109</v>
      </c>
      <c r="U26" s="6">
        <f t="shared" si="16"/>
        <v>55.335482717373779</v>
      </c>
      <c r="V26" s="6">
        <f t="shared" si="16"/>
        <v>54.829465885695264</v>
      </c>
      <c r="W26" s="6">
        <f t="shared" si="16"/>
        <v>57.629195613933874</v>
      </c>
      <c r="X26" s="6">
        <f t="shared" si="16"/>
        <v>63.569944173179216</v>
      </c>
      <c r="Y26" s="6">
        <f t="shared" ref="Y26" si="17">+(14.42*Y25)+4.15</f>
        <v>64.477161535599635</v>
      </c>
    </row>
    <row r="27" spans="1:25">
      <c r="A27" s="41"/>
      <c r="B27" s="587">
        <v>1988</v>
      </c>
      <c r="C27" s="587">
        <v>1991</v>
      </c>
      <c r="D27" s="587">
        <v>1992</v>
      </c>
      <c r="E27" s="587">
        <v>1993</v>
      </c>
      <c r="F27" s="587">
        <v>1994</v>
      </c>
      <c r="G27" s="587">
        <v>1995</v>
      </c>
      <c r="H27" s="587">
        <v>1996</v>
      </c>
      <c r="I27" s="587">
        <v>1997</v>
      </c>
      <c r="J27" s="587">
        <v>1998</v>
      </c>
      <c r="K27" s="587">
        <v>1999</v>
      </c>
      <c r="L27" s="587">
        <v>2000</v>
      </c>
      <c r="M27" s="587">
        <v>2001</v>
      </c>
      <c r="N27" s="587">
        <v>2002</v>
      </c>
      <c r="O27" s="587">
        <v>2003</v>
      </c>
      <c r="P27" s="587">
        <v>2004</v>
      </c>
      <c r="Q27" s="587">
        <v>2005</v>
      </c>
      <c r="R27" s="587">
        <v>2006</v>
      </c>
      <c r="S27" s="587">
        <v>2007</v>
      </c>
      <c r="T27" s="587">
        <v>2008</v>
      </c>
      <c r="U27" s="587">
        <v>2009</v>
      </c>
      <c r="V27" s="587">
        <v>2010</v>
      </c>
      <c r="W27" s="587">
        <v>2011</v>
      </c>
      <c r="X27" s="587">
        <v>2012</v>
      </c>
      <c r="Y27" s="845">
        <v>2013</v>
      </c>
    </row>
    <row r="28" spans="1:25">
      <c r="A28" s="6"/>
      <c r="B28" s="6"/>
      <c r="C28" s="6"/>
      <c r="D28" s="6"/>
      <c r="E28" s="6"/>
      <c r="F28" s="6"/>
      <c r="G28" s="6"/>
      <c r="H28" s="6"/>
      <c r="I28" s="6"/>
      <c r="J28" s="6"/>
      <c r="K28" s="6"/>
      <c r="L28" s="6"/>
      <c r="M28" s="6"/>
      <c r="N28" s="6"/>
    </row>
    <row r="29" spans="1:25" ht="13">
      <c r="A29" s="1183" t="s">
        <v>39</v>
      </c>
      <c r="B29" s="1183"/>
      <c r="C29" s="1183"/>
      <c r="D29" s="1183"/>
      <c r="E29" s="1183"/>
      <c r="F29" s="1183"/>
      <c r="G29" s="1183"/>
      <c r="H29" s="1183"/>
      <c r="I29" s="1183"/>
      <c r="J29" s="1183"/>
      <c r="K29" s="1183"/>
      <c r="L29" s="1183"/>
      <c r="M29" s="1183"/>
      <c r="N29" s="1183"/>
    </row>
    <row r="30" spans="1:25">
      <c r="A30" s="41" t="s">
        <v>34</v>
      </c>
      <c r="B30" s="6"/>
      <c r="C30" s="6">
        <f>LN(C16)</f>
        <v>0.70803579305369591</v>
      </c>
      <c r="D30" s="6">
        <f t="shared" ref="D30:R30" si="18">LN(D16)</f>
        <v>0.75141608868392118</v>
      </c>
      <c r="E30" s="6">
        <f t="shared" si="18"/>
        <v>0.80200158547202738</v>
      </c>
      <c r="F30" s="6">
        <f t="shared" si="18"/>
        <v>0.53062825106217038</v>
      </c>
      <c r="G30" s="6">
        <f t="shared" si="18"/>
        <v>0.21511137961694549</v>
      </c>
      <c r="H30" s="6">
        <f t="shared" si="18"/>
        <v>0.9294043710195381</v>
      </c>
      <c r="I30" s="6">
        <f t="shared" si="18"/>
        <v>0.33647223662121289</v>
      </c>
      <c r="J30" s="6">
        <f t="shared" si="18"/>
        <v>0.53062825106217038</v>
      </c>
      <c r="K30" s="6">
        <f t="shared" si="18"/>
        <v>0.58778666490211906</v>
      </c>
      <c r="L30" s="6">
        <f t="shared" si="18"/>
        <v>0.83724752453370221</v>
      </c>
      <c r="M30" s="6">
        <f t="shared" si="18"/>
        <v>0.83290912293510388</v>
      </c>
      <c r="N30" s="6">
        <f t="shared" si="18"/>
        <v>0.99325177301028345</v>
      </c>
      <c r="O30" s="6">
        <f t="shared" si="18"/>
        <v>0.47000362924573563</v>
      </c>
      <c r="P30" s="6">
        <f t="shared" si="18"/>
        <v>0.69314718055994529</v>
      </c>
      <c r="Q30" s="6">
        <f t="shared" si="18"/>
        <v>0.40546510810816438</v>
      </c>
      <c r="R30" s="6">
        <f t="shared" si="18"/>
        <v>0.87546873735389985</v>
      </c>
      <c r="S30" s="6">
        <f t="shared" ref="S30:X30" si="19">LN(S16)</f>
        <v>0.91629073187415511</v>
      </c>
      <c r="T30" s="6">
        <f t="shared" si="19"/>
        <v>0.40546510810816438</v>
      </c>
      <c r="U30" s="6">
        <f t="shared" si="19"/>
        <v>0.58778666490211906</v>
      </c>
      <c r="V30" s="6">
        <f t="shared" si="19"/>
        <v>0.47000362924573563</v>
      </c>
      <c r="W30" s="6">
        <f t="shared" si="19"/>
        <v>0.78845736036427028</v>
      </c>
      <c r="X30" s="6">
        <f t="shared" si="19"/>
        <v>0.35065687161316933</v>
      </c>
      <c r="Y30" s="6">
        <f t="shared" ref="Y30" si="20">LN(Y16)</f>
        <v>0.131028262406404</v>
      </c>
    </row>
    <row r="31" spans="1:25">
      <c r="A31" s="41"/>
      <c r="B31" s="6"/>
      <c r="C31" s="6">
        <f t="shared" ref="C31:R31" si="21">60-(14.41*C30)</f>
        <v>49.797204222096241</v>
      </c>
      <c r="D31" s="6">
        <f t="shared" si="21"/>
        <v>49.172094162064695</v>
      </c>
      <c r="E31" s="6">
        <f t="shared" si="21"/>
        <v>48.443157153348082</v>
      </c>
      <c r="F31" s="6">
        <f t="shared" si="21"/>
        <v>52.353646902194129</v>
      </c>
      <c r="G31" s="6">
        <f t="shared" si="21"/>
        <v>56.900245019719819</v>
      </c>
      <c r="H31" s="6">
        <f t="shared" si="21"/>
        <v>46.607283013608452</v>
      </c>
      <c r="I31" s="6">
        <f t="shared" si="21"/>
        <v>55.151435070288322</v>
      </c>
      <c r="J31" s="6">
        <f t="shared" si="21"/>
        <v>52.353646902194129</v>
      </c>
      <c r="K31" s="6">
        <f t="shared" si="21"/>
        <v>51.529994158760466</v>
      </c>
      <c r="L31" s="6">
        <f t="shared" si="21"/>
        <v>47.935263171469352</v>
      </c>
      <c r="M31" s="6">
        <f t="shared" si="21"/>
        <v>47.997779538505156</v>
      </c>
      <c r="N31" s="6">
        <f t="shared" si="21"/>
        <v>45.687241950921816</v>
      </c>
      <c r="O31" s="6">
        <f t="shared" si="21"/>
        <v>53.227247702568953</v>
      </c>
      <c r="P31" s="6">
        <f t="shared" si="21"/>
        <v>50.011749128131186</v>
      </c>
      <c r="Q31" s="6">
        <f t="shared" si="21"/>
        <v>54.15724779216135</v>
      </c>
      <c r="R31" s="6">
        <f t="shared" si="21"/>
        <v>47.384495494730302</v>
      </c>
      <c r="S31" s="6">
        <f t="shared" ref="S31:X31" si="22">60-(14.41*S30)</f>
        <v>46.796250553693426</v>
      </c>
      <c r="T31" s="6">
        <f t="shared" si="22"/>
        <v>54.15724779216135</v>
      </c>
      <c r="U31" s="6">
        <f t="shared" si="22"/>
        <v>51.529994158760466</v>
      </c>
      <c r="V31" s="6">
        <f t="shared" si="22"/>
        <v>53.227247702568953</v>
      </c>
      <c r="W31" s="6">
        <f t="shared" si="22"/>
        <v>48.638329437150865</v>
      </c>
      <c r="X31" s="6">
        <f t="shared" si="22"/>
        <v>54.947034480054228</v>
      </c>
      <c r="Y31" s="6">
        <f t="shared" ref="Y31" si="23">60-(14.41*Y30)</f>
        <v>58.111882738723722</v>
      </c>
    </row>
    <row r="32" spans="1:25">
      <c r="A32" s="41"/>
      <c r="B32" s="6"/>
      <c r="C32" s="6"/>
      <c r="D32" s="6"/>
      <c r="E32" s="6"/>
      <c r="F32" s="6"/>
      <c r="G32" s="6"/>
      <c r="H32" s="6"/>
      <c r="I32" s="6"/>
      <c r="J32" s="6"/>
      <c r="K32" s="6"/>
      <c r="L32" s="6"/>
      <c r="M32" s="6"/>
      <c r="N32" s="6"/>
    </row>
    <row r="33" spans="1:26">
      <c r="A33" s="41" t="s">
        <v>35</v>
      </c>
      <c r="B33" s="6"/>
      <c r="C33" s="6">
        <f>LN(C14)</f>
        <v>1.3837912309017721</v>
      </c>
      <c r="D33" s="6">
        <f t="shared" ref="D33:R33" si="24">LN(D14)</f>
        <v>2.4664031782234406</v>
      </c>
      <c r="E33" s="6">
        <f t="shared" si="24"/>
        <v>2.6672282065819548</v>
      </c>
      <c r="F33" s="6">
        <f t="shared" si="24"/>
        <v>3.2733640101522705</v>
      </c>
      <c r="G33" s="6">
        <f t="shared" si="24"/>
        <v>2.3942522815198695</v>
      </c>
      <c r="H33" s="6">
        <f t="shared" si="24"/>
        <v>3.1701056604987712</v>
      </c>
      <c r="I33" s="6">
        <f t="shared" si="24"/>
        <v>1.791759469228055</v>
      </c>
      <c r="J33" s="6">
        <f t="shared" si="24"/>
        <v>0.99325177301028345</v>
      </c>
      <c r="K33" s="6">
        <f t="shared" si="24"/>
        <v>1.1314021114911006</v>
      </c>
      <c r="L33" s="6">
        <f t="shared" si="24"/>
        <v>2.6810215287142909</v>
      </c>
      <c r="M33" s="6">
        <f t="shared" si="24"/>
        <v>3.1570004211501135</v>
      </c>
      <c r="N33" s="6">
        <f t="shared" si="24"/>
        <v>3.0106208860477417</v>
      </c>
      <c r="O33" s="6">
        <f t="shared" si="24"/>
        <v>2.917770732084279</v>
      </c>
      <c r="P33" s="6">
        <f t="shared" si="24"/>
        <v>2.1400661634962708</v>
      </c>
      <c r="Q33" s="6">
        <f t="shared" si="24"/>
        <v>2.7343675094195836</v>
      </c>
      <c r="R33" s="6">
        <f t="shared" si="24"/>
        <v>2.5802168295923251</v>
      </c>
      <c r="S33" s="6">
        <f t="shared" ref="S33:X33" si="25">LN(S14)</f>
        <v>1.8718021769015913</v>
      </c>
      <c r="T33" s="6">
        <f t="shared" si="25"/>
        <v>3.2503744919275719</v>
      </c>
      <c r="U33" s="6">
        <f t="shared" si="25"/>
        <v>3.1484533605716547</v>
      </c>
      <c r="V33" s="6">
        <f t="shared" si="25"/>
        <v>2.7212954278522306</v>
      </c>
      <c r="W33" s="6">
        <f t="shared" si="25"/>
        <v>2.1972245773362196</v>
      </c>
      <c r="X33" s="6">
        <f t="shared" si="25"/>
        <v>3.2228678461377385</v>
      </c>
      <c r="Y33" s="6">
        <f t="shared" ref="Y33" si="26">LN(Y14)</f>
        <v>3.2733640101522705</v>
      </c>
    </row>
    <row r="34" spans="1:26">
      <c r="A34" s="41"/>
      <c r="B34" s="6"/>
      <c r="C34" s="6">
        <f t="shared" ref="C34:R34" si="27">(9.81*C33)+30.6</f>
        <v>44.174991975146384</v>
      </c>
      <c r="D34" s="6">
        <f t="shared" si="27"/>
        <v>54.795415178371954</v>
      </c>
      <c r="E34" s="6">
        <f t="shared" si="27"/>
        <v>56.76550870656898</v>
      </c>
      <c r="F34" s="6">
        <f t="shared" si="27"/>
        <v>62.711700939593776</v>
      </c>
      <c r="G34" s="6">
        <f t="shared" si="27"/>
        <v>54.087614881709925</v>
      </c>
      <c r="H34" s="6">
        <f t="shared" si="27"/>
        <v>61.698736529492948</v>
      </c>
      <c r="I34" s="6">
        <f t="shared" si="27"/>
        <v>48.177160393127224</v>
      </c>
      <c r="J34" s="6">
        <f t="shared" si="27"/>
        <v>40.34379989323088</v>
      </c>
      <c r="K34" s="6">
        <f t="shared" si="27"/>
        <v>41.699054713727698</v>
      </c>
      <c r="L34" s="6">
        <f t="shared" si="27"/>
        <v>56.900821196687197</v>
      </c>
      <c r="M34" s="6">
        <f t="shared" si="27"/>
        <v>61.570174131482617</v>
      </c>
      <c r="N34" s="6">
        <f t="shared" si="27"/>
        <v>60.134190892128345</v>
      </c>
      <c r="O34" s="6">
        <f t="shared" si="27"/>
        <v>59.223330881746776</v>
      </c>
      <c r="P34" s="6">
        <f t="shared" si="27"/>
        <v>51.594049063898417</v>
      </c>
      <c r="Q34" s="6">
        <f t="shared" si="27"/>
        <v>57.424145267406118</v>
      </c>
      <c r="R34" s="6">
        <f t="shared" si="27"/>
        <v>55.911927098300708</v>
      </c>
      <c r="S34" s="6">
        <f t="shared" ref="S34:X34" si="28">(9.81*S33)+30.6</f>
        <v>48.962379355404615</v>
      </c>
      <c r="T34" s="6">
        <f t="shared" si="28"/>
        <v>62.486173765809482</v>
      </c>
      <c r="U34" s="6">
        <f t="shared" si="28"/>
        <v>61.486327467207936</v>
      </c>
      <c r="V34" s="6">
        <f t="shared" si="28"/>
        <v>57.295908147230385</v>
      </c>
      <c r="W34" s="6">
        <f t="shared" si="28"/>
        <v>52.154773103668319</v>
      </c>
      <c r="X34" s="6">
        <f t="shared" si="28"/>
        <v>62.216333570611212</v>
      </c>
      <c r="Y34" s="6">
        <f t="shared" ref="Y34" si="29">(9.81*Y33)+30.6</f>
        <v>62.711700939593776</v>
      </c>
    </row>
    <row r="35" spans="1:26">
      <c r="A35" s="41"/>
      <c r="B35" s="6"/>
      <c r="C35" s="6"/>
      <c r="D35" s="6"/>
      <c r="E35" s="6"/>
      <c r="F35" s="6"/>
      <c r="G35" s="6"/>
      <c r="H35" s="6"/>
      <c r="I35" s="6"/>
      <c r="J35" s="6"/>
      <c r="K35" s="6"/>
      <c r="L35" s="6"/>
      <c r="M35" s="6"/>
      <c r="N35" s="6"/>
    </row>
    <row r="36" spans="1:26">
      <c r="A36" s="41" t="s">
        <v>36</v>
      </c>
      <c r="B36" s="6"/>
      <c r="C36" s="6">
        <f>LN(C12)</f>
        <v>5.2566095631482463</v>
      </c>
      <c r="D36" s="6">
        <f t="shared" ref="D36:P36" si="30">LN(D12)</f>
        <v>5.2021368080740675</v>
      </c>
      <c r="E36" s="6">
        <f t="shared" si="30"/>
        <v>5.3322355847514977</v>
      </c>
      <c r="F36" s="6">
        <f t="shared" si="30"/>
        <v>4.5247190615904644</v>
      </c>
      <c r="G36" s="6">
        <f t="shared" si="30"/>
        <v>4.0673158898341812</v>
      </c>
      <c r="H36" s="6">
        <f t="shared" si="30"/>
        <v>3.4307561839036995</v>
      </c>
      <c r="I36" s="6">
        <f t="shared" si="30"/>
        <v>3.6635616461296463</v>
      </c>
      <c r="J36" s="6">
        <f t="shared" si="30"/>
        <v>3.5553480614894135</v>
      </c>
      <c r="K36" s="6">
        <f t="shared" si="30"/>
        <v>3.8372994592322094</v>
      </c>
      <c r="L36" s="6">
        <f t="shared" si="30"/>
        <v>3.7471483622379123</v>
      </c>
      <c r="M36" s="6">
        <f t="shared" si="30"/>
        <v>4.1303549997451334</v>
      </c>
      <c r="N36" s="6">
        <f t="shared" si="30"/>
        <v>3.9318256327243257</v>
      </c>
      <c r="O36" s="6">
        <f t="shared" si="30"/>
        <v>4.133565275375382</v>
      </c>
      <c r="P36" s="6">
        <f t="shared" si="30"/>
        <v>3.6963514689526371</v>
      </c>
      <c r="Q36" s="6">
        <f t="shared" ref="Q36:W36" si="31">LN(Q12)</f>
        <v>3.824284091120139</v>
      </c>
      <c r="R36" s="6">
        <f t="shared" si="31"/>
        <v>3.2386784521643803</v>
      </c>
      <c r="S36" s="6">
        <f t="shared" si="31"/>
        <v>3.3534067178258069</v>
      </c>
      <c r="T36" s="6">
        <f t="shared" si="31"/>
        <v>4.1174098351530963</v>
      </c>
      <c r="U36" s="6">
        <f t="shared" si="31"/>
        <v>3.8938590348004749</v>
      </c>
      <c r="V36" s="6">
        <f t="shared" si="31"/>
        <v>3.6584202466292277</v>
      </c>
      <c r="W36" s="6">
        <f t="shared" si="31"/>
        <v>4.01096295328305</v>
      </c>
      <c r="X36" s="6">
        <f>LN(X12)</f>
        <v>4.5767707114663931</v>
      </c>
      <c r="Y36" s="6">
        <f>LN(Y12)</f>
        <v>4.715816706075155</v>
      </c>
    </row>
    <row r="37" spans="1:26">
      <c r="A37" s="41"/>
      <c r="B37" s="6"/>
      <c r="C37" s="6">
        <f t="shared" ref="C37:R37" si="32">+(14.42*C36)+4.15</f>
        <v>79.950309900597716</v>
      </c>
      <c r="D37" s="6">
        <f t="shared" si="32"/>
        <v>79.164812772428064</v>
      </c>
      <c r="E37" s="6">
        <f t="shared" si="32"/>
        <v>81.040837132116607</v>
      </c>
      <c r="F37" s="6">
        <f t="shared" si="32"/>
        <v>69.396448868134499</v>
      </c>
      <c r="G37" s="6">
        <f t="shared" si="32"/>
        <v>62.800695131408894</v>
      </c>
      <c r="H37" s="6">
        <f t="shared" si="32"/>
        <v>53.621504171891345</v>
      </c>
      <c r="I37" s="6">
        <f t="shared" si="32"/>
        <v>56.978558937189497</v>
      </c>
      <c r="J37" s="6">
        <f t="shared" si="32"/>
        <v>55.41811904667734</v>
      </c>
      <c r="K37" s="6">
        <f t="shared" si="32"/>
        <v>59.483858202128459</v>
      </c>
      <c r="L37" s="6">
        <f t="shared" si="32"/>
        <v>58.183879383470696</v>
      </c>
      <c r="M37" s="6">
        <f t="shared" si="32"/>
        <v>63.709719096324825</v>
      </c>
      <c r="N37" s="6">
        <f t="shared" si="32"/>
        <v>60.846925623884772</v>
      </c>
      <c r="O37" s="6">
        <f t="shared" si="32"/>
        <v>63.756011270913007</v>
      </c>
      <c r="P37" s="6">
        <f t="shared" si="32"/>
        <v>57.451388182297023</v>
      </c>
      <c r="Q37" s="6">
        <f t="shared" si="32"/>
        <v>59.296176593952403</v>
      </c>
      <c r="R37" s="6">
        <f t="shared" si="32"/>
        <v>50.851743280210364</v>
      </c>
      <c r="S37" s="6">
        <f t="shared" ref="S37:X37" si="33">+(14.42*S36)+4.15</f>
        <v>52.506124871048137</v>
      </c>
      <c r="T37" s="6">
        <f t="shared" si="33"/>
        <v>63.523049822907645</v>
      </c>
      <c r="U37" s="6">
        <f t="shared" si="33"/>
        <v>60.299447281822843</v>
      </c>
      <c r="V37" s="6">
        <f t="shared" si="33"/>
        <v>56.904419956393461</v>
      </c>
      <c r="W37" s="6">
        <f t="shared" si="33"/>
        <v>61.988085786341578</v>
      </c>
      <c r="X37" s="6">
        <f t="shared" si="33"/>
        <v>70.147033659345396</v>
      </c>
      <c r="Y37" s="6">
        <f t="shared" ref="Y37" si="34">+(14.42*Y36)+4.15</f>
        <v>72.152076901603735</v>
      </c>
    </row>
    <row r="38" spans="1:26">
      <c r="A38" s="39"/>
      <c r="B38" s="39"/>
      <c r="C38" s="587">
        <v>1991</v>
      </c>
      <c r="D38" s="587">
        <v>1992</v>
      </c>
      <c r="E38" s="587">
        <v>1993</v>
      </c>
      <c r="F38" s="587">
        <v>1994</v>
      </c>
      <c r="G38" s="587">
        <v>1995</v>
      </c>
      <c r="H38" s="587">
        <v>1996</v>
      </c>
      <c r="I38" s="587">
        <v>1997</v>
      </c>
      <c r="J38" s="587">
        <v>1998</v>
      </c>
      <c r="K38" s="587">
        <v>1999</v>
      </c>
      <c r="L38" s="587">
        <v>2000</v>
      </c>
      <c r="M38" s="587">
        <v>2001</v>
      </c>
      <c r="N38" s="587">
        <v>2002</v>
      </c>
      <c r="O38" s="587">
        <v>2003</v>
      </c>
      <c r="P38" s="587">
        <v>2004</v>
      </c>
      <c r="Q38" s="587">
        <v>2005</v>
      </c>
      <c r="R38" s="587">
        <v>2006</v>
      </c>
      <c r="S38" s="587">
        <v>2007</v>
      </c>
      <c r="T38" s="587">
        <v>2008</v>
      </c>
      <c r="U38" s="587">
        <v>2009</v>
      </c>
      <c r="V38" s="587">
        <v>2010</v>
      </c>
      <c r="W38" s="587">
        <v>2011</v>
      </c>
      <c r="X38" s="587">
        <v>2012</v>
      </c>
      <c r="Y38" s="845">
        <v>2013</v>
      </c>
    </row>
    <row r="42" spans="1:26" ht="15.5">
      <c r="Z42" s="42" t="s">
        <v>112</v>
      </c>
    </row>
    <row r="43" spans="1:26" ht="15.5">
      <c r="Z43" s="42" t="s">
        <v>68</v>
      </c>
    </row>
    <row r="44" spans="1:26" ht="15.5">
      <c r="Z44" s="42" t="s">
        <v>110</v>
      </c>
    </row>
    <row r="60" spans="1:2">
      <c r="A60" s="63" t="s">
        <v>145</v>
      </c>
      <c r="B60" s="63" t="s">
        <v>146</v>
      </c>
    </row>
    <row r="61" spans="1:2">
      <c r="A61" s="63" t="s">
        <v>57</v>
      </c>
      <c r="B61" s="63" t="s">
        <v>147</v>
      </c>
    </row>
    <row r="62" spans="1:2">
      <c r="A62" s="63" t="s">
        <v>99</v>
      </c>
      <c r="B62" s="63" t="s">
        <v>100</v>
      </c>
    </row>
    <row r="63" spans="1:2">
      <c r="A63" s="63" t="s">
        <v>59</v>
      </c>
      <c r="B63" s="63" t="s">
        <v>60</v>
      </c>
    </row>
    <row r="64" spans="1:2">
      <c r="A64" s="63" t="s">
        <v>97</v>
      </c>
      <c r="B64" s="63" t="s">
        <v>98</v>
      </c>
    </row>
    <row r="65" spans="1:2">
      <c r="A65" s="63" t="s">
        <v>148</v>
      </c>
      <c r="B65" s="63" t="s">
        <v>85</v>
      </c>
    </row>
  </sheetData>
  <mergeCells count="4">
    <mergeCell ref="A1:N1"/>
    <mergeCell ref="A10:N10"/>
    <mergeCell ref="A18:N18"/>
    <mergeCell ref="A29:N29"/>
  </mergeCells>
  <phoneticPr fontId="7" type="noConversion"/>
  <pageMargins left="0.75" right="0.75" top="1" bottom="1" header="0.5" footer="0.5"/>
  <pageSetup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AY90"/>
  <sheetViews>
    <sheetView topLeftCell="R25" workbookViewId="0">
      <selection activeCell="S35" sqref="S35"/>
    </sheetView>
  </sheetViews>
  <sheetFormatPr defaultRowHeight="12.5"/>
  <cols>
    <col min="1" max="1" width="8.36328125" bestFit="1" customWidth="1"/>
    <col min="2" max="2" width="5.54296875" bestFit="1" customWidth="1"/>
    <col min="3" max="5" width="7.08984375" bestFit="1" customWidth="1"/>
    <col min="6" max="6" width="6.6328125" bestFit="1" customWidth="1"/>
    <col min="7" max="7" width="7.08984375" bestFit="1" customWidth="1"/>
    <col min="8" max="9" width="6.08984375" bestFit="1" customWidth="1"/>
    <col min="10" max="11" width="5.6328125" bestFit="1" customWidth="1"/>
    <col min="12" max="12" width="6.08984375" bestFit="1" customWidth="1"/>
    <col min="13" max="14" width="5.6328125" bestFit="1" customWidth="1"/>
    <col min="15" max="26" width="5.54296875" customWidth="1"/>
    <col min="27" max="27" width="4.6328125" customWidth="1"/>
    <col min="28" max="28" width="6.54296875" bestFit="1" customWidth="1"/>
    <col min="29" max="29" width="7.54296875" bestFit="1" customWidth="1"/>
    <col min="30" max="32" width="6.54296875" bestFit="1" customWidth="1"/>
    <col min="33" max="33" width="6.90625" bestFit="1" customWidth="1"/>
    <col min="34" max="38" width="6.54296875" bestFit="1" customWidth="1"/>
    <col min="39" max="39" width="7.08984375" bestFit="1" customWidth="1"/>
    <col min="40" max="40" width="6.54296875" bestFit="1" customWidth="1"/>
    <col min="50" max="51" width="11.54296875" customWidth="1"/>
    <col min="52" max="52" width="25.08984375" bestFit="1" customWidth="1"/>
    <col min="53" max="53" width="24.453125" bestFit="1" customWidth="1"/>
  </cols>
  <sheetData>
    <row r="1" spans="1:51" ht="13">
      <c r="AA1" s="1185" t="s">
        <v>46</v>
      </c>
      <c r="AB1" s="1185"/>
      <c r="AC1" s="1185"/>
      <c r="AD1" s="1185"/>
      <c r="AE1" s="1185"/>
      <c r="AF1" s="1185"/>
      <c r="AG1" s="1185"/>
      <c r="AH1" s="1185"/>
      <c r="AI1" s="1185"/>
      <c r="AJ1" s="1185"/>
      <c r="AK1" s="1185"/>
      <c r="AL1" s="1185"/>
      <c r="AM1" s="1185"/>
      <c r="AN1" s="1185"/>
    </row>
    <row r="2" spans="1:51" ht="13">
      <c r="A2" s="1185" t="s">
        <v>37</v>
      </c>
      <c r="B2" s="1185"/>
      <c r="C2" s="1185"/>
      <c r="D2" s="1185"/>
      <c r="E2" s="1185"/>
      <c r="F2" s="1185"/>
      <c r="G2" s="1185"/>
      <c r="H2" s="1185"/>
      <c r="I2" s="1185"/>
      <c r="J2" s="1185"/>
      <c r="K2" s="1185"/>
      <c r="L2" s="1185"/>
      <c r="M2" s="1185"/>
      <c r="N2" s="1185"/>
      <c r="O2" s="188"/>
      <c r="P2" s="188"/>
      <c r="Q2" s="188"/>
      <c r="R2" s="188"/>
      <c r="S2" s="188"/>
      <c r="T2" s="188"/>
      <c r="U2" s="188"/>
      <c r="V2" s="188"/>
      <c r="W2" s="313"/>
      <c r="X2" s="360"/>
      <c r="Y2" s="829"/>
      <c r="Z2" s="313"/>
      <c r="AA2" s="39"/>
      <c r="AB2" s="587">
        <v>1988</v>
      </c>
      <c r="AC2" s="587">
        <v>1991</v>
      </c>
      <c r="AD2" s="587">
        <v>1992</v>
      </c>
      <c r="AE2" s="587">
        <v>1993</v>
      </c>
      <c r="AF2" s="587">
        <v>1994</v>
      </c>
      <c r="AG2" s="587">
        <v>1995</v>
      </c>
      <c r="AH2" s="587">
        <v>1996</v>
      </c>
      <c r="AI2" s="587">
        <v>1997</v>
      </c>
      <c r="AJ2" s="587">
        <v>1998</v>
      </c>
      <c r="AK2" s="587">
        <v>1999</v>
      </c>
      <c r="AL2" s="587">
        <v>2000</v>
      </c>
      <c r="AM2" s="587">
        <v>2001</v>
      </c>
      <c r="AN2" s="587">
        <v>2002</v>
      </c>
      <c r="AO2" s="587">
        <v>2003</v>
      </c>
      <c r="AP2" s="587">
        <v>2004</v>
      </c>
      <c r="AQ2" s="587">
        <v>2005</v>
      </c>
      <c r="AR2" s="587">
        <v>2006</v>
      </c>
      <c r="AS2" s="587">
        <v>2007</v>
      </c>
      <c r="AT2" s="587">
        <v>2008</v>
      </c>
      <c r="AU2" s="587">
        <v>2009</v>
      </c>
      <c r="AV2" s="587">
        <v>2010</v>
      </c>
      <c r="AW2" s="587">
        <v>2011</v>
      </c>
      <c r="AX2" s="587">
        <v>2012</v>
      </c>
      <c r="AY2" s="845">
        <v>2013</v>
      </c>
    </row>
    <row r="3" spans="1:51" ht="15.5">
      <c r="A3" s="39"/>
      <c r="B3" s="587">
        <v>1988</v>
      </c>
      <c r="C3" s="587">
        <v>1991</v>
      </c>
      <c r="D3" s="587">
        <v>1992</v>
      </c>
      <c r="E3" s="587">
        <v>1993</v>
      </c>
      <c r="F3" s="587">
        <v>1994</v>
      </c>
      <c r="G3" s="587">
        <v>1995</v>
      </c>
      <c r="H3" s="587">
        <v>1996</v>
      </c>
      <c r="I3" s="587">
        <v>1997</v>
      </c>
      <c r="J3" s="587">
        <v>1998</v>
      </c>
      <c r="K3" s="587">
        <v>1999</v>
      </c>
      <c r="L3" s="587">
        <v>2000</v>
      </c>
      <c r="M3" s="587">
        <v>2001</v>
      </c>
      <c r="N3" s="587">
        <v>2002</v>
      </c>
      <c r="O3" s="587">
        <v>2003</v>
      </c>
      <c r="P3" s="587">
        <v>2004</v>
      </c>
      <c r="Q3" s="587">
        <v>2005</v>
      </c>
      <c r="R3" s="587">
        <v>2006</v>
      </c>
      <c r="S3" s="587">
        <v>2007</v>
      </c>
      <c r="T3" s="587">
        <v>2008</v>
      </c>
      <c r="U3" s="587">
        <v>2009</v>
      </c>
      <c r="V3" s="587">
        <v>2010</v>
      </c>
      <c r="W3" s="587">
        <v>2011</v>
      </c>
      <c r="X3" s="587">
        <v>2012</v>
      </c>
      <c r="Y3" s="587">
        <v>2013</v>
      </c>
      <c r="Z3" s="39"/>
      <c r="AA3" s="43" t="s">
        <v>40</v>
      </c>
      <c r="AB3" s="6">
        <f t="shared" ref="AB3:AQ3" si="0">LN(B6)</f>
        <v>2.0110862220155639</v>
      </c>
      <c r="AC3" s="6">
        <f t="shared" si="0"/>
        <v>3.0549441331858369</v>
      </c>
      <c r="AD3" s="6">
        <f t="shared" si="0"/>
        <v>2.9449651565003379</v>
      </c>
      <c r="AE3" s="6">
        <f t="shared" si="0"/>
        <v>2.1860512767380942</v>
      </c>
      <c r="AF3" s="6">
        <f t="shared" si="0"/>
        <v>3.0170044088295307</v>
      </c>
      <c r="AG3" s="6">
        <f t="shared" si="0"/>
        <v>1.6272778305624314</v>
      </c>
      <c r="AH3" s="6">
        <f t="shared" si="0"/>
        <v>2.8390784635086144</v>
      </c>
      <c r="AI3" s="6">
        <f t="shared" si="0"/>
        <v>2.1041341542702074</v>
      </c>
      <c r="AJ3" s="6">
        <f t="shared" si="0"/>
        <v>1.4586150226995167</v>
      </c>
      <c r="AK3" s="6">
        <f t="shared" si="0"/>
        <v>1.7578579175523736</v>
      </c>
      <c r="AL3" s="6">
        <f t="shared" si="0"/>
        <v>2.6461747973841225</v>
      </c>
      <c r="AM3" s="6">
        <f t="shared" si="0"/>
        <v>3.202746442938317</v>
      </c>
      <c r="AN3" s="6">
        <f t="shared" si="0"/>
        <v>2.7343675094195836</v>
      </c>
      <c r="AO3" s="6">
        <f t="shared" si="0"/>
        <v>2.6946271807700692</v>
      </c>
      <c r="AP3" s="6">
        <f t="shared" si="0"/>
        <v>1.8870696490323797</v>
      </c>
      <c r="AQ3" s="6">
        <f t="shared" si="0"/>
        <v>2.7343675094195836</v>
      </c>
      <c r="AR3" s="6">
        <f t="shared" ref="AR3:AY3" si="1">LN(R6)</f>
        <v>2.2082744135228043</v>
      </c>
      <c r="AS3" s="6">
        <f t="shared" si="1"/>
        <v>2.2300144001592104</v>
      </c>
      <c r="AT3" s="6">
        <f t="shared" si="1"/>
        <v>2.8507065015037334</v>
      </c>
      <c r="AU3" s="6">
        <f t="shared" si="1"/>
        <v>2.5257286443082556</v>
      </c>
      <c r="AV3" s="6">
        <f t="shared" si="1"/>
        <v>2.3608540011180215</v>
      </c>
      <c r="AW3" s="6">
        <f t="shared" si="1"/>
        <v>2.379546134130174</v>
      </c>
      <c r="AX3" s="6">
        <f t="shared" si="1"/>
        <v>2.7013612129514133</v>
      </c>
      <c r="AY3" s="6">
        <f t="shared" si="1"/>
        <v>2.6810215287142909</v>
      </c>
    </row>
    <row r="4" spans="1:51" ht="15.5">
      <c r="A4" s="39" t="s">
        <v>29</v>
      </c>
      <c r="B4" s="3">
        <v>166</v>
      </c>
      <c r="C4" s="3">
        <v>184.16</v>
      </c>
      <c r="D4" s="3">
        <v>162.26</v>
      </c>
      <c r="E4" s="3">
        <v>167.91</v>
      </c>
      <c r="F4" s="3">
        <v>87.03</v>
      </c>
      <c r="G4" s="3">
        <v>40.909999999999997</v>
      </c>
      <c r="H4" s="3">
        <v>29.44</v>
      </c>
      <c r="I4" s="3">
        <v>37.700000000000003</v>
      </c>
      <c r="J4" s="3">
        <v>36.5</v>
      </c>
      <c r="K4" s="3">
        <v>41.6</v>
      </c>
      <c r="L4" s="3">
        <v>60</v>
      </c>
      <c r="M4" s="3">
        <v>49.8</v>
      </c>
      <c r="N4" s="3">
        <v>50.2</v>
      </c>
      <c r="O4" s="3">
        <v>49.5</v>
      </c>
      <c r="P4" s="3">
        <v>31.9</v>
      </c>
      <c r="Q4" s="3">
        <v>39.200000000000003</v>
      </c>
      <c r="R4" s="3">
        <v>24</v>
      </c>
      <c r="S4" s="3">
        <v>30.7</v>
      </c>
      <c r="T4" s="3">
        <v>50.6</v>
      </c>
      <c r="U4" s="3">
        <v>34.799999999999997</v>
      </c>
      <c r="V4" s="3">
        <v>33.6</v>
      </c>
      <c r="W4" s="3">
        <v>40.799999999999997</v>
      </c>
      <c r="X4" s="3">
        <v>61.6</v>
      </c>
      <c r="Y4" s="3">
        <v>65.599999999999994</v>
      </c>
      <c r="AA4" s="43"/>
      <c r="AB4" s="6">
        <f>20+(14.42*AB3)</f>
        <v>48.999863321464431</v>
      </c>
      <c r="AC4" s="6">
        <f t="shared" ref="AC4:AQ4" si="2">20+(14.42*AC3)</f>
        <v>64.052294400539765</v>
      </c>
      <c r="AD4" s="6">
        <f t="shared" si="2"/>
        <v>62.466397556734869</v>
      </c>
      <c r="AE4" s="6">
        <f t="shared" si="2"/>
        <v>51.522859410563314</v>
      </c>
      <c r="AF4" s="6">
        <f t="shared" si="2"/>
        <v>63.505203575321829</v>
      </c>
      <c r="AG4" s="6">
        <f t="shared" si="2"/>
        <v>43.46534631671026</v>
      </c>
      <c r="AH4" s="6">
        <f t="shared" si="2"/>
        <v>60.939511443794217</v>
      </c>
      <c r="AI4" s="6">
        <f t="shared" si="2"/>
        <v>50.341614504576391</v>
      </c>
      <c r="AJ4" s="6">
        <f t="shared" si="2"/>
        <v>41.033228627327034</v>
      </c>
      <c r="AK4" s="6">
        <f t="shared" si="2"/>
        <v>45.348311171105223</v>
      </c>
      <c r="AL4" s="6">
        <f t="shared" si="2"/>
        <v>58.15784057827905</v>
      </c>
      <c r="AM4" s="6">
        <f t="shared" si="2"/>
        <v>66.183603707170533</v>
      </c>
      <c r="AN4" s="6">
        <f t="shared" si="2"/>
        <v>59.429579485830395</v>
      </c>
      <c r="AO4" s="6">
        <f t="shared" si="2"/>
        <v>58.856523946704399</v>
      </c>
      <c r="AP4" s="6">
        <f t="shared" si="2"/>
        <v>47.211544339046917</v>
      </c>
      <c r="AQ4" s="6">
        <f t="shared" si="2"/>
        <v>59.429579485830395</v>
      </c>
      <c r="AR4" s="6">
        <f t="shared" ref="AR4:AW4" si="3">20+(14.42*AR3)</f>
        <v>51.843317042998834</v>
      </c>
      <c r="AS4" s="6">
        <f t="shared" si="3"/>
        <v>52.156807650295811</v>
      </c>
      <c r="AT4" s="6">
        <f t="shared" si="3"/>
        <v>61.107187751683838</v>
      </c>
      <c r="AU4" s="6">
        <f t="shared" si="3"/>
        <v>56.421007050925049</v>
      </c>
      <c r="AV4" s="6">
        <f t="shared" si="3"/>
        <v>54.043514696121868</v>
      </c>
      <c r="AW4" s="6">
        <f t="shared" si="3"/>
        <v>54.313055254157106</v>
      </c>
      <c r="AX4" s="6">
        <f>20+(14.42*AX3)</f>
        <v>58.953628690759381</v>
      </c>
      <c r="AY4" s="6">
        <f>20+(14.42*AY3)</f>
        <v>58.660330444060072</v>
      </c>
    </row>
    <row r="5" spans="1:51" ht="15.5">
      <c r="A5" s="39" t="s">
        <v>30</v>
      </c>
      <c r="B5" s="3">
        <v>255.14285714285714</v>
      </c>
      <c r="C5" s="3">
        <v>349.27</v>
      </c>
      <c r="D5" s="3">
        <v>266.27</v>
      </c>
      <c r="E5" s="3">
        <v>442.5</v>
      </c>
      <c r="F5" s="3">
        <v>348.74</v>
      </c>
      <c r="G5" s="3">
        <v>492.7</v>
      </c>
      <c r="H5" s="3">
        <v>577.75</v>
      </c>
      <c r="I5" s="3">
        <v>393</v>
      </c>
      <c r="J5" s="3">
        <v>368</v>
      </c>
      <c r="K5" s="3">
        <v>402</v>
      </c>
      <c r="L5" s="3">
        <v>441</v>
      </c>
      <c r="M5" s="3">
        <v>387</v>
      </c>
      <c r="N5" s="3">
        <v>282</v>
      </c>
      <c r="O5" s="3">
        <v>266</v>
      </c>
      <c r="P5" s="3">
        <v>47</v>
      </c>
      <c r="Q5" s="3">
        <v>207</v>
      </c>
      <c r="R5" s="3">
        <v>153</v>
      </c>
      <c r="S5" s="3">
        <v>229</v>
      </c>
      <c r="T5" s="3">
        <v>232</v>
      </c>
      <c r="U5" s="3">
        <v>267</v>
      </c>
      <c r="V5" s="3">
        <v>254</v>
      </c>
      <c r="W5" s="3">
        <v>172</v>
      </c>
      <c r="X5" s="3">
        <v>134</v>
      </c>
      <c r="Y5" s="3">
        <v>153</v>
      </c>
      <c r="Z5" s="5"/>
      <c r="AA5" s="43"/>
      <c r="AB5" s="6"/>
      <c r="AC5" s="6"/>
      <c r="AD5" s="6"/>
      <c r="AE5" s="6"/>
      <c r="AF5" s="6"/>
      <c r="AG5" s="6"/>
      <c r="AH5" s="6"/>
      <c r="AI5" s="6"/>
      <c r="AJ5" s="6"/>
      <c r="AK5" s="6"/>
      <c r="AL5" s="6"/>
      <c r="AM5" s="6"/>
      <c r="AN5" s="6"/>
    </row>
    <row r="6" spans="1:51" ht="15.5">
      <c r="A6" s="39" t="s">
        <v>31</v>
      </c>
      <c r="B6" s="3">
        <v>7.4714285714285706</v>
      </c>
      <c r="C6" s="3">
        <v>21.22</v>
      </c>
      <c r="D6" s="3">
        <v>19.010000000000002</v>
      </c>
      <c r="E6" s="3">
        <v>8.9</v>
      </c>
      <c r="F6" s="3">
        <v>20.43</v>
      </c>
      <c r="G6" s="3">
        <v>5.09</v>
      </c>
      <c r="H6" s="3">
        <v>17.100000000000001</v>
      </c>
      <c r="I6" s="3">
        <v>8.1999999999999993</v>
      </c>
      <c r="J6" s="3">
        <v>4.3</v>
      </c>
      <c r="K6" s="3">
        <v>5.8</v>
      </c>
      <c r="L6" s="3">
        <v>14.1</v>
      </c>
      <c r="M6" s="3">
        <v>24.6</v>
      </c>
      <c r="N6" s="3">
        <v>15.4</v>
      </c>
      <c r="O6" s="3">
        <v>14.8</v>
      </c>
      <c r="P6" s="3">
        <v>6.6</v>
      </c>
      <c r="Q6" s="3">
        <v>15.4</v>
      </c>
      <c r="R6" s="3">
        <v>9.1</v>
      </c>
      <c r="S6" s="3">
        <v>9.3000000000000007</v>
      </c>
      <c r="T6" s="3">
        <v>17.3</v>
      </c>
      <c r="U6" s="3">
        <v>12.5</v>
      </c>
      <c r="V6" s="3">
        <v>10.6</v>
      </c>
      <c r="W6" s="3">
        <v>10.8</v>
      </c>
      <c r="X6" s="3">
        <v>14.9</v>
      </c>
      <c r="Y6" s="3">
        <v>14.6</v>
      </c>
      <c r="AA6" s="43" t="s">
        <v>41</v>
      </c>
      <c r="AB6" s="6">
        <f>LN(B4)</f>
        <v>5.1119877883565437</v>
      </c>
      <c r="AC6" s="6">
        <f t="shared" ref="AC6:AY6" si="4">LN(C4)</f>
        <v>5.2158049449735726</v>
      </c>
      <c r="AD6" s="6">
        <f t="shared" si="4"/>
        <v>5.0891999869669187</v>
      </c>
      <c r="AE6" s="6">
        <f t="shared" si="4"/>
        <v>5.1234281215713775</v>
      </c>
      <c r="AF6" s="6">
        <f t="shared" si="4"/>
        <v>4.4662528868014224</v>
      </c>
      <c r="AG6" s="6">
        <f t="shared" si="4"/>
        <v>3.7113745319413072</v>
      </c>
      <c r="AH6" s="6">
        <f t="shared" si="4"/>
        <v>3.3823542938606757</v>
      </c>
      <c r="AI6" s="6">
        <f t="shared" si="4"/>
        <v>3.629660094453965</v>
      </c>
      <c r="AJ6" s="6">
        <f t="shared" si="4"/>
        <v>3.597312260588446</v>
      </c>
      <c r="AK6" s="6">
        <f t="shared" si="4"/>
        <v>3.7281001672672178</v>
      </c>
      <c r="AL6" s="6">
        <f t="shared" si="4"/>
        <v>4.0943445622221004</v>
      </c>
      <c r="AM6" s="6">
        <f t="shared" si="4"/>
        <v>3.9080149840306073</v>
      </c>
      <c r="AN6" s="6">
        <f t="shared" si="4"/>
        <v>3.9160150266976834</v>
      </c>
      <c r="AO6" s="6">
        <f t="shared" si="4"/>
        <v>3.9019726695746448</v>
      </c>
      <c r="AP6" s="6">
        <f t="shared" si="4"/>
        <v>3.4626060097907989</v>
      </c>
      <c r="AQ6" s="6">
        <f t="shared" si="4"/>
        <v>3.6686767467964168</v>
      </c>
      <c r="AR6" s="6">
        <f t="shared" si="4"/>
        <v>3.1780538303479458</v>
      </c>
      <c r="AS6" s="6">
        <f t="shared" si="4"/>
        <v>3.4242626545931514</v>
      </c>
      <c r="AT6" s="6">
        <f t="shared" si="4"/>
        <v>3.9239515762934198</v>
      </c>
      <c r="AU6" s="6">
        <f t="shared" si="4"/>
        <v>3.5496173867804286</v>
      </c>
      <c r="AV6" s="6">
        <f t="shared" si="4"/>
        <v>3.5145260669691587</v>
      </c>
      <c r="AW6" s="6">
        <f t="shared" si="4"/>
        <v>3.708682081410116</v>
      </c>
      <c r="AX6" s="6">
        <f t="shared" si="4"/>
        <v>4.1206618705394744</v>
      </c>
      <c r="AY6" s="6">
        <f t="shared" si="4"/>
        <v>4.1835756959500436</v>
      </c>
    </row>
    <row r="7" spans="1:51" ht="15.5">
      <c r="A7" s="39" t="s">
        <v>32</v>
      </c>
      <c r="B7" s="3">
        <v>14</v>
      </c>
      <c r="C7" s="3">
        <v>69.67</v>
      </c>
      <c r="D7" s="3">
        <v>65.67</v>
      </c>
      <c r="E7" s="3">
        <v>32</v>
      </c>
      <c r="F7" s="3">
        <v>69.5</v>
      </c>
      <c r="G7" s="3">
        <v>36.85</v>
      </c>
      <c r="H7" s="3">
        <v>97.3</v>
      </c>
      <c r="I7" s="3">
        <v>31.7</v>
      </c>
      <c r="J7" s="3">
        <v>41.1</v>
      </c>
      <c r="K7" s="3">
        <v>36.700000000000003</v>
      </c>
      <c r="L7" s="3">
        <v>104.9</v>
      </c>
      <c r="M7" s="3">
        <v>69.7</v>
      </c>
      <c r="N7" s="3">
        <v>43.7</v>
      </c>
      <c r="O7" s="3">
        <v>37.700000000000003</v>
      </c>
      <c r="P7" s="3">
        <v>15.2</v>
      </c>
      <c r="Q7" s="3">
        <v>75.5</v>
      </c>
      <c r="R7" s="3">
        <v>28.7</v>
      </c>
      <c r="S7" s="3">
        <v>50.8</v>
      </c>
      <c r="T7" s="3">
        <v>73.900000000000006</v>
      </c>
      <c r="U7" s="3">
        <v>80.400000000000006</v>
      </c>
      <c r="V7" s="3">
        <v>24.1</v>
      </c>
      <c r="W7" s="3">
        <v>17.399999999999999</v>
      </c>
      <c r="X7" s="3">
        <v>52.9</v>
      </c>
      <c r="Y7" s="3">
        <v>54.3</v>
      </c>
      <c r="AA7" s="43"/>
      <c r="AB7" s="6">
        <f>20.02*AB6</f>
        <v>102.341995522898</v>
      </c>
      <c r="AC7" s="6">
        <f t="shared" ref="AC7:AU7" si="5">20.02*AC6</f>
        <v>104.42041499837092</v>
      </c>
      <c r="AD7" s="6">
        <f t="shared" si="5"/>
        <v>101.88578373907771</v>
      </c>
      <c r="AE7" s="6">
        <f t="shared" si="5"/>
        <v>102.57103099385897</v>
      </c>
      <c r="AF7" s="6">
        <f t="shared" si="5"/>
        <v>89.414382793764474</v>
      </c>
      <c r="AG7" s="6">
        <f t="shared" si="5"/>
        <v>74.301718129464973</v>
      </c>
      <c r="AH7" s="6">
        <f t="shared" si="5"/>
        <v>67.714732963090725</v>
      </c>
      <c r="AI7" s="6">
        <f t="shared" si="5"/>
        <v>72.665795090968373</v>
      </c>
      <c r="AJ7" s="6">
        <f t="shared" si="5"/>
        <v>72.018191456980688</v>
      </c>
      <c r="AK7" s="6">
        <f t="shared" si="5"/>
        <v>74.6365653486897</v>
      </c>
      <c r="AL7" s="6">
        <f t="shared" si="5"/>
        <v>81.968778135686449</v>
      </c>
      <c r="AM7" s="6">
        <f t="shared" si="5"/>
        <v>78.23845998029276</v>
      </c>
      <c r="AN7" s="6">
        <f t="shared" si="5"/>
        <v>78.398620834487616</v>
      </c>
      <c r="AO7" s="6">
        <f t="shared" si="5"/>
        <v>78.117492844884381</v>
      </c>
      <c r="AP7" s="6">
        <f t="shared" si="5"/>
        <v>69.321372316011789</v>
      </c>
      <c r="AQ7" s="6">
        <f t="shared" si="5"/>
        <v>73.446908470864258</v>
      </c>
      <c r="AR7" s="6">
        <f t="shared" si="5"/>
        <v>63.624637683565872</v>
      </c>
      <c r="AS7" s="6">
        <f t="shared" si="5"/>
        <v>68.553738344954894</v>
      </c>
      <c r="AT7" s="6">
        <f t="shared" si="5"/>
        <v>78.557510557394266</v>
      </c>
      <c r="AU7" s="6">
        <f t="shared" si="5"/>
        <v>71.063340083344173</v>
      </c>
      <c r="AV7" s="6">
        <f>20.02*AV6</f>
        <v>70.360811860722549</v>
      </c>
      <c r="AW7" s="6">
        <f>20.02*AW6</f>
        <v>74.247815269830525</v>
      </c>
      <c r="AX7" s="6">
        <f>20.02*AX6</f>
        <v>82.495650648200282</v>
      </c>
      <c r="AY7" s="6">
        <f>20.02*AY6</f>
        <v>83.755185432919873</v>
      </c>
    </row>
    <row r="8" spans="1:51" ht="15.5">
      <c r="A8" s="39" t="s">
        <v>27</v>
      </c>
      <c r="B8" s="3">
        <v>1.625</v>
      </c>
      <c r="C8" s="3">
        <v>2.17</v>
      </c>
      <c r="D8" s="3">
        <v>2.1</v>
      </c>
      <c r="E8" s="3">
        <v>2.84</v>
      </c>
      <c r="F8" s="3">
        <v>1.79</v>
      </c>
      <c r="G8" s="3">
        <v>2.14</v>
      </c>
      <c r="H8" s="3">
        <v>2.5125000000000002</v>
      </c>
      <c r="I8" s="3">
        <v>1.7</v>
      </c>
      <c r="J8" s="3">
        <v>1.76</v>
      </c>
      <c r="K8" s="3">
        <v>1.8</v>
      </c>
      <c r="L8" s="3">
        <v>2.4</v>
      </c>
      <c r="M8" s="3">
        <v>2.2999999999999998</v>
      </c>
      <c r="N8" s="3">
        <v>3</v>
      </c>
      <c r="O8" s="3">
        <v>1.7</v>
      </c>
      <c r="P8" s="3">
        <v>2.6</v>
      </c>
      <c r="Q8" s="3">
        <v>2.1</v>
      </c>
      <c r="R8" s="3">
        <v>2.4</v>
      </c>
      <c r="S8" s="3">
        <v>1.7</v>
      </c>
      <c r="T8" s="3">
        <v>2.4</v>
      </c>
      <c r="U8" s="3">
        <v>2.7</v>
      </c>
      <c r="V8" s="3">
        <v>1.7</v>
      </c>
      <c r="W8" s="3">
        <v>2.2000000000000002</v>
      </c>
      <c r="X8" s="3">
        <v>2.21</v>
      </c>
      <c r="Y8" s="3">
        <v>1.86</v>
      </c>
      <c r="AA8" s="43"/>
      <c r="AB8" s="6"/>
      <c r="AC8" s="6"/>
      <c r="AD8" s="6"/>
      <c r="AE8" s="6"/>
      <c r="AF8" s="6"/>
      <c r="AG8" s="6"/>
      <c r="AH8" s="6"/>
      <c r="AI8" s="6"/>
      <c r="AJ8" s="6"/>
      <c r="AK8" s="6"/>
      <c r="AL8" s="6"/>
      <c r="AM8" s="6"/>
      <c r="AN8" s="6"/>
    </row>
    <row r="9" spans="1:51" ht="15.5">
      <c r="AA9" s="43" t="s">
        <v>42</v>
      </c>
      <c r="AB9" s="6">
        <f>LN(1/B8-0.08)</f>
        <v>-0.62476988311520831</v>
      </c>
      <c r="AC9" s="6">
        <f t="shared" ref="AC9:AQ9" si="6">LN(1/C8-0.08)</f>
        <v>-0.96540352872907653</v>
      </c>
      <c r="AD9" s="6">
        <f t="shared" si="6"/>
        <v>-0.92586018289030592</v>
      </c>
      <c r="AE9" s="6">
        <f t="shared" si="6"/>
        <v>-1.3015390482569433</v>
      </c>
      <c r="AF9" s="6">
        <f t="shared" si="6"/>
        <v>-0.7367663797012618</v>
      </c>
      <c r="AG9" s="6">
        <f t="shared" si="6"/>
        <v>-0.94858223651067863</v>
      </c>
      <c r="AH9" s="6">
        <f t="shared" si="6"/>
        <v>-1.1456726066010567</v>
      </c>
      <c r="AI9" s="6">
        <f t="shared" si="6"/>
        <v>-0.67681076124025175</v>
      </c>
      <c r="AJ9" s="6">
        <f t="shared" si="6"/>
        <v>-0.71706736427759721</v>
      </c>
      <c r="AK9" s="6">
        <f t="shared" si="6"/>
        <v>-0.74327156774251391</v>
      </c>
      <c r="AL9" s="6">
        <f t="shared" si="6"/>
        <v>-1.0886619578149417</v>
      </c>
      <c r="AM9" s="6">
        <f t="shared" si="6"/>
        <v>-1.0362500469531339</v>
      </c>
      <c r="AN9" s="6">
        <f t="shared" si="6"/>
        <v>-1.3730491343698701</v>
      </c>
      <c r="AO9" s="6">
        <f t="shared" si="6"/>
        <v>-0.67681076124025175</v>
      </c>
      <c r="AP9" s="6">
        <f t="shared" si="6"/>
        <v>-1.1887053321951477</v>
      </c>
      <c r="AQ9" s="6">
        <f t="shared" si="6"/>
        <v>-0.92586018289030592</v>
      </c>
      <c r="AR9" s="6">
        <f t="shared" ref="AR9:AY9" si="7">LN(1/R8-0.08)</f>
        <v>-1.0886619578149417</v>
      </c>
      <c r="AS9" s="6">
        <f t="shared" si="7"/>
        <v>-0.67681076124025175</v>
      </c>
      <c r="AT9" s="6">
        <f t="shared" si="7"/>
        <v>-1.0886619578149417</v>
      </c>
      <c r="AU9" s="6">
        <f t="shared" si="7"/>
        <v>-1.2365980316420127</v>
      </c>
      <c r="AV9" s="6">
        <f t="shared" si="7"/>
        <v>-0.67681076124025175</v>
      </c>
      <c r="AW9" s="6">
        <f t="shared" si="7"/>
        <v>-0.9820421094369356</v>
      </c>
      <c r="AX9" s="6">
        <f t="shared" si="7"/>
        <v>-0.9875486099919587</v>
      </c>
      <c r="AY9" s="6">
        <f t="shared" si="7"/>
        <v>-0.78168464811986715</v>
      </c>
    </row>
    <row r="10" spans="1:51" ht="15.5">
      <c r="AA10" s="43"/>
      <c r="AB10" s="6">
        <f>75.34+(19.46*AB9)</f>
        <v>63.181978074578048</v>
      </c>
      <c r="AC10" s="6">
        <f t="shared" ref="AC10:AQ10" si="8">75.34+(19.46*AC9)</f>
        <v>56.553247330932173</v>
      </c>
      <c r="AD10" s="6">
        <f t="shared" si="8"/>
        <v>57.322760840954651</v>
      </c>
      <c r="AE10" s="6">
        <f t="shared" si="8"/>
        <v>50.012050120919881</v>
      </c>
      <c r="AF10" s="6">
        <f t="shared" si="8"/>
        <v>61.00252625101345</v>
      </c>
      <c r="AG10" s="6">
        <f t="shared" si="8"/>
        <v>56.880589677502201</v>
      </c>
      <c r="AH10" s="6">
        <f t="shared" si="8"/>
        <v>53.045211075543435</v>
      </c>
      <c r="AI10" s="6">
        <f t="shared" si="8"/>
        <v>62.169262586264708</v>
      </c>
      <c r="AJ10" s="6">
        <f t="shared" si="8"/>
        <v>61.385869091157957</v>
      </c>
      <c r="AK10" s="6">
        <f t="shared" si="8"/>
        <v>60.875935291730684</v>
      </c>
      <c r="AL10" s="6">
        <f t="shared" si="8"/>
        <v>54.154638300921235</v>
      </c>
      <c r="AM10" s="6">
        <f t="shared" si="8"/>
        <v>55.174574086292012</v>
      </c>
      <c r="AN10" s="6">
        <f t="shared" si="8"/>
        <v>48.620463845162334</v>
      </c>
      <c r="AO10" s="6">
        <f t="shared" si="8"/>
        <v>62.169262586264708</v>
      </c>
      <c r="AP10" s="6">
        <f t="shared" si="8"/>
        <v>52.207794235482424</v>
      </c>
      <c r="AQ10" s="6">
        <f t="shared" si="8"/>
        <v>57.322760840954651</v>
      </c>
      <c r="AR10" s="6">
        <f t="shared" ref="AR10:AW10" si="9">75.34+(19.46*AR9)</f>
        <v>54.154638300921235</v>
      </c>
      <c r="AS10" s="6">
        <f t="shared" si="9"/>
        <v>62.169262586264708</v>
      </c>
      <c r="AT10" s="6">
        <f t="shared" si="9"/>
        <v>54.154638300921235</v>
      </c>
      <c r="AU10" s="6">
        <f t="shared" si="9"/>
        <v>51.27580230424644</v>
      </c>
      <c r="AV10" s="6">
        <f t="shared" si="9"/>
        <v>62.169262586264708</v>
      </c>
      <c r="AW10" s="6">
        <f t="shared" si="9"/>
        <v>56.229460550357231</v>
      </c>
      <c r="AX10" s="6">
        <f>75.34+(19.46*AX9)</f>
        <v>56.12230404955649</v>
      </c>
      <c r="AY10" s="6">
        <f>75.34+(19.46*AY9)</f>
        <v>60.128416747587387</v>
      </c>
    </row>
    <row r="11" spans="1:51" ht="15.5">
      <c r="AA11" s="43"/>
      <c r="AB11" s="6"/>
      <c r="AC11" s="6"/>
      <c r="AD11" s="6"/>
      <c r="AE11" s="6"/>
      <c r="AF11" s="6"/>
      <c r="AG11" s="6"/>
      <c r="AH11" s="6"/>
      <c r="AI11" s="6"/>
      <c r="AJ11" s="6"/>
      <c r="AK11" s="6"/>
      <c r="AL11" s="6"/>
      <c r="AM11" s="6"/>
      <c r="AN11" s="6"/>
    </row>
    <row r="12" spans="1:51" ht="15.5">
      <c r="AA12" s="43" t="s">
        <v>43</v>
      </c>
      <c r="AB12" s="6">
        <f>+(AB4+AB7+AB10)/3</f>
        <v>71.50794563964682</v>
      </c>
      <c r="AC12" s="6">
        <f t="shared" ref="AC12:AP12" si="10">+(AC4+AC7+AC10)/3</f>
        <v>75.008652243280963</v>
      </c>
      <c r="AD12" s="6">
        <f t="shared" si="10"/>
        <v>73.891647378922414</v>
      </c>
      <c r="AE12" s="6">
        <f t="shared" si="10"/>
        <v>68.035313508447373</v>
      </c>
      <c r="AF12" s="6">
        <f t="shared" si="10"/>
        <v>71.30737087336658</v>
      </c>
      <c r="AG12" s="6">
        <f t="shared" si="10"/>
        <v>58.215884707892478</v>
      </c>
      <c r="AH12" s="6">
        <f t="shared" si="10"/>
        <v>60.566485160809464</v>
      </c>
      <c r="AI12" s="6">
        <f t="shared" si="10"/>
        <v>61.725557393936491</v>
      </c>
      <c r="AJ12" s="6">
        <f t="shared" si="10"/>
        <v>58.145763058488562</v>
      </c>
      <c r="AK12" s="6">
        <f t="shared" si="10"/>
        <v>60.286937270508531</v>
      </c>
      <c r="AL12" s="6">
        <f t="shared" si="10"/>
        <v>64.760419004962259</v>
      </c>
      <c r="AM12" s="6">
        <f t="shared" si="10"/>
        <v>66.532212591251763</v>
      </c>
      <c r="AN12" s="6">
        <f t="shared" si="10"/>
        <v>62.149554721826782</v>
      </c>
      <c r="AO12" s="6">
        <f t="shared" si="10"/>
        <v>66.381093125951168</v>
      </c>
      <c r="AP12" s="6">
        <f t="shared" si="10"/>
        <v>56.246903630180377</v>
      </c>
      <c r="AQ12" s="6">
        <f t="shared" ref="AQ12:AY12" si="11">+(AQ4+AQ7+AQ10)/3</f>
        <v>63.399749599216442</v>
      </c>
      <c r="AR12" s="6">
        <f t="shared" si="11"/>
        <v>56.540864342495318</v>
      </c>
      <c r="AS12" s="6">
        <f t="shared" si="11"/>
        <v>60.959936193838473</v>
      </c>
      <c r="AT12" s="6">
        <f t="shared" si="11"/>
        <v>64.606445536666456</v>
      </c>
      <c r="AU12" s="6">
        <f t="shared" si="11"/>
        <v>59.58671647950522</v>
      </c>
      <c r="AV12" s="6">
        <f t="shared" si="11"/>
        <v>62.191196381036377</v>
      </c>
      <c r="AW12" s="6">
        <f t="shared" si="11"/>
        <v>61.596777024781623</v>
      </c>
      <c r="AX12" s="6">
        <f t="shared" si="11"/>
        <v>65.85719446283872</v>
      </c>
      <c r="AY12" s="6">
        <f t="shared" si="11"/>
        <v>67.514644208189111</v>
      </c>
    </row>
    <row r="13" spans="1:51">
      <c r="AA13" s="39"/>
      <c r="AB13" s="6" t="s">
        <v>44</v>
      </c>
      <c r="AC13" s="6" t="s">
        <v>44</v>
      </c>
      <c r="AD13" s="6" t="s">
        <v>44</v>
      </c>
      <c r="AE13" s="6" t="s">
        <v>44</v>
      </c>
      <c r="AF13" s="6" t="s">
        <v>44</v>
      </c>
      <c r="AG13" s="6" t="s">
        <v>45</v>
      </c>
      <c r="AH13" s="6" t="s">
        <v>45</v>
      </c>
      <c r="AI13" s="6" t="s">
        <v>45</v>
      </c>
      <c r="AJ13" s="6" t="s">
        <v>45</v>
      </c>
      <c r="AK13" s="6" t="s">
        <v>45</v>
      </c>
      <c r="AL13" s="6" t="s">
        <v>45</v>
      </c>
      <c r="AM13" s="6" t="s">
        <v>45</v>
      </c>
      <c r="AN13" s="6" t="s">
        <v>45</v>
      </c>
    </row>
    <row r="14" spans="1:51">
      <c r="A14" s="10"/>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9"/>
      <c r="AC14" s="9"/>
      <c r="AD14" s="9"/>
      <c r="AE14" s="9"/>
      <c r="AF14" s="9"/>
      <c r="AG14" s="9"/>
      <c r="AH14" s="9"/>
      <c r="AI14" s="9"/>
      <c r="AJ14" s="9"/>
      <c r="AK14" s="9"/>
      <c r="AL14" s="9"/>
      <c r="AM14" s="9"/>
      <c r="AN14" s="6"/>
    </row>
    <row r="15" spans="1:51" ht="13">
      <c r="A15" s="1185" t="s">
        <v>33</v>
      </c>
      <c r="B15" s="1185"/>
      <c r="C15" s="1185"/>
      <c r="D15" s="1185"/>
      <c r="E15" s="1185"/>
      <c r="F15" s="1185"/>
      <c r="G15" s="1185"/>
      <c r="H15" s="1185"/>
      <c r="I15" s="1185"/>
      <c r="J15" s="1185"/>
      <c r="K15" s="1185"/>
      <c r="L15" s="1185"/>
      <c r="M15" s="1185"/>
      <c r="N15" s="1185"/>
      <c r="O15" s="188"/>
      <c r="P15" s="188"/>
      <c r="Q15" s="188"/>
      <c r="R15" s="188"/>
      <c r="S15" s="188"/>
      <c r="T15" s="188"/>
      <c r="U15" s="188"/>
      <c r="V15" s="188"/>
      <c r="W15" s="313"/>
      <c r="X15" s="360"/>
      <c r="Y15" s="829"/>
      <c r="Z15" s="313"/>
      <c r="AA15" s="1185" t="s">
        <v>47</v>
      </c>
      <c r="AB15" s="1185"/>
      <c r="AC15" s="1185"/>
      <c r="AD15" s="1185"/>
      <c r="AE15" s="1185"/>
      <c r="AF15" s="1185"/>
      <c r="AG15" s="1185"/>
      <c r="AH15" s="1185"/>
      <c r="AI15" s="1185"/>
      <c r="AJ15" s="1185"/>
      <c r="AK15" s="1185"/>
      <c r="AL15" s="1185"/>
      <c r="AM15" s="1185"/>
      <c r="AN15" s="1185"/>
    </row>
    <row r="16" spans="1:51">
      <c r="A16" s="39"/>
      <c r="B16" s="39"/>
      <c r="C16" s="587">
        <v>1991</v>
      </c>
      <c r="D16" s="587">
        <v>1992</v>
      </c>
      <c r="E16" s="587">
        <v>1993</v>
      </c>
      <c r="F16" s="587">
        <v>1994</v>
      </c>
      <c r="G16" s="587">
        <v>1995</v>
      </c>
      <c r="H16" s="587">
        <v>1996</v>
      </c>
      <c r="I16" s="587">
        <v>1997</v>
      </c>
      <c r="J16" s="587">
        <v>1998</v>
      </c>
      <c r="K16" s="587">
        <v>1999</v>
      </c>
      <c r="L16" s="587">
        <v>2000</v>
      </c>
      <c r="M16" s="587">
        <v>2001</v>
      </c>
      <c r="N16" s="587">
        <v>2002</v>
      </c>
      <c r="O16" s="587">
        <v>2003</v>
      </c>
      <c r="P16" s="587">
        <v>2004</v>
      </c>
      <c r="Q16" s="587">
        <v>2005</v>
      </c>
      <c r="R16" s="587">
        <v>2006</v>
      </c>
      <c r="S16" s="587">
        <v>2007</v>
      </c>
      <c r="T16" s="587">
        <v>2008</v>
      </c>
      <c r="U16" s="587">
        <v>2009</v>
      </c>
      <c r="V16" s="587">
        <v>2010</v>
      </c>
      <c r="W16" s="587">
        <v>2011</v>
      </c>
      <c r="X16" s="587">
        <v>2012</v>
      </c>
      <c r="Y16" s="587">
        <v>2013</v>
      </c>
      <c r="Z16" s="39"/>
      <c r="AA16" s="39"/>
      <c r="AB16" s="587">
        <v>1988</v>
      </c>
      <c r="AC16" s="587">
        <v>1991</v>
      </c>
      <c r="AD16" s="587">
        <v>1992</v>
      </c>
      <c r="AE16" s="587">
        <v>1993</v>
      </c>
      <c r="AF16" s="587">
        <v>1994</v>
      </c>
      <c r="AG16" s="587">
        <v>1995</v>
      </c>
      <c r="AH16" s="587">
        <v>1996</v>
      </c>
      <c r="AI16" s="587">
        <v>1997</v>
      </c>
      <c r="AJ16" s="587">
        <v>1998</v>
      </c>
      <c r="AK16" s="587">
        <v>1999</v>
      </c>
      <c r="AL16" s="587">
        <v>2000</v>
      </c>
      <c r="AM16" s="587">
        <v>2001</v>
      </c>
      <c r="AN16" s="587">
        <v>2002</v>
      </c>
      <c r="AO16" s="587">
        <v>2003</v>
      </c>
      <c r="AP16" s="587">
        <v>2004</v>
      </c>
      <c r="AQ16" s="587">
        <v>2005</v>
      </c>
      <c r="AR16" s="587">
        <v>2006</v>
      </c>
      <c r="AS16" s="587">
        <v>2007</v>
      </c>
      <c r="AT16" s="587">
        <v>2008</v>
      </c>
      <c r="AU16" s="587">
        <v>2009</v>
      </c>
      <c r="AV16" s="587">
        <v>2010</v>
      </c>
      <c r="AW16" s="587">
        <v>2011</v>
      </c>
      <c r="AX16" s="587">
        <v>2012</v>
      </c>
      <c r="AY16" s="845">
        <v>2013</v>
      </c>
    </row>
    <row r="17" spans="1:51" ht="15.5">
      <c r="A17" s="39" t="s">
        <v>29</v>
      </c>
      <c r="C17" s="3">
        <v>191.83</v>
      </c>
      <c r="D17" s="3">
        <v>181.66</v>
      </c>
      <c r="E17" s="3">
        <v>206.9</v>
      </c>
      <c r="F17" s="3">
        <v>92.27</v>
      </c>
      <c r="G17" s="3">
        <v>58.4</v>
      </c>
      <c r="H17" s="3">
        <v>30.9</v>
      </c>
      <c r="I17" s="3">
        <v>39</v>
      </c>
      <c r="J17" s="3">
        <v>35</v>
      </c>
      <c r="K17" s="3">
        <v>46.4</v>
      </c>
      <c r="L17" s="3">
        <v>42.4</v>
      </c>
      <c r="M17" s="3">
        <v>62.2</v>
      </c>
      <c r="N17" s="3">
        <v>51</v>
      </c>
      <c r="O17" s="3">
        <v>62.4</v>
      </c>
      <c r="P17" s="3">
        <v>40.299999999999997</v>
      </c>
      <c r="Q17" s="3">
        <v>45.8</v>
      </c>
      <c r="R17" s="3">
        <v>25.5</v>
      </c>
      <c r="S17" s="3">
        <v>28.6</v>
      </c>
      <c r="T17" s="3">
        <v>61.4</v>
      </c>
      <c r="U17" s="3">
        <v>49.1</v>
      </c>
      <c r="V17" s="3">
        <v>38.799999999999997</v>
      </c>
      <c r="W17" s="3">
        <v>55.2</v>
      </c>
      <c r="X17" s="3">
        <v>97.2</v>
      </c>
      <c r="Y17" s="3">
        <v>111.7</v>
      </c>
      <c r="Z17" s="6"/>
      <c r="AA17" s="43" t="s">
        <v>40</v>
      </c>
      <c r="AB17" s="6"/>
      <c r="AC17" s="6">
        <f t="shared" ref="AC17:AY17" si="12">LN(C19)</f>
        <v>1.3837912309017721</v>
      </c>
      <c r="AD17" s="6">
        <f t="shared" si="12"/>
        <v>2.4664031782234406</v>
      </c>
      <c r="AE17" s="6">
        <f t="shared" si="12"/>
        <v>2.6672282065819548</v>
      </c>
      <c r="AF17" s="6">
        <f t="shared" si="12"/>
        <v>3.2733640101522705</v>
      </c>
      <c r="AG17" s="6">
        <f t="shared" si="12"/>
        <v>2.3942522815198695</v>
      </c>
      <c r="AH17" s="6">
        <f t="shared" si="12"/>
        <v>3.1701056604987712</v>
      </c>
      <c r="AI17" s="6">
        <f t="shared" si="12"/>
        <v>1.791759469228055</v>
      </c>
      <c r="AJ17" s="6">
        <f t="shared" si="12"/>
        <v>0.9895411936137477</v>
      </c>
      <c r="AK17" s="6">
        <f t="shared" si="12"/>
        <v>1.1314021114911006</v>
      </c>
      <c r="AL17" s="6">
        <f t="shared" si="12"/>
        <v>2.6810215287142909</v>
      </c>
      <c r="AM17" s="6">
        <f t="shared" si="12"/>
        <v>3.1570004211501135</v>
      </c>
      <c r="AN17" s="6">
        <f t="shared" si="12"/>
        <v>3.0106208860477417</v>
      </c>
      <c r="AO17" s="6">
        <f t="shared" si="12"/>
        <v>2.917770732084279</v>
      </c>
      <c r="AP17" s="6">
        <f t="shared" si="12"/>
        <v>2.1400661634962708</v>
      </c>
      <c r="AQ17" s="6">
        <f t="shared" si="12"/>
        <v>2.7408400239252009</v>
      </c>
      <c r="AR17" s="6">
        <f t="shared" si="12"/>
        <v>2.5802168295923251</v>
      </c>
      <c r="AS17" s="6">
        <f t="shared" si="12"/>
        <v>1.8718021769015913</v>
      </c>
      <c r="AT17" s="6">
        <f t="shared" si="12"/>
        <v>3.2503744919275719</v>
      </c>
      <c r="AU17" s="6">
        <f t="shared" si="12"/>
        <v>3.1484533605716547</v>
      </c>
      <c r="AV17" s="6">
        <f t="shared" si="12"/>
        <v>2.7212954278522306</v>
      </c>
      <c r="AW17" s="6">
        <f t="shared" si="12"/>
        <v>2.1972245773362196</v>
      </c>
      <c r="AX17" s="6">
        <f t="shared" si="12"/>
        <v>3.2228678461377385</v>
      </c>
      <c r="AY17" s="6">
        <f t="shared" si="12"/>
        <v>3.2733640101522705</v>
      </c>
    </row>
    <row r="18" spans="1:51" ht="15.5">
      <c r="A18" s="39" t="s">
        <v>30</v>
      </c>
      <c r="C18" s="3">
        <v>234.14</v>
      </c>
      <c r="D18" s="3">
        <v>133.19999999999999</v>
      </c>
      <c r="E18" s="3">
        <v>198.57</v>
      </c>
      <c r="F18" s="3">
        <v>156.69999999999999</v>
      </c>
      <c r="G18" s="3">
        <v>284.52999999999997</v>
      </c>
      <c r="H18" s="3">
        <v>340.4</v>
      </c>
      <c r="I18" s="3">
        <v>302.89999999999998</v>
      </c>
      <c r="J18" s="3">
        <v>228</v>
      </c>
      <c r="K18" s="3">
        <v>201</v>
      </c>
      <c r="L18" s="3">
        <v>347</v>
      </c>
      <c r="M18" s="3">
        <v>208</v>
      </c>
      <c r="N18" s="3">
        <v>171</v>
      </c>
      <c r="O18" s="3">
        <v>121</v>
      </c>
      <c r="P18" s="3">
        <v>175</v>
      </c>
      <c r="Q18" s="3">
        <v>150</v>
      </c>
      <c r="R18" s="3">
        <v>12</v>
      </c>
      <c r="S18" s="3">
        <v>145</v>
      </c>
      <c r="T18" s="3">
        <v>79</v>
      </c>
      <c r="U18" s="3">
        <v>180</v>
      </c>
      <c r="V18" s="3">
        <v>112</v>
      </c>
      <c r="W18" s="3">
        <v>111</v>
      </c>
      <c r="X18" s="3">
        <v>32</v>
      </c>
      <c r="Y18" s="3">
        <v>103</v>
      </c>
      <c r="AA18" s="43"/>
      <c r="AB18" s="6"/>
      <c r="AC18" s="6">
        <f>20+(14.42*AC17)</f>
        <v>39.954269549603552</v>
      </c>
      <c r="AD18" s="6">
        <f t="shared" ref="AD18:AR18" si="13">20+(14.42*AD17)</f>
        <v>55.565533829982016</v>
      </c>
      <c r="AE18" s="6">
        <f t="shared" si="13"/>
        <v>58.461430738911787</v>
      </c>
      <c r="AF18" s="6">
        <f t="shared" si="13"/>
        <v>67.201909026395739</v>
      </c>
      <c r="AG18" s="6">
        <f t="shared" si="13"/>
        <v>54.525117899516516</v>
      </c>
      <c r="AH18" s="6">
        <f t="shared" si="13"/>
        <v>65.712923624392289</v>
      </c>
      <c r="AI18" s="6">
        <f t="shared" si="13"/>
        <v>45.83717154626855</v>
      </c>
      <c r="AJ18" s="6">
        <f t="shared" si="13"/>
        <v>34.269184011910241</v>
      </c>
      <c r="AK18" s="6">
        <f t="shared" si="13"/>
        <v>36.314818447701668</v>
      </c>
      <c r="AL18" s="6">
        <f t="shared" si="13"/>
        <v>58.660330444060072</v>
      </c>
      <c r="AM18" s="6">
        <f t="shared" si="13"/>
        <v>65.523946072984643</v>
      </c>
      <c r="AN18" s="6">
        <f t="shared" si="13"/>
        <v>63.413153176808436</v>
      </c>
      <c r="AO18" s="6">
        <f t="shared" si="13"/>
        <v>62.074253956655305</v>
      </c>
      <c r="AP18" s="6">
        <f t="shared" si="13"/>
        <v>50.859754077616223</v>
      </c>
      <c r="AQ18" s="6">
        <f t="shared" si="13"/>
        <v>59.522913145001397</v>
      </c>
      <c r="AR18" s="6">
        <f t="shared" si="13"/>
        <v>57.206726682721325</v>
      </c>
      <c r="AS18" s="6">
        <f t="shared" ref="AS18:AX18" si="14">20+(14.42*AS17)</f>
        <v>46.991387390920949</v>
      </c>
      <c r="AT18" s="6">
        <f t="shared" si="14"/>
        <v>66.870400173595584</v>
      </c>
      <c r="AU18" s="6">
        <f t="shared" si="14"/>
        <v>65.400697459443251</v>
      </c>
      <c r="AV18" s="6">
        <f t="shared" si="14"/>
        <v>59.241080069629163</v>
      </c>
      <c r="AW18" s="6">
        <f t="shared" si="14"/>
        <v>51.683978405188284</v>
      </c>
      <c r="AX18" s="6">
        <f t="shared" si="14"/>
        <v>66.47375434130619</v>
      </c>
      <c r="AY18" s="6">
        <f t="shared" ref="AY18" si="15">20+(14.42*AY17)</f>
        <v>67.201909026395739</v>
      </c>
    </row>
    <row r="19" spans="1:51" ht="15.5">
      <c r="A19" s="39" t="s">
        <v>31</v>
      </c>
      <c r="C19" s="3">
        <v>3.99</v>
      </c>
      <c r="D19" s="3">
        <v>11.78</v>
      </c>
      <c r="E19" s="3">
        <v>14.4</v>
      </c>
      <c r="F19" s="3">
        <v>26.4</v>
      </c>
      <c r="G19" s="3">
        <v>10.96</v>
      </c>
      <c r="H19" s="3">
        <v>23.81</v>
      </c>
      <c r="I19" s="3">
        <v>6</v>
      </c>
      <c r="J19" s="3">
        <v>2.69</v>
      </c>
      <c r="K19" s="3">
        <v>3.1</v>
      </c>
      <c r="L19" s="3">
        <v>14.6</v>
      </c>
      <c r="M19" s="3">
        <v>23.5</v>
      </c>
      <c r="N19" s="3">
        <v>20.3</v>
      </c>
      <c r="O19" s="3">
        <v>18.5</v>
      </c>
      <c r="P19" s="3">
        <v>8.5</v>
      </c>
      <c r="Q19" s="3">
        <v>15.5</v>
      </c>
      <c r="R19" s="3">
        <v>13.2</v>
      </c>
      <c r="S19" s="3">
        <v>6.5</v>
      </c>
      <c r="T19" s="3">
        <v>25.8</v>
      </c>
      <c r="U19" s="3">
        <v>23.3</v>
      </c>
      <c r="V19" s="3">
        <v>15.2</v>
      </c>
      <c r="W19" s="3">
        <v>9</v>
      </c>
      <c r="X19" s="3">
        <v>25.1</v>
      </c>
      <c r="Y19" s="3">
        <v>26.4</v>
      </c>
      <c r="AA19" s="43"/>
      <c r="AB19" s="6"/>
      <c r="AC19" s="6"/>
      <c r="AD19" s="6"/>
      <c r="AE19" s="6"/>
      <c r="AF19" s="6"/>
      <c r="AG19" s="6"/>
      <c r="AH19" s="6"/>
      <c r="AI19" s="6"/>
      <c r="AJ19" s="6"/>
      <c r="AK19" s="6"/>
      <c r="AL19" s="6"/>
      <c r="AM19" s="6"/>
      <c r="AN19" s="6"/>
    </row>
    <row r="20" spans="1:51" ht="15.5">
      <c r="A20" s="39" t="s">
        <v>32</v>
      </c>
      <c r="C20" s="3">
        <v>6.25</v>
      </c>
      <c r="D20" s="3">
        <v>26.18</v>
      </c>
      <c r="E20" s="3">
        <v>32</v>
      </c>
      <c r="F20" s="3">
        <v>69.5</v>
      </c>
      <c r="G20" s="3">
        <v>36.85</v>
      </c>
      <c r="H20" s="3">
        <v>91.4</v>
      </c>
      <c r="I20" s="3">
        <v>16.399999999999999</v>
      </c>
      <c r="J20" s="3">
        <v>5.8</v>
      </c>
      <c r="K20" s="3">
        <v>7.7</v>
      </c>
      <c r="L20" s="3">
        <v>95.9</v>
      </c>
      <c r="M20" s="3">
        <v>69.7</v>
      </c>
      <c r="N20" s="3">
        <v>43.7</v>
      </c>
      <c r="O20" s="3">
        <v>37.700000000000003</v>
      </c>
      <c r="P20" s="3">
        <v>15.2</v>
      </c>
      <c r="Q20" s="3">
        <v>75.5</v>
      </c>
      <c r="R20" s="3">
        <v>28.7</v>
      </c>
      <c r="S20" s="3">
        <v>20.7</v>
      </c>
      <c r="T20" s="3">
        <v>73.900000000000006</v>
      </c>
      <c r="U20" s="3">
        <v>80.400000000000006</v>
      </c>
      <c r="V20" s="3">
        <v>22.8</v>
      </c>
      <c r="W20" s="3">
        <v>17.399999999999999</v>
      </c>
      <c r="X20" s="3">
        <v>52.9</v>
      </c>
      <c r="Y20" s="3">
        <v>54.3</v>
      </c>
      <c r="AA20" s="43" t="s">
        <v>41</v>
      </c>
      <c r="AB20" s="6"/>
      <c r="AC20" s="6">
        <f>LN(C17)</f>
        <v>5.2566095631482463</v>
      </c>
      <c r="AD20" s="6">
        <f t="shared" ref="AD20:AY20" si="16">LN(D17)</f>
        <v>5.2021368080740675</v>
      </c>
      <c r="AE20" s="6">
        <f t="shared" si="16"/>
        <v>5.3322355847514977</v>
      </c>
      <c r="AF20" s="6">
        <f t="shared" si="16"/>
        <v>4.5247190615904644</v>
      </c>
      <c r="AG20" s="6">
        <f t="shared" si="16"/>
        <v>4.0673158898341812</v>
      </c>
      <c r="AH20" s="6">
        <f t="shared" si="16"/>
        <v>3.4307561839036995</v>
      </c>
      <c r="AI20" s="6">
        <f t="shared" si="16"/>
        <v>3.6635616461296463</v>
      </c>
      <c r="AJ20" s="6">
        <f t="shared" si="16"/>
        <v>3.5553480614894135</v>
      </c>
      <c r="AK20" s="6">
        <f t="shared" si="16"/>
        <v>3.8372994592322094</v>
      </c>
      <c r="AL20" s="6">
        <f t="shared" si="16"/>
        <v>3.7471483622379123</v>
      </c>
      <c r="AM20" s="6">
        <f t="shared" si="16"/>
        <v>4.1303549997451334</v>
      </c>
      <c r="AN20" s="6">
        <f t="shared" si="16"/>
        <v>3.9318256327243257</v>
      </c>
      <c r="AO20" s="6">
        <f t="shared" si="16"/>
        <v>4.133565275375382</v>
      </c>
      <c r="AP20" s="6">
        <f t="shared" si="16"/>
        <v>3.6963514689526371</v>
      </c>
      <c r="AQ20" s="6">
        <f t="shared" si="16"/>
        <v>3.824284091120139</v>
      </c>
      <c r="AR20" s="6">
        <f t="shared" si="16"/>
        <v>3.2386784521643803</v>
      </c>
      <c r="AS20" s="6">
        <f t="shared" si="16"/>
        <v>3.3534067178258069</v>
      </c>
      <c r="AT20" s="6">
        <f t="shared" si="16"/>
        <v>4.1174098351530963</v>
      </c>
      <c r="AU20" s="6">
        <f t="shared" si="16"/>
        <v>3.8938590348004749</v>
      </c>
      <c r="AV20" s="6">
        <f t="shared" si="16"/>
        <v>3.6584202466292277</v>
      </c>
      <c r="AW20" s="6">
        <f t="shared" si="16"/>
        <v>4.01096295328305</v>
      </c>
      <c r="AX20" s="6">
        <f t="shared" si="16"/>
        <v>4.5767707114663931</v>
      </c>
      <c r="AY20" s="6">
        <f t="shared" si="16"/>
        <v>4.715816706075155</v>
      </c>
    </row>
    <row r="21" spans="1:51" ht="15.5">
      <c r="A21" s="39" t="s">
        <v>27</v>
      </c>
      <c r="C21" s="3">
        <v>2.0299999999999998</v>
      </c>
      <c r="D21" s="3">
        <v>2.12</v>
      </c>
      <c r="E21" s="3">
        <v>2.23</v>
      </c>
      <c r="F21" s="3">
        <v>1.7</v>
      </c>
      <c r="G21" s="3">
        <v>1.24</v>
      </c>
      <c r="H21" s="3">
        <v>2.5329999999999999</v>
      </c>
      <c r="I21" s="3">
        <v>1.4</v>
      </c>
      <c r="J21" s="3">
        <v>1.7</v>
      </c>
      <c r="K21" s="3">
        <v>1.8</v>
      </c>
      <c r="L21" s="3">
        <v>2.31</v>
      </c>
      <c r="M21" s="3">
        <v>2.2999999999999998</v>
      </c>
      <c r="N21" s="3">
        <v>2.7</v>
      </c>
      <c r="O21" s="3">
        <v>1.6</v>
      </c>
      <c r="P21" s="3">
        <v>2</v>
      </c>
      <c r="Q21" s="3">
        <v>1.5</v>
      </c>
      <c r="R21" s="3">
        <v>2.4</v>
      </c>
      <c r="S21" s="3">
        <v>2.5</v>
      </c>
      <c r="T21" s="3">
        <v>1.5</v>
      </c>
      <c r="U21" s="3">
        <v>1.8</v>
      </c>
      <c r="V21" s="3">
        <v>1.6</v>
      </c>
      <c r="W21" s="3">
        <v>2.2000000000000002</v>
      </c>
      <c r="X21" s="3">
        <v>1.42</v>
      </c>
      <c r="Y21" s="3">
        <v>1.1399999999999999</v>
      </c>
      <c r="AA21" s="43"/>
      <c r="AB21" s="6"/>
      <c r="AC21" s="6">
        <f>20.02*AC20</f>
        <v>105.23732345422789</v>
      </c>
      <c r="AD21" s="6">
        <f t="shared" ref="AD21:AR21" si="17">20.02*AD20</f>
        <v>104.14677889764283</v>
      </c>
      <c r="AE21" s="6">
        <f t="shared" si="17"/>
        <v>106.75135640672498</v>
      </c>
      <c r="AF21" s="6">
        <f t="shared" si="17"/>
        <v>90.584875613041092</v>
      </c>
      <c r="AG21" s="6">
        <f t="shared" si="17"/>
        <v>81.427664114480308</v>
      </c>
      <c r="AH21" s="6">
        <f t="shared" si="17"/>
        <v>68.683738801752057</v>
      </c>
      <c r="AI21" s="6">
        <f t="shared" si="17"/>
        <v>73.344504155515523</v>
      </c>
      <c r="AJ21" s="6">
        <f t="shared" si="17"/>
        <v>71.178068191018056</v>
      </c>
      <c r="AK21" s="6">
        <f t="shared" si="17"/>
        <v>76.822735173828832</v>
      </c>
      <c r="AL21" s="6">
        <f t="shared" si="17"/>
        <v>75.017910212003002</v>
      </c>
      <c r="AM21" s="6">
        <f t="shared" si="17"/>
        <v>82.689707094897571</v>
      </c>
      <c r="AN21" s="6">
        <f t="shared" si="17"/>
        <v>78.715149167140993</v>
      </c>
      <c r="AO21" s="6">
        <f t="shared" si="17"/>
        <v>82.753976813015143</v>
      </c>
      <c r="AP21" s="6">
        <f t="shared" si="17"/>
        <v>74.00095640843179</v>
      </c>
      <c r="AQ21" s="6">
        <f t="shared" si="17"/>
        <v>76.562167504225187</v>
      </c>
      <c r="AR21" s="6">
        <f t="shared" si="17"/>
        <v>64.838342612330891</v>
      </c>
      <c r="AS21" s="6">
        <f t="shared" ref="AS21:AX21" si="18">20.02*AS20</f>
        <v>67.135202490872658</v>
      </c>
      <c r="AT21" s="6">
        <f t="shared" si="18"/>
        <v>82.430544899764982</v>
      </c>
      <c r="AU21" s="6">
        <f t="shared" si="18"/>
        <v>77.95505787670551</v>
      </c>
      <c r="AV21" s="6">
        <f t="shared" si="18"/>
        <v>73.241573337517138</v>
      </c>
      <c r="AW21" s="6">
        <f t="shared" si="18"/>
        <v>80.299478324726664</v>
      </c>
      <c r="AX21" s="6">
        <f t="shared" si="18"/>
        <v>91.626949643557182</v>
      </c>
      <c r="AY21" s="6">
        <f t="shared" ref="AY21" si="19">20.02*AY20</f>
        <v>94.410650455624605</v>
      </c>
    </row>
    <row r="22" spans="1:51" ht="15.5">
      <c r="AA22" s="43"/>
      <c r="AB22" s="6"/>
      <c r="AC22" s="6"/>
      <c r="AD22" s="6"/>
      <c r="AE22" s="6"/>
      <c r="AF22" s="6"/>
      <c r="AG22" s="6"/>
      <c r="AH22" s="6"/>
      <c r="AI22" s="6"/>
      <c r="AJ22" s="6"/>
      <c r="AK22" s="6"/>
      <c r="AL22" s="6"/>
      <c r="AM22" s="6"/>
      <c r="AN22" s="6"/>
    </row>
    <row r="23" spans="1:51" ht="15.5">
      <c r="AA23" s="43" t="s">
        <v>42</v>
      </c>
      <c r="AB23" s="6"/>
      <c r="AC23" s="6">
        <f>LN(1/C21-0.08)</f>
        <v>-0.88525041247950575</v>
      </c>
      <c r="AD23" s="6">
        <f t="shared" ref="AD23:AR23" si="20">LN(1/D21-0.08)</f>
        <v>-0.93726385525443412</v>
      </c>
      <c r="AE23" s="6">
        <f t="shared" si="20"/>
        <v>-0.998503205839816</v>
      </c>
      <c r="AF23" s="6">
        <f t="shared" si="20"/>
        <v>-0.67681076124025175</v>
      </c>
      <c r="AG23" s="6">
        <f t="shared" si="20"/>
        <v>-0.31958340121365647</v>
      </c>
      <c r="AH23" s="6">
        <f t="shared" si="20"/>
        <v>-1.1558533793424743</v>
      </c>
      <c r="AI23" s="6">
        <f t="shared" si="20"/>
        <v>-0.45525577261117983</v>
      </c>
      <c r="AJ23" s="6">
        <f t="shared" si="20"/>
        <v>-0.67681076124025175</v>
      </c>
      <c r="AK23" s="6">
        <f t="shared" si="20"/>
        <v>-0.74327156774251391</v>
      </c>
      <c r="AL23" s="6">
        <f t="shared" si="20"/>
        <v>-1.0415693216073243</v>
      </c>
      <c r="AM23" s="6">
        <f t="shared" si="20"/>
        <v>-1.0362500469531339</v>
      </c>
      <c r="AN23" s="6">
        <f t="shared" si="20"/>
        <v>-1.2365980316420127</v>
      </c>
      <c r="AO23" s="6">
        <f t="shared" si="20"/>
        <v>-0.60696948431889286</v>
      </c>
      <c r="AP23" s="6">
        <f t="shared" si="20"/>
        <v>-0.86750056770472306</v>
      </c>
      <c r="AQ23" s="6">
        <f t="shared" si="20"/>
        <v>-0.53329847961804933</v>
      </c>
      <c r="AR23" s="6">
        <f t="shared" si="20"/>
        <v>-1.0886619578149417</v>
      </c>
      <c r="AS23" s="6">
        <f t="shared" ref="AS23:AY23" si="21">LN(1/S21-0.08)</f>
        <v>-1.1394342831883648</v>
      </c>
      <c r="AT23" s="6">
        <f t="shared" si="21"/>
        <v>-0.53329847961804933</v>
      </c>
      <c r="AU23" s="6">
        <f t="shared" si="21"/>
        <v>-0.74327156774251391</v>
      </c>
      <c r="AV23" s="6">
        <f t="shared" si="21"/>
        <v>-0.60696948431889286</v>
      </c>
      <c r="AW23" s="6">
        <f t="shared" si="21"/>
        <v>-0.9820421094369356</v>
      </c>
      <c r="AX23" s="6">
        <f t="shared" si="21"/>
        <v>-0.47124383460228692</v>
      </c>
      <c r="AY23" s="6">
        <f t="shared" si="21"/>
        <v>-0.22665849342165412</v>
      </c>
    </row>
    <row r="24" spans="1:51" ht="15.5">
      <c r="AA24" s="43"/>
      <c r="AB24" s="6"/>
      <c r="AC24" s="6">
        <f>75.3+19.46*AC23</f>
        <v>58.073026973148814</v>
      </c>
      <c r="AD24" s="6">
        <f t="shared" ref="AD24:AR24" si="22">75.3+19.46*AD23</f>
        <v>57.060845376748709</v>
      </c>
      <c r="AE24" s="6">
        <f t="shared" si="22"/>
        <v>55.869127614357176</v>
      </c>
      <c r="AF24" s="6">
        <f t="shared" si="22"/>
        <v>62.129262586264701</v>
      </c>
      <c r="AG24" s="6">
        <f t="shared" si="22"/>
        <v>69.080907012382241</v>
      </c>
      <c r="AH24" s="6">
        <f t="shared" si="22"/>
        <v>52.807093237995446</v>
      </c>
      <c r="AI24" s="6">
        <f t="shared" si="22"/>
        <v>66.440722664986438</v>
      </c>
      <c r="AJ24" s="6">
        <f t="shared" si="22"/>
        <v>62.129262586264701</v>
      </c>
      <c r="AK24" s="6">
        <f t="shared" si="22"/>
        <v>60.835935291730678</v>
      </c>
      <c r="AL24" s="6">
        <f t="shared" si="22"/>
        <v>55.031061001521465</v>
      </c>
      <c r="AM24" s="6">
        <f t="shared" si="22"/>
        <v>55.134574086292005</v>
      </c>
      <c r="AN24" s="6">
        <f t="shared" si="22"/>
        <v>51.235802304246434</v>
      </c>
      <c r="AO24" s="6">
        <f t="shared" si="22"/>
        <v>63.488373835154341</v>
      </c>
      <c r="AP24" s="6">
        <f t="shared" si="22"/>
        <v>58.41843895246609</v>
      </c>
      <c r="AQ24" s="6">
        <f t="shared" si="22"/>
        <v>64.922011586632749</v>
      </c>
      <c r="AR24" s="6">
        <f t="shared" si="22"/>
        <v>54.114638300921229</v>
      </c>
      <c r="AS24" s="6">
        <f t="shared" ref="AS24:AX24" si="23">75.3+19.46*AS23</f>
        <v>53.126608849154415</v>
      </c>
      <c r="AT24" s="6">
        <f t="shared" si="23"/>
        <v>64.922011586632749</v>
      </c>
      <c r="AU24" s="6">
        <f t="shared" si="23"/>
        <v>60.835935291730678</v>
      </c>
      <c r="AV24" s="6">
        <f t="shared" si="23"/>
        <v>63.488373835154341</v>
      </c>
      <c r="AW24" s="6">
        <f t="shared" si="23"/>
        <v>56.189460550357225</v>
      </c>
      <c r="AX24" s="6">
        <f t="shared" si="23"/>
        <v>66.129594978639489</v>
      </c>
      <c r="AY24" s="6">
        <f t="shared" ref="AY24" si="24">75.3+19.46*AY23</f>
        <v>70.889225718014615</v>
      </c>
    </row>
    <row r="25" spans="1:51" ht="15.5">
      <c r="AA25" s="43"/>
      <c r="AB25" s="6"/>
      <c r="AC25" s="6"/>
      <c r="AD25" s="6"/>
      <c r="AE25" s="6"/>
      <c r="AF25" s="6"/>
      <c r="AG25" s="6"/>
      <c r="AH25" s="6"/>
      <c r="AI25" s="6"/>
      <c r="AJ25" s="6"/>
      <c r="AK25" s="6"/>
      <c r="AL25" s="6"/>
      <c r="AM25" s="6"/>
      <c r="AN25" s="6"/>
      <c r="AO25" s="6"/>
      <c r="AP25" s="6"/>
      <c r="AQ25" s="6"/>
    </row>
    <row r="26" spans="1:51" ht="15.5">
      <c r="AA26" s="43" t="s">
        <v>131</v>
      </c>
      <c r="AB26" s="6"/>
      <c r="AC26" s="6">
        <f>LN(C18)</f>
        <v>5.4559192270515267</v>
      </c>
      <c r="AD26" s="6">
        <f t="shared" ref="AD26:AY26" si="25">LN(D18)</f>
        <v>4.8918517581062888</v>
      </c>
      <c r="AE26" s="6">
        <f t="shared" si="25"/>
        <v>5.2911416827989415</v>
      </c>
      <c r="AF26" s="6">
        <f t="shared" si="25"/>
        <v>5.054333149361975</v>
      </c>
      <c r="AG26" s="6">
        <f t="shared" si="25"/>
        <v>5.6508386961617774</v>
      </c>
      <c r="AH26" s="6">
        <f t="shared" si="25"/>
        <v>5.8301213966992194</v>
      </c>
      <c r="AI26" s="6">
        <f t="shared" si="25"/>
        <v>5.7134027180331914</v>
      </c>
      <c r="AJ26" s="6">
        <f t="shared" si="25"/>
        <v>5.4293456289544411</v>
      </c>
      <c r="AK26" s="6">
        <f t="shared" si="25"/>
        <v>5.3033049080590757</v>
      </c>
      <c r="AL26" s="6">
        <f t="shared" si="25"/>
        <v>5.8493247799468593</v>
      </c>
      <c r="AM26" s="6">
        <f t="shared" si="25"/>
        <v>5.3375380797013179</v>
      </c>
      <c r="AN26" s="6">
        <f t="shared" si="25"/>
        <v>5.1416635565026603</v>
      </c>
      <c r="AO26" s="6">
        <f t="shared" si="25"/>
        <v>4.7957905455967413</v>
      </c>
      <c r="AP26" s="6">
        <f t="shared" si="25"/>
        <v>5.1647859739235145</v>
      </c>
      <c r="AQ26" s="6">
        <f t="shared" si="25"/>
        <v>5.0106352940962555</v>
      </c>
      <c r="AR26" s="6">
        <f t="shared" si="25"/>
        <v>2.4849066497880004</v>
      </c>
      <c r="AS26" s="6">
        <f t="shared" si="25"/>
        <v>4.9767337424205742</v>
      </c>
      <c r="AT26" s="6">
        <f t="shared" si="25"/>
        <v>4.3694478524670215</v>
      </c>
      <c r="AU26" s="6">
        <f t="shared" si="25"/>
        <v>5.1929568508902104</v>
      </c>
      <c r="AV26" s="6">
        <f t="shared" si="25"/>
        <v>4.7184988712950942</v>
      </c>
      <c r="AW26" s="6">
        <f t="shared" si="25"/>
        <v>4.7095302013123339</v>
      </c>
      <c r="AX26" s="6">
        <f t="shared" si="25"/>
        <v>3.4657359027997265</v>
      </c>
      <c r="AY26" s="6">
        <f t="shared" si="25"/>
        <v>4.6347289882296359</v>
      </c>
    </row>
    <row r="27" spans="1:51" ht="15.5">
      <c r="AA27" s="43"/>
      <c r="AB27" s="6"/>
      <c r="AC27" s="6">
        <f>20.02*AC26</f>
        <v>109.22750292557156</v>
      </c>
      <c r="AD27" s="6">
        <f t="shared" ref="AD27:AR27" si="26">20.02*AD26</f>
        <v>97.934872197287902</v>
      </c>
      <c r="AE27" s="6">
        <f t="shared" si="26"/>
        <v>105.9286564896348</v>
      </c>
      <c r="AF27" s="6">
        <f t="shared" si="26"/>
        <v>101.18774965022673</v>
      </c>
      <c r="AG27" s="6">
        <f t="shared" si="26"/>
        <v>113.12979069715878</v>
      </c>
      <c r="AH27" s="6">
        <f t="shared" si="26"/>
        <v>116.71903036191837</v>
      </c>
      <c r="AI27" s="6">
        <f t="shared" si="26"/>
        <v>114.38232241502449</v>
      </c>
      <c r="AJ27" s="6">
        <f t="shared" si="26"/>
        <v>108.6954994916679</v>
      </c>
      <c r="AK27" s="6">
        <f t="shared" si="26"/>
        <v>106.17216425934269</v>
      </c>
      <c r="AL27" s="6">
        <f t="shared" si="26"/>
        <v>117.10348209453612</v>
      </c>
      <c r="AM27" s="6">
        <f t="shared" si="26"/>
        <v>106.85751235562039</v>
      </c>
      <c r="AN27" s="6">
        <f t="shared" si="26"/>
        <v>102.93610440118326</v>
      </c>
      <c r="AO27" s="6">
        <f t="shared" si="26"/>
        <v>96.01172672284676</v>
      </c>
      <c r="AP27" s="6">
        <f t="shared" si="26"/>
        <v>103.39901519794876</v>
      </c>
      <c r="AQ27" s="6">
        <f t="shared" si="26"/>
        <v>100.31291858780703</v>
      </c>
      <c r="AR27" s="6">
        <f t="shared" si="26"/>
        <v>49.747831128755763</v>
      </c>
      <c r="AS27" s="6">
        <f t="shared" ref="AS27:AX27" si="27">20.02*AS26</f>
        <v>99.634209523259898</v>
      </c>
      <c r="AT27" s="6">
        <f t="shared" si="27"/>
        <v>87.476346006389775</v>
      </c>
      <c r="AU27" s="6">
        <f t="shared" si="27"/>
        <v>103.96299615482201</v>
      </c>
      <c r="AV27" s="6">
        <f t="shared" si="27"/>
        <v>94.464347403327778</v>
      </c>
      <c r="AW27" s="6">
        <f t="shared" si="27"/>
        <v>94.284794630272927</v>
      </c>
      <c r="AX27" s="6">
        <f t="shared" si="27"/>
        <v>69.384032774050524</v>
      </c>
      <c r="AY27" s="6">
        <f t="shared" ref="AY27" si="28">20.02*AY26</f>
        <v>92.787274344357314</v>
      </c>
    </row>
    <row r="28" spans="1:51" ht="15.5">
      <c r="AA28" s="43"/>
      <c r="AB28" s="6"/>
      <c r="AC28" s="6"/>
      <c r="AD28" s="6"/>
      <c r="AE28" s="6"/>
      <c r="AF28" s="6"/>
      <c r="AG28" s="6"/>
      <c r="AH28" s="6"/>
      <c r="AI28" s="6"/>
      <c r="AJ28" s="6"/>
      <c r="AK28" s="6"/>
      <c r="AL28" s="6"/>
      <c r="AM28" s="6"/>
      <c r="AN28" s="6"/>
    </row>
    <row r="29" spans="1:51" ht="15.5">
      <c r="AA29" s="43" t="s">
        <v>43</v>
      </c>
      <c r="AB29" s="6"/>
      <c r="AC29" s="3">
        <f>+(AC18+AC21+AC24)/3</f>
        <v>67.754873325660085</v>
      </c>
      <c r="AD29" s="3">
        <f t="shared" ref="AD29:AP29" si="29">+(AD18+AD21+AD24)/3</f>
        <v>72.257719368124526</v>
      </c>
      <c r="AE29" s="3">
        <f t="shared" si="29"/>
        <v>73.693971586664645</v>
      </c>
      <c r="AF29" s="3">
        <f t="shared" si="29"/>
        <v>73.305349075233849</v>
      </c>
      <c r="AG29" s="3">
        <f t="shared" si="29"/>
        <v>68.344563008793031</v>
      </c>
      <c r="AH29" s="3">
        <f t="shared" si="29"/>
        <v>62.401251888046602</v>
      </c>
      <c r="AI29" s="3">
        <f t="shared" si="29"/>
        <v>61.874132788923504</v>
      </c>
      <c r="AJ29" s="3">
        <f t="shared" si="29"/>
        <v>55.858838263064335</v>
      </c>
      <c r="AK29" s="3">
        <f t="shared" si="29"/>
        <v>57.991162971087057</v>
      </c>
      <c r="AL29" s="3">
        <f t="shared" si="29"/>
        <v>62.90310055252818</v>
      </c>
      <c r="AM29" s="3">
        <f t="shared" si="29"/>
        <v>67.782742418058078</v>
      </c>
      <c r="AN29" s="3">
        <f t="shared" si="29"/>
        <v>64.454701549398621</v>
      </c>
      <c r="AO29" s="3">
        <f t="shared" si="29"/>
        <v>69.438868201608258</v>
      </c>
      <c r="AP29" s="3">
        <f t="shared" si="29"/>
        <v>61.093049812838039</v>
      </c>
      <c r="AQ29" s="3">
        <f>+(AQ18+AQ21+AQ24)/3</f>
        <v>67.002364078619777</v>
      </c>
      <c r="AR29" s="3">
        <f>+(AR18+AR21+AR24)/3</f>
        <v>58.719902531991146</v>
      </c>
      <c r="AS29" s="3">
        <f>+(AS18+AS21+AS24)/3</f>
        <v>55.75106624364934</v>
      </c>
      <c r="AT29" s="3">
        <f t="shared" ref="AT29:AY29" si="30">AVERAGE(AC29:AR29)</f>
        <v>65.304786963789965</v>
      </c>
      <c r="AU29" s="3">
        <f t="shared" si="30"/>
        <v>64.554549021164291</v>
      </c>
      <c r="AV29" s="3">
        <f t="shared" si="30"/>
        <v>64.119990745893389</v>
      </c>
      <c r="AW29" s="3">
        <f t="shared" si="30"/>
        <v>63.548776835549617</v>
      </c>
      <c r="AX29" s="3">
        <f t="shared" si="30"/>
        <v>62.974691939965851</v>
      </c>
      <c r="AY29" s="3">
        <f t="shared" si="30"/>
        <v>62.67495530413813</v>
      </c>
    </row>
    <row r="30" spans="1:51" ht="13">
      <c r="AA30" s="39"/>
      <c r="AB30" s="6"/>
      <c r="AC30" s="187" t="s">
        <v>101</v>
      </c>
      <c r="AD30" s="187" t="s">
        <v>102</v>
      </c>
      <c r="AE30" s="187" t="s">
        <v>102</v>
      </c>
      <c r="AF30" s="187" t="s">
        <v>102</v>
      </c>
      <c r="AG30" s="187" t="s">
        <v>101</v>
      </c>
      <c r="AH30" s="187" t="s">
        <v>103</v>
      </c>
      <c r="AI30" s="187" t="s">
        <v>103</v>
      </c>
      <c r="AJ30" s="187" t="s">
        <v>103</v>
      </c>
      <c r="AK30" s="187" t="s">
        <v>103</v>
      </c>
      <c r="AL30" s="187" t="s">
        <v>103</v>
      </c>
      <c r="AM30" s="187" t="s">
        <v>101</v>
      </c>
      <c r="AN30" s="187" t="s">
        <v>103</v>
      </c>
      <c r="AO30" s="187" t="s">
        <v>101</v>
      </c>
      <c r="AP30" s="186" t="s">
        <v>103</v>
      </c>
      <c r="AQ30" s="187" t="s">
        <v>101</v>
      </c>
      <c r="AR30" s="187" t="s">
        <v>103</v>
      </c>
      <c r="AS30" s="187" t="s">
        <v>103</v>
      </c>
      <c r="AT30" s="187" t="s">
        <v>103</v>
      </c>
      <c r="AU30" s="187" t="s">
        <v>349</v>
      </c>
      <c r="AV30" s="207" t="s">
        <v>349</v>
      </c>
      <c r="AW30" s="312" t="s">
        <v>349</v>
      </c>
      <c r="AX30" s="426" t="s">
        <v>349</v>
      </c>
      <c r="AY30" s="828" t="s">
        <v>349</v>
      </c>
    </row>
    <row r="31" spans="1:51">
      <c r="AB31" s="6"/>
      <c r="AC31" s="47">
        <v>1991</v>
      </c>
      <c r="AD31" s="47">
        <v>1992</v>
      </c>
      <c r="AE31" s="47">
        <v>1993</v>
      </c>
      <c r="AF31" s="47">
        <v>1994</v>
      </c>
      <c r="AG31" s="47">
        <v>1995</v>
      </c>
      <c r="AH31" s="47">
        <v>1996</v>
      </c>
      <c r="AI31" s="47">
        <v>1997</v>
      </c>
      <c r="AJ31" s="47">
        <v>1998</v>
      </c>
      <c r="AK31" s="47">
        <v>1999</v>
      </c>
      <c r="AL31" s="47">
        <v>2000</v>
      </c>
      <c r="AM31" s="47">
        <v>2001</v>
      </c>
      <c r="AN31" s="47">
        <v>2002</v>
      </c>
      <c r="AO31" s="47">
        <v>2003</v>
      </c>
      <c r="AP31" s="47">
        <v>2004</v>
      </c>
      <c r="AQ31" s="47">
        <v>2005</v>
      </c>
      <c r="AR31" s="47">
        <v>2006</v>
      </c>
      <c r="AS31" s="47">
        <v>2007</v>
      </c>
      <c r="AT31" s="47">
        <v>2008</v>
      </c>
      <c r="AU31" s="47">
        <v>2009</v>
      </c>
      <c r="AV31" s="47">
        <v>2010</v>
      </c>
      <c r="AW31" s="47">
        <v>2011</v>
      </c>
      <c r="AX31" s="47">
        <v>2012</v>
      </c>
      <c r="AY31" s="47">
        <v>2013</v>
      </c>
    </row>
    <row r="52" spans="1:7" ht="15.5">
      <c r="A52" s="1182" t="s">
        <v>149</v>
      </c>
      <c r="B52" s="1182"/>
      <c r="C52" s="1182"/>
      <c r="D52" s="1182"/>
      <c r="E52" s="1182"/>
      <c r="G52" s="42" t="s">
        <v>112</v>
      </c>
    </row>
    <row r="53" spans="1:7" ht="15.5">
      <c r="A53" s="1" t="s">
        <v>56</v>
      </c>
      <c r="B53" s="1184" t="s">
        <v>104</v>
      </c>
      <c r="C53" s="1184"/>
      <c r="D53" s="1184"/>
      <c r="E53" s="1184"/>
      <c r="G53" s="42" t="s">
        <v>68</v>
      </c>
    </row>
    <row r="54" spans="1:7" ht="15.5">
      <c r="A54" s="1" t="s">
        <v>57</v>
      </c>
      <c r="B54" s="1184" t="s">
        <v>58</v>
      </c>
      <c r="C54" s="1184"/>
      <c r="D54" s="1184"/>
      <c r="E54" s="1184"/>
      <c r="G54" s="42" t="s">
        <v>110</v>
      </c>
    </row>
    <row r="55" spans="1:7" ht="15.5">
      <c r="A55" s="1" t="s">
        <v>99</v>
      </c>
      <c r="B55" s="1184" t="s">
        <v>100</v>
      </c>
      <c r="C55" s="1184"/>
      <c r="D55" s="1184"/>
      <c r="E55" s="1184"/>
      <c r="G55" s="42" t="s">
        <v>111</v>
      </c>
    </row>
    <row r="56" spans="1:7" ht="13">
      <c r="A56" s="1" t="s">
        <v>59</v>
      </c>
      <c r="B56" s="1184" t="s">
        <v>60</v>
      </c>
      <c r="C56" s="1184"/>
      <c r="D56" s="1184"/>
      <c r="E56" s="1184"/>
    </row>
    <row r="57" spans="1:7" ht="13">
      <c r="A57" s="1" t="s">
        <v>97</v>
      </c>
      <c r="B57" s="1184" t="s">
        <v>98</v>
      </c>
      <c r="C57" s="1184"/>
      <c r="D57" s="1184"/>
      <c r="E57" s="1184"/>
    </row>
    <row r="58" spans="1:7" ht="13">
      <c r="A58" s="1" t="s">
        <v>61</v>
      </c>
      <c r="B58" s="1184" t="s">
        <v>62</v>
      </c>
      <c r="C58" s="1184"/>
      <c r="D58" s="1184"/>
      <c r="E58" s="1184"/>
    </row>
    <row r="59" spans="1:7" ht="13">
      <c r="A59" s="1" t="s">
        <v>84</v>
      </c>
      <c r="B59" s="1184" t="s">
        <v>85</v>
      </c>
      <c r="C59" s="1184"/>
      <c r="D59" s="1184"/>
      <c r="E59" s="1184"/>
    </row>
    <row r="60" spans="1:7" ht="13">
      <c r="A60" s="1182" t="s">
        <v>63</v>
      </c>
      <c r="B60" s="1182"/>
      <c r="C60" s="1182"/>
      <c r="D60" s="1182"/>
      <c r="E60" s="1182"/>
    </row>
    <row r="61" spans="1:7" ht="13">
      <c r="A61" s="1" t="s">
        <v>64</v>
      </c>
      <c r="B61" s="1" t="s">
        <v>60</v>
      </c>
    </row>
    <row r="88" spans="1:1">
      <c r="A88" s="17"/>
    </row>
    <row r="89" spans="1:1">
      <c r="A89" s="17"/>
    </row>
    <row r="90" spans="1:1">
      <c r="A90" s="17"/>
    </row>
  </sheetData>
  <mergeCells count="13">
    <mergeCell ref="B53:E53"/>
    <mergeCell ref="AA1:AN1"/>
    <mergeCell ref="A2:N2"/>
    <mergeCell ref="A15:N15"/>
    <mergeCell ref="AA15:AN15"/>
    <mergeCell ref="A52:E52"/>
    <mergeCell ref="B54:E54"/>
    <mergeCell ref="B55:E55"/>
    <mergeCell ref="A60:E60"/>
    <mergeCell ref="B56:E56"/>
    <mergeCell ref="B57:E57"/>
    <mergeCell ref="B58:E58"/>
    <mergeCell ref="B59:E59"/>
  </mergeCells>
  <phoneticPr fontId="7" type="noConversion"/>
  <pageMargins left="0.75" right="0.75" top="1" bottom="1" header="0.5" footer="0.5"/>
  <pageSetup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AI503"/>
  <sheetViews>
    <sheetView zoomScaleNormal="100" workbookViewId="0">
      <selection activeCell="N10" sqref="N10"/>
    </sheetView>
  </sheetViews>
  <sheetFormatPr defaultRowHeight="13"/>
  <cols>
    <col min="1" max="1" width="22.453125" style="1" bestFit="1" customWidth="1"/>
    <col min="2" max="2" width="12.90625" customWidth="1"/>
    <col min="3" max="3" width="14.08984375" customWidth="1"/>
    <col min="4" max="4" width="11.6328125" bestFit="1" customWidth="1"/>
    <col min="5" max="5" width="9.453125" bestFit="1" customWidth="1"/>
    <col min="6" max="6" width="11.90625" bestFit="1" customWidth="1"/>
    <col min="7" max="7" width="11.08984375" bestFit="1" customWidth="1"/>
    <col min="8" max="8" width="10.6328125" bestFit="1" customWidth="1"/>
    <col min="9" max="9" width="10.54296875" bestFit="1" customWidth="1"/>
    <col min="10" max="10" width="11" bestFit="1" customWidth="1"/>
    <col min="11" max="11" width="11.6328125" bestFit="1" customWidth="1"/>
    <col min="12" max="12" width="11" bestFit="1" customWidth="1"/>
    <col min="13" max="13" width="12.54296875" customWidth="1"/>
    <col min="14" max="14" width="13.6328125" customWidth="1"/>
    <col min="15" max="15" width="13.08984375" customWidth="1"/>
    <col min="16" max="16" width="11.90625" customWidth="1"/>
    <col min="17" max="17" width="10.6328125" bestFit="1" customWidth="1"/>
    <col min="18" max="18" width="10.453125" bestFit="1" customWidth="1"/>
    <col min="19" max="19" width="10.36328125" bestFit="1" customWidth="1"/>
    <col min="20" max="20" width="11.453125" bestFit="1" customWidth="1"/>
    <col min="21" max="21" width="9.6328125" bestFit="1" customWidth="1"/>
    <col min="22" max="22" width="10.90625" bestFit="1" customWidth="1"/>
    <col min="23" max="23" width="9.90625" bestFit="1" customWidth="1"/>
    <col min="24" max="24" width="17" bestFit="1" customWidth="1"/>
    <col min="25" max="25" width="10.90625" bestFit="1" customWidth="1"/>
    <col min="26" max="26" width="11.08984375" bestFit="1" customWidth="1"/>
    <col min="27" max="27" width="11.453125" customWidth="1"/>
    <col min="28" max="28" width="12" customWidth="1"/>
    <col min="29" max="29" width="10.453125" customWidth="1"/>
    <col min="30" max="30" width="12.08984375" customWidth="1"/>
    <col min="31" max="31" width="10.90625" bestFit="1" customWidth="1"/>
    <col min="32" max="32" width="10.08984375" style="80" bestFit="1" customWidth="1"/>
    <col min="33" max="33" width="14.08984375" style="6" bestFit="1" customWidth="1"/>
    <col min="34" max="34" width="18.08984375" bestFit="1" customWidth="1"/>
  </cols>
  <sheetData>
    <row r="1" spans="1:35">
      <c r="A1" s="1182" t="s">
        <v>347</v>
      </c>
      <c r="B1" s="1182"/>
      <c r="C1" s="1182"/>
      <c r="D1" s="1182"/>
      <c r="E1" s="1182"/>
      <c r="F1" s="1182"/>
      <c r="G1" s="1182"/>
      <c r="H1" s="1182"/>
      <c r="I1" s="1182"/>
      <c r="J1" s="1182"/>
      <c r="K1" s="1182"/>
      <c r="L1" s="1182"/>
      <c r="M1" s="1182"/>
      <c r="N1" s="1182"/>
      <c r="O1" s="1182"/>
      <c r="P1" s="1182"/>
    </row>
    <row r="2" spans="1:35" ht="15" customHeight="1">
      <c r="AE2" t="s">
        <v>1927</v>
      </c>
      <c r="AF2" s="80" t="s">
        <v>1928</v>
      </c>
      <c r="AG2" s="6" t="s">
        <v>1929</v>
      </c>
      <c r="AH2" t="s">
        <v>1930</v>
      </c>
    </row>
    <row r="3" spans="1:35">
      <c r="B3" s="1" t="s">
        <v>174</v>
      </c>
      <c r="T3" t="s">
        <v>169</v>
      </c>
      <c r="U3" t="s">
        <v>170</v>
      </c>
      <c r="V3" t="s">
        <v>171</v>
      </c>
      <c r="W3" t="s">
        <v>172</v>
      </c>
      <c r="X3" t="s">
        <v>567</v>
      </c>
      <c r="AE3" t="s">
        <v>1162</v>
      </c>
      <c r="AF3" s="80">
        <v>41275</v>
      </c>
      <c r="AG3" s="6">
        <v>2.4700000000000002</v>
      </c>
      <c r="AH3" s="17" t="s">
        <v>69</v>
      </c>
      <c r="AI3">
        <f>AVERAGE(AG3:AG33)</f>
        <v>10.659655172413791</v>
      </c>
    </row>
    <row r="4" spans="1:35" s="7" customFormat="1">
      <c r="A4" s="67" t="s">
        <v>2</v>
      </c>
      <c r="B4" s="717">
        <v>41294</v>
      </c>
      <c r="C4" s="717">
        <v>41324</v>
      </c>
      <c r="D4" s="717">
        <v>41358</v>
      </c>
      <c r="E4" s="717">
        <v>41386</v>
      </c>
      <c r="F4" s="717">
        <v>41414</v>
      </c>
      <c r="G4" s="717">
        <v>41442</v>
      </c>
      <c r="H4" s="718">
        <v>41463</v>
      </c>
      <c r="I4" s="718">
        <v>41477</v>
      </c>
      <c r="J4" s="718">
        <v>41491</v>
      </c>
      <c r="K4" s="717">
        <v>41512</v>
      </c>
      <c r="L4" s="717">
        <v>41526</v>
      </c>
      <c r="M4" s="719">
        <v>41540</v>
      </c>
      <c r="N4" s="719">
        <v>41568</v>
      </c>
      <c r="O4" s="719">
        <v>41596</v>
      </c>
      <c r="P4" s="719">
        <v>41624</v>
      </c>
      <c r="Q4" s="168"/>
      <c r="R4" s="210"/>
      <c r="S4" s="210"/>
      <c r="T4" s="365">
        <v>2</v>
      </c>
      <c r="U4" s="364">
        <v>0.59</v>
      </c>
      <c r="V4" s="364">
        <v>0.16</v>
      </c>
      <c r="W4" s="364">
        <f>U4*2</f>
        <v>1.18</v>
      </c>
      <c r="X4" s="8">
        <f>V4*W4</f>
        <v>0.1888</v>
      </c>
      <c r="AE4" s="7" t="s">
        <v>1162</v>
      </c>
      <c r="AF4" s="1081">
        <v>41276</v>
      </c>
      <c r="AG4" s="364">
        <v>2.7</v>
      </c>
      <c r="AH4" s="17" t="s">
        <v>70</v>
      </c>
      <c r="AI4">
        <f>AVERAGE(AG34:AG61)</f>
        <v>61.264499999999998</v>
      </c>
    </row>
    <row r="5" spans="1:35" s="4" customFormat="1">
      <c r="A5" s="44" t="s">
        <v>19</v>
      </c>
      <c r="B5" s="579">
        <v>1.3</v>
      </c>
      <c r="C5" s="209">
        <v>0.37</v>
      </c>
      <c r="D5" s="209">
        <v>1.52</v>
      </c>
      <c r="E5" s="209">
        <v>1.74</v>
      </c>
      <c r="F5" s="209">
        <v>16.11</v>
      </c>
      <c r="G5" s="209">
        <v>0.62</v>
      </c>
      <c r="H5" s="209">
        <v>0.34</v>
      </c>
      <c r="I5" s="209">
        <v>6.75</v>
      </c>
      <c r="J5" s="209">
        <v>0.24</v>
      </c>
      <c r="K5" s="209">
        <v>0.22</v>
      </c>
      <c r="L5" s="209">
        <v>0.23</v>
      </c>
      <c r="M5" s="209">
        <v>105</v>
      </c>
      <c r="N5" s="209">
        <v>2.11</v>
      </c>
      <c r="O5" s="209">
        <v>0.23</v>
      </c>
      <c r="P5" s="209">
        <v>0.84</v>
      </c>
      <c r="Q5" s="200"/>
      <c r="R5" s="211"/>
      <c r="S5" s="211"/>
      <c r="T5" s="366">
        <v>4</v>
      </c>
      <c r="U5" s="6">
        <v>0.57999999999999996</v>
      </c>
      <c r="V5" s="6">
        <v>0.3</v>
      </c>
      <c r="W5" s="364">
        <f t="shared" ref="W5:W10" si="0">U5*2</f>
        <v>1.1599999999999999</v>
      </c>
      <c r="X5" s="364">
        <f t="shared" ref="X5:X18" si="1">V5*W5</f>
        <v>0.34799999999999998</v>
      </c>
      <c r="AE5" s="4" t="s">
        <v>1162</v>
      </c>
      <c r="AF5" s="80">
        <v>41277</v>
      </c>
      <c r="AG5" s="6">
        <v>2.97</v>
      </c>
      <c r="AH5" s="17" t="s">
        <v>71</v>
      </c>
      <c r="AI5">
        <f>AVERAGE(AG62:AG92)</f>
        <v>9.5609090909090906</v>
      </c>
    </row>
    <row r="6" spans="1:35" s="4" customFormat="1">
      <c r="A6" s="44" t="s">
        <v>20</v>
      </c>
      <c r="B6" s="579">
        <v>16.89</v>
      </c>
      <c r="C6" s="209">
        <v>1.59</v>
      </c>
      <c r="D6" s="209">
        <v>1.02</v>
      </c>
      <c r="E6" s="209">
        <v>9.61</v>
      </c>
      <c r="F6" s="209">
        <v>87.36</v>
      </c>
      <c r="G6" s="209">
        <v>12.73</v>
      </c>
      <c r="H6" s="209">
        <v>6.38</v>
      </c>
      <c r="I6" s="209">
        <v>4.2</v>
      </c>
      <c r="J6" s="209">
        <v>4.2</v>
      </c>
      <c r="K6" s="209">
        <v>26.71</v>
      </c>
      <c r="L6" s="209">
        <v>85</v>
      </c>
      <c r="M6" s="209">
        <v>467.5</v>
      </c>
      <c r="N6" s="209">
        <v>75</v>
      </c>
      <c r="O6" s="209">
        <v>12.35</v>
      </c>
      <c r="P6" s="209">
        <v>45</v>
      </c>
      <c r="R6" s="200"/>
      <c r="S6" s="211"/>
      <c r="T6" s="365">
        <v>6</v>
      </c>
      <c r="U6" s="6">
        <v>0.56999999999999995</v>
      </c>
      <c r="V6" s="6">
        <v>0.27</v>
      </c>
      <c r="W6" s="364">
        <f t="shared" si="0"/>
        <v>1.1399999999999999</v>
      </c>
      <c r="X6" s="364">
        <f t="shared" si="1"/>
        <v>0.30780000000000002</v>
      </c>
      <c r="AE6" s="4" t="s">
        <v>1162</v>
      </c>
      <c r="AF6" s="80">
        <v>41278</v>
      </c>
      <c r="AG6" s="6">
        <v>3</v>
      </c>
      <c r="AH6" s="17" t="s">
        <v>72</v>
      </c>
      <c r="AI6">
        <f>AVERAGE(AG93:AG122)</f>
        <v>12.857499999999996</v>
      </c>
    </row>
    <row r="7" spans="1:35" s="4" customFormat="1">
      <c r="A7" s="44" t="s">
        <v>22</v>
      </c>
      <c r="B7" s="579">
        <v>11</v>
      </c>
      <c r="C7" s="1064">
        <v>61.3</v>
      </c>
      <c r="D7" s="1064">
        <v>9.6</v>
      </c>
      <c r="E7" s="1064">
        <v>12.9</v>
      </c>
      <c r="F7" s="1064">
        <v>99.3</v>
      </c>
      <c r="G7" s="1064">
        <v>24</v>
      </c>
      <c r="H7" s="1064">
        <v>24</v>
      </c>
      <c r="I7" s="1064">
        <v>24</v>
      </c>
      <c r="J7" s="1064">
        <v>17.100000000000001</v>
      </c>
      <c r="K7" s="1064">
        <v>17.100000000000001</v>
      </c>
      <c r="L7" s="1064">
        <v>215.1</v>
      </c>
      <c r="M7" s="1064">
        <v>215.1</v>
      </c>
      <c r="N7" s="1064">
        <v>219.4</v>
      </c>
      <c r="O7" s="1064">
        <v>24.6</v>
      </c>
      <c r="P7" s="1064">
        <v>42</v>
      </c>
      <c r="Q7" s="201"/>
      <c r="R7" s="211"/>
      <c r="S7" s="211"/>
      <c r="T7" s="366">
        <v>8</v>
      </c>
      <c r="U7" s="6"/>
      <c r="V7" s="6"/>
      <c r="W7" s="364">
        <f t="shared" si="0"/>
        <v>0</v>
      </c>
      <c r="X7" s="364">
        <f t="shared" si="1"/>
        <v>0</v>
      </c>
      <c r="AE7" s="4" t="s">
        <v>1162</v>
      </c>
      <c r="AF7" s="80">
        <v>41279</v>
      </c>
      <c r="AG7" s="6">
        <v>3</v>
      </c>
      <c r="AH7" s="17" t="s">
        <v>73</v>
      </c>
      <c r="AI7">
        <f>AVERAGE(AG123:AG153)</f>
        <v>99.277419354838699</v>
      </c>
    </row>
    <row r="8" spans="1:35">
      <c r="A8" s="45" t="s">
        <v>175</v>
      </c>
      <c r="B8" s="136" t="s">
        <v>69</v>
      </c>
      <c r="C8" s="136" t="s">
        <v>70</v>
      </c>
      <c r="D8" s="136" t="s">
        <v>71</v>
      </c>
      <c r="E8" s="136" t="s">
        <v>72</v>
      </c>
      <c r="F8" s="136" t="s">
        <v>73</v>
      </c>
      <c r="G8" s="136" t="s">
        <v>74</v>
      </c>
      <c r="H8" s="136" t="s">
        <v>75</v>
      </c>
      <c r="I8" s="136" t="s">
        <v>76</v>
      </c>
      <c r="J8" s="136" t="s">
        <v>77</v>
      </c>
      <c r="K8" s="136" t="s">
        <v>78</v>
      </c>
      <c r="L8" s="136" t="s">
        <v>79</v>
      </c>
      <c r="M8" s="136" t="s">
        <v>80</v>
      </c>
      <c r="T8" s="365">
        <v>10</v>
      </c>
      <c r="U8" s="6"/>
      <c r="V8" s="6"/>
      <c r="W8" s="364">
        <f t="shared" si="0"/>
        <v>0</v>
      </c>
      <c r="X8" s="364">
        <f>V7*W8</f>
        <v>0</v>
      </c>
      <c r="AE8" t="s">
        <v>1162</v>
      </c>
      <c r="AF8" s="80">
        <v>41280</v>
      </c>
      <c r="AG8" s="6">
        <v>3.21</v>
      </c>
      <c r="AH8" s="17" t="s">
        <v>74</v>
      </c>
      <c r="AI8">
        <f>AVERAGE(AG154:AG183)</f>
        <v>24.018333333333334</v>
      </c>
    </row>
    <row r="9" spans="1:35" ht="14">
      <c r="A9" s="44" t="s">
        <v>19</v>
      </c>
      <c r="B9" s="580">
        <f t="shared" ref="B9:G10" si="2">B5</f>
        <v>1.3</v>
      </c>
      <c r="C9" s="580">
        <f t="shared" si="2"/>
        <v>0.37</v>
      </c>
      <c r="D9" s="580">
        <f t="shared" si="2"/>
        <v>1.52</v>
      </c>
      <c r="E9" s="580">
        <f t="shared" si="2"/>
        <v>1.74</v>
      </c>
      <c r="F9" s="580">
        <f t="shared" si="2"/>
        <v>16.11</v>
      </c>
      <c r="G9" s="580">
        <f t="shared" si="2"/>
        <v>0.62</v>
      </c>
      <c r="H9" s="155">
        <f>AVERAGE(H5:I5)</f>
        <v>3.5449999999999999</v>
      </c>
      <c r="I9" s="155">
        <f>AVERAGE(J5:K5)</f>
        <v>0.22999999999999998</v>
      </c>
      <c r="J9" s="155">
        <f>AVERAGE(L5:M5)</f>
        <v>52.615000000000002</v>
      </c>
      <c r="K9" s="581">
        <f>N5</f>
        <v>2.11</v>
      </c>
      <c r="L9" s="581">
        <f t="shared" ref="L9:M10" si="3">O5</f>
        <v>0.23</v>
      </c>
      <c r="M9" s="581">
        <f t="shared" si="3"/>
        <v>0.84</v>
      </c>
      <c r="T9" s="366">
        <v>12</v>
      </c>
      <c r="U9" s="6"/>
      <c r="V9" s="6"/>
      <c r="W9" s="364">
        <f t="shared" si="0"/>
        <v>0</v>
      </c>
      <c r="X9" s="364">
        <f>V8*W9</f>
        <v>0</v>
      </c>
      <c r="AE9" t="s">
        <v>1162</v>
      </c>
      <c r="AF9" s="80">
        <v>41281</v>
      </c>
      <c r="AG9" s="6">
        <v>3.51</v>
      </c>
      <c r="AH9" s="17" t="s">
        <v>75</v>
      </c>
      <c r="AI9">
        <f>AVERAGE(AG184:AG214)</f>
        <v>22.958387096774196</v>
      </c>
    </row>
    <row r="10" spans="1:35" ht="14">
      <c r="A10" s="44" t="s">
        <v>20</v>
      </c>
      <c r="B10" s="580">
        <f t="shared" si="2"/>
        <v>16.89</v>
      </c>
      <c r="C10" s="580">
        <f t="shared" si="2"/>
        <v>1.59</v>
      </c>
      <c r="D10" s="580">
        <f t="shared" si="2"/>
        <v>1.02</v>
      </c>
      <c r="E10" s="580">
        <f t="shared" si="2"/>
        <v>9.61</v>
      </c>
      <c r="F10" s="580">
        <f t="shared" si="2"/>
        <v>87.36</v>
      </c>
      <c r="G10" s="580">
        <f t="shared" si="2"/>
        <v>12.73</v>
      </c>
      <c r="H10" s="155">
        <f>AVERAGE(H6:I6)</f>
        <v>5.29</v>
      </c>
      <c r="I10" s="155">
        <f>AVERAGE(J6:K6)</f>
        <v>15.455</v>
      </c>
      <c r="J10" s="155">
        <f>M6</f>
        <v>467.5</v>
      </c>
      <c r="K10" s="581">
        <f>N6</f>
        <v>75</v>
      </c>
      <c r="L10" s="581">
        <f t="shared" si="3"/>
        <v>12.35</v>
      </c>
      <c r="M10" s="581">
        <f t="shared" si="3"/>
        <v>45</v>
      </c>
      <c r="T10" s="365">
        <v>14</v>
      </c>
      <c r="U10" s="6"/>
      <c r="V10" s="6"/>
      <c r="W10" s="364">
        <f t="shared" si="0"/>
        <v>0</v>
      </c>
      <c r="X10" s="364">
        <f>V9*W10</f>
        <v>0</v>
      </c>
      <c r="AE10" t="s">
        <v>1162</v>
      </c>
      <c r="AF10" s="80">
        <v>41282</v>
      </c>
      <c r="AG10" s="6">
        <v>3.59</v>
      </c>
      <c r="AH10" s="17" t="s">
        <v>76</v>
      </c>
      <c r="AI10">
        <f>AVERAGE(AG215:AG245)</f>
        <v>17.107419354838711</v>
      </c>
    </row>
    <row r="11" spans="1:35" ht="14">
      <c r="A11" s="44" t="s">
        <v>22</v>
      </c>
      <c r="B11" s="580">
        <f t="shared" ref="B11:G11" si="4">B7</f>
        <v>11</v>
      </c>
      <c r="C11" s="580">
        <f t="shared" si="4"/>
        <v>61.3</v>
      </c>
      <c r="D11" s="580">
        <f t="shared" si="4"/>
        <v>9.6</v>
      </c>
      <c r="E11" s="580">
        <f t="shared" si="4"/>
        <v>12.9</v>
      </c>
      <c r="F11" s="580">
        <f t="shared" si="4"/>
        <v>99.3</v>
      </c>
      <c r="G11" s="580">
        <f t="shared" si="4"/>
        <v>24</v>
      </c>
      <c r="H11" s="155">
        <f>AVERAGE(H7:I7)</f>
        <v>24</v>
      </c>
      <c r="I11" s="155">
        <f>AVERAGE(J7:K7)</f>
        <v>17.100000000000001</v>
      </c>
      <c r="J11" s="155">
        <f>AVERAGE(L7:M7)</f>
        <v>215.1</v>
      </c>
      <c r="K11" s="581">
        <f>N7</f>
        <v>219.4</v>
      </c>
      <c r="L11" s="581">
        <v>33.299999999999997</v>
      </c>
      <c r="M11" s="581">
        <v>30</v>
      </c>
      <c r="T11" s="366">
        <v>16</v>
      </c>
      <c r="U11" s="6"/>
      <c r="V11" s="6"/>
      <c r="W11" s="364">
        <f>U11*4</f>
        <v>0</v>
      </c>
      <c r="X11" s="364">
        <f>V10*W11</f>
        <v>0</v>
      </c>
      <c r="AE11" t="s">
        <v>1162</v>
      </c>
      <c r="AF11" s="80">
        <v>41283</v>
      </c>
      <c r="AG11" s="6">
        <v>3.6</v>
      </c>
      <c r="AH11" s="17" t="s">
        <v>77</v>
      </c>
      <c r="AI11">
        <f>AVERAGE(AG246:AG275)</f>
        <v>215.09</v>
      </c>
    </row>
    <row r="12" spans="1:35">
      <c r="A12" s="45" t="s">
        <v>119</v>
      </c>
      <c r="B12" s="45" t="s">
        <v>69</v>
      </c>
      <c r="C12" s="45" t="s">
        <v>70</v>
      </c>
      <c r="D12" s="45" t="s">
        <v>71</v>
      </c>
      <c r="E12" s="45" t="s">
        <v>72</v>
      </c>
      <c r="F12" s="45" t="s">
        <v>73</v>
      </c>
      <c r="G12" s="45" t="s">
        <v>74</v>
      </c>
      <c r="H12" s="45" t="s">
        <v>75</v>
      </c>
      <c r="I12" s="45" t="s">
        <v>76</v>
      </c>
      <c r="J12" s="45" t="s">
        <v>77</v>
      </c>
      <c r="K12" s="45" t="s">
        <v>78</v>
      </c>
      <c r="L12" s="45" t="s">
        <v>79</v>
      </c>
      <c r="M12" s="45" t="s">
        <v>80</v>
      </c>
      <c r="T12" s="365">
        <v>18</v>
      </c>
      <c r="U12" s="6"/>
      <c r="V12" s="6"/>
      <c r="W12" s="364">
        <f t="shared" ref="W12:W18" si="5">U12*2</f>
        <v>0</v>
      </c>
      <c r="X12" s="364">
        <f t="shared" si="1"/>
        <v>0</v>
      </c>
      <c r="AE12" t="s">
        <v>1162</v>
      </c>
      <c r="AF12" s="80">
        <v>41284</v>
      </c>
      <c r="AG12" s="6">
        <v>3.6</v>
      </c>
      <c r="AH12" s="17" t="s">
        <v>78</v>
      </c>
      <c r="AI12">
        <f>AVERAGE(AG276:AG306)</f>
        <v>219.40322580645159</v>
      </c>
    </row>
    <row r="13" spans="1:35">
      <c r="A13" s="44" t="s">
        <v>19</v>
      </c>
      <c r="B13" s="46">
        <f>B9*1.983</f>
        <v>2.5779000000000001</v>
      </c>
      <c r="C13" s="46">
        <f>C9*1.983</f>
        <v>0.73370999999999997</v>
      </c>
      <c r="D13" s="46">
        <f>D9*1.983</f>
        <v>3.0141600000000004</v>
      </c>
      <c r="E13" s="46">
        <f t="shared" ref="E13:M15" si="6">E9*1.983</f>
        <v>3.4504200000000003</v>
      </c>
      <c r="F13" s="46">
        <f t="shared" si="6"/>
        <v>31.94613</v>
      </c>
      <c r="G13" s="46">
        <f t="shared" si="6"/>
        <v>1.22946</v>
      </c>
      <c r="H13" s="46">
        <f t="shared" si="6"/>
        <v>7.0297350000000005</v>
      </c>
      <c r="I13" s="46">
        <f t="shared" si="6"/>
        <v>0.45609</v>
      </c>
      <c r="J13" s="46">
        <f t="shared" si="6"/>
        <v>104.33554500000001</v>
      </c>
      <c r="K13" s="46">
        <f t="shared" si="6"/>
        <v>4.1841299999999997</v>
      </c>
      <c r="L13" s="46">
        <f t="shared" si="6"/>
        <v>0.45609000000000005</v>
      </c>
      <c r="M13" s="46">
        <f t="shared" si="6"/>
        <v>1.6657200000000001</v>
      </c>
      <c r="T13" s="366">
        <v>20</v>
      </c>
      <c r="U13" s="6"/>
      <c r="V13" s="6"/>
      <c r="W13" s="364">
        <f>U13*3</f>
        <v>0</v>
      </c>
      <c r="X13" s="364">
        <f t="shared" si="1"/>
        <v>0</v>
      </c>
      <c r="AE13" t="s">
        <v>1162</v>
      </c>
      <c r="AF13" s="80">
        <v>41285</v>
      </c>
      <c r="AG13" s="6">
        <v>3.61</v>
      </c>
      <c r="AH13" s="17" t="s">
        <v>79</v>
      </c>
      <c r="AI13">
        <f>AVERAGE(AG307:AG336)</f>
        <v>33.296999999999997</v>
      </c>
    </row>
    <row r="14" spans="1:35">
      <c r="A14" s="44" t="s">
        <v>20</v>
      </c>
      <c r="B14" s="46">
        <f t="shared" ref="B14:D15" si="7">B10*1.983</f>
        <v>33.492870000000003</v>
      </c>
      <c r="C14" s="46">
        <f t="shared" si="7"/>
        <v>3.1529700000000003</v>
      </c>
      <c r="D14" s="46">
        <f t="shared" si="7"/>
        <v>2.0226600000000001</v>
      </c>
      <c r="E14" s="46">
        <f t="shared" si="6"/>
        <v>19.056629999999998</v>
      </c>
      <c r="F14" s="46">
        <f t="shared" si="6"/>
        <v>173.23488</v>
      </c>
      <c r="G14" s="46">
        <f t="shared" si="6"/>
        <v>25.243590000000001</v>
      </c>
      <c r="H14" s="46">
        <f t="shared" si="6"/>
        <v>10.490070000000001</v>
      </c>
      <c r="I14" s="46">
        <f t="shared" si="6"/>
        <v>30.647265000000001</v>
      </c>
      <c r="J14" s="46">
        <f t="shared" si="6"/>
        <v>927.05250000000001</v>
      </c>
      <c r="K14" s="46">
        <f t="shared" si="6"/>
        <v>148.72499999999999</v>
      </c>
      <c r="L14" s="46">
        <f t="shared" si="6"/>
        <v>24.49005</v>
      </c>
      <c r="M14" s="46">
        <f t="shared" si="6"/>
        <v>89.234999999999999</v>
      </c>
      <c r="T14" s="365">
        <v>22</v>
      </c>
      <c r="U14" s="6"/>
      <c r="V14" s="6"/>
      <c r="W14" s="364">
        <f t="shared" si="5"/>
        <v>0</v>
      </c>
      <c r="X14" s="364">
        <f t="shared" si="1"/>
        <v>0</v>
      </c>
      <c r="AE14" t="s">
        <v>1162</v>
      </c>
      <c r="AF14" s="80">
        <v>41286</v>
      </c>
      <c r="AG14" s="6">
        <v>4.17</v>
      </c>
      <c r="AH14" s="17" t="s">
        <v>80</v>
      </c>
      <c r="AI14">
        <f>AVERAGE(AG337:AG367)</f>
        <v>29.451612903225804</v>
      </c>
    </row>
    <row r="15" spans="1:35">
      <c r="A15" s="44" t="s">
        <v>22</v>
      </c>
      <c r="B15" s="46">
        <f t="shared" si="7"/>
        <v>21.813000000000002</v>
      </c>
      <c r="C15" s="46">
        <f t="shared" si="7"/>
        <v>121.5579</v>
      </c>
      <c r="D15" s="46">
        <f t="shared" si="7"/>
        <v>19.036799999999999</v>
      </c>
      <c r="E15" s="46">
        <f t="shared" si="6"/>
        <v>25.5807</v>
      </c>
      <c r="F15" s="46">
        <f t="shared" si="6"/>
        <v>196.9119</v>
      </c>
      <c r="G15" s="46">
        <f t="shared" si="6"/>
        <v>47.591999999999999</v>
      </c>
      <c r="H15" s="46">
        <f t="shared" si="6"/>
        <v>47.591999999999999</v>
      </c>
      <c r="I15" s="46">
        <f t="shared" si="6"/>
        <v>33.909300000000002</v>
      </c>
      <c r="J15" s="46">
        <f t="shared" si="6"/>
        <v>426.54329999999999</v>
      </c>
      <c r="K15" s="46">
        <f t="shared" si="6"/>
        <v>435.07020000000006</v>
      </c>
      <c r="L15" s="46">
        <f t="shared" si="6"/>
        <v>66.033900000000003</v>
      </c>
      <c r="M15" s="46">
        <f t="shared" si="6"/>
        <v>59.49</v>
      </c>
      <c r="T15" s="366">
        <v>24</v>
      </c>
      <c r="U15" s="6"/>
      <c r="V15" s="6"/>
      <c r="W15" s="364">
        <f t="shared" si="5"/>
        <v>0</v>
      </c>
      <c r="X15" s="364">
        <f t="shared" si="1"/>
        <v>0</v>
      </c>
      <c r="AE15" t="s">
        <v>1162</v>
      </c>
      <c r="AF15" s="80">
        <v>41287</v>
      </c>
      <c r="AG15" s="6">
        <v>4.8600000000000003</v>
      </c>
    </row>
    <row r="16" spans="1:35">
      <c r="A16" s="8" t="s">
        <v>1931</v>
      </c>
      <c r="B16" s="364">
        <v>10.659655172413791</v>
      </c>
      <c r="C16" s="364">
        <v>61.264499999999998</v>
      </c>
      <c r="D16" s="364">
        <v>9.5609090909090906</v>
      </c>
      <c r="E16" s="364">
        <v>12.857499999999996</v>
      </c>
      <c r="F16" s="364">
        <v>99.277419354838699</v>
      </c>
      <c r="G16" s="364">
        <v>24.018333333333334</v>
      </c>
      <c r="H16" s="364">
        <v>22.958387096774196</v>
      </c>
      <c r="I16" s="364">
        <v>17.107419354838711</v>
      </c>
      <c r="J16" s="364">
        <v>215.09</v>
      </c>
      <c r="K16" s="364">
        <v>219.40322580645159</v>
      </c>
      <c r="L16" s="364">
        <v>33.296999999999997</v>
      </c>
      <c r="M16" s="6">
        <v>29.451612903225804</v>
      </c>
      <c r="T16" s="365">
        <v>26</v>
      </c>
      <c r="W16" s="364">
        <f t="shared" si="5"/>
        <v>0</v>
      </c>
      <c r="X16" s="364">
        <f t="shared" si="1"/>
        <v>0</v>
      </c>
      <c r="AE16" t="s">
        <v>1162</v>
      </c>
      <c r="AF16" s="80">
        <v>41288</v>
      </c>
      <c r="AG16" s="6">
        <v>5.13</v>
      </c>
    </row>
    <row r="17" spans="1:33" ht="15.5">
      <c r="A17" s="8"/>
      <c r="B17" s="1188"/>
      <c r="C17" s="1188"/>
      <c r="D17" s="1188"/>
      <c r="E17" s="1188"/>
      <c r="F17" s="1188"/>
      <c r="G17" s="1188"/>
      <c r="H17" s="1188"/>
      <c r="I17" s="1188"/>
      <c r="J17" s="1188"/>
      <c r="K17" s="1188"/>
      <c r="L17" s="1188"/>
      <c r="T17" s="366">
        <v>28</v>
      </c>
      <c r="W17" s="364">
        <f t="shared" si="5"/>
        <v>0</v>
      </c>
      <c r="X17" s="364">
        <f t="shared" si="1"/>
        <v>0</v>
      </c>
      <c r="AE17" t="s">
        <v>1162</v>
      </c>
      <c r="AF17" s="80">
        <v>41289</v>
      </c>
      <c r="AG17" s="6">
        <v>5.46</v>
      </c>
    </row>
    <row r="18" spans="1:33" ht="14.25" customHeight="1">
      <c r="A18" s="64" t="s">
        <v>86</v>
      </c>
      <c r="B18" s="66">
        <v>31</v>
      </c>
      <c r="C18" s="65">
        <v>29</v>
      </c>
      <c r="D18" s="65">
        <v>31</v>
      </c>
      <c r="E18" s="65">
        <v>30</v>
      </c>
      <c r="F18" s="65">
        <v>31</v>
      </c>
      <c r="G18" s="65">
        <v>30</v>
      </c>
      <c r="H18" s="65">
        <v>31</v>
      </c>
      <c r="I18" s="65">
        <v>31</v>
      </c>
      <c r="J18" s="65">
        <v>30</v>
      </c>
      <c r="K18" s="65">
        <v>31</v>
      </c>
      <c r="L18" s="65">
        <v>30</v>
      </c>
      <c r="M18" s="65">
        <v>31</v>
      </c>
      <c r="N18" s="1190" t="s">
        <v>144</v>
      </c>
      <c r="O18" s="217"/>
      <c r="P18" s="217"/>
      <c r="T18" s="365">
        <v>30</v>
      </c>
      <c r="W18" s="364">
        <f t="shared" si="5"/>
        <v>0</v>
      </c>
      <c r="X18" s="364">
        <f t="shared" si="1"/>
        <v>0</v>
      </c>
      <c r="AE18" t="s">
        <v>1162</v>
      </c>
      <c r="AF18" s="80">
        <v>41290</v>
      </c>
      <c r="AG18" s="6">
        <v>7.77</v>
      </c>
    </row>
    <row r="19" spans="1:33" ht="24" customHeight="1">
      <c r="A19" s="64"/>
      <c r="B19" s="66" t="s">
        <v>69</v>
      </c>
      <c r="C19" s="65" t="s">
        <v>70</v>
      </c>
      <c r="D19" s="65" t="s">
        <v>71</v>
      </c>
      <c r="E19" s="65" t="s">
        <v>72</v>
      </c>
      <c r="F19" s="65" t="s">
        <v>73</v>
      </c>
      <c r="G19" s="65" t="s">
        <v>74</v>
      </c>
      <c r="H19" s="65" t="s">
        <v>75</v>
      </c>
      <c r="I19" s="65" t="s">
        <v>76</v>
      </c>
      <c r="J19" s="65" t="s">
        <v>77</v>
      </c>
      <c r="K19" s="65" t="s">
        <v>78</v>
      </c>
      <c r="L19" s="65" t="s">
        <v>79</v>
      </c>
      <c r="M19" s="65" t="s">
        <v>80</v>
      </c>
      <c r="N19" s="1190"/>
      <c r="O19" s="219"/>
      <c r="P19" s="220"/>
      <c r="X19" s="6">
        <f>SUM(X4:X18)</f>
        <v>0.84460000000000002</v>
      </c>
      <c r="AE19" t="s">
        <v>1162</v>
      </c>
      <c r="AF19" s="80">
        <v>41291</v>
      </c>
      <c r="AG19" s="6">
        <v>11.6</v>
      </c>
    </row>
    <row r="20" spans="1:33">
      <c r="A20" s="44" t="s">
        <v>19</v>
      </c>
      <c r="B20" s="202">
        <f>B13*B18</f>
        <v>79.914900000000003</v>
      </c>
      <c r="C20" s="202">
        <f>C13*C18</f>
        <v>21.27759</v>
      </c>
      <c r="D20" s="202">
        <f>D13*D18</f>
        <v>93.438960000000009</v>
      </c>
      <c r="E20" s="202">
        <f t="shared" ref="E20:M20" si="8">E13*E18</f>
        <v>103.51260000000001</v>
      </c>
      <c r="F20" s="202">
        <f t="shared" si="8"/>
        <v>990.33002999999997</v>
      </c>
      <c r="G20" s="202">
        <f t="shared" si="8"/>
        <v>36.883800000000001</v>
      </c>
      <c r="H20" s="202">
        <f t="shared" si="8"/>
        <v>217.92178500000003</v>
      </c>
      <c r="I20" s="202">
        <f t="shared" si="8"/>
        <v>14.13879</v>
      </c>
      <c r="J20" s="202">
        <f t="shared" si="8"/>
        <v>3130.0663500000005</v>
      </c>
      <c r="K20" s="202">
        <f t="shared" si="8"/>
        <v>129.70802999999998</v>
      </c>
      <c r="L20" s="202">
        <f t="shared" si="8"/>
        <v>13.682700000000002</v>
      </c>
      <c r="M20" s="202">
        <f t="shared" si="8"/>
        <v>51.637320000000003</v>
      </c>
      <c r="N20" s="62">
        <f>SUM(B20:M20)</f>
        <v>4882.5128549999999</v>
      </c>
      <c r="O20" s="221"/>
      <c r="P20" s="222"/>
      <c r="AE20" t="s">
        <v>1162</v>
      </c>
      <c r="AF20" s="80">
        <v>41292</v>
      </c>
      <c r="AG20" s="6">
        <v>18.7</v>
      </c>
    </row>
    <row r="21" spans="1:33">
      <c r="A21" s="44" t="s">
        <v>20</v>
      </c>
      <c r="B21" s="202">
        <f>B14*B18</f>
        <v>1038.2789700000001</v>
      </c>
      <c r="C21" s="202">
        <f>C14*C18</f>
        <v>91.436130000000006</v>
      </c>
      <c r="D21" s="202">
        <f>D14*D18</f>
        <v>62.702460000000002</v>
      </c>
      <c r="E21" s="202">
        <f t="shared" ref="E21:M21" si="9">E14*E18</f>
        <v>571.69889999999998</v>
      </c>
      <c r="F21" s="202">
        <f t="shared" si="9"/>
        <v>5370.2812800000002</v>
      </c>
      <c r="G21" s="202">
        <f t="shared" si="9"/>
        <v>757.30770000000007</v>
      </c>
      <c r="H21" s="202">
        <f t="shared" si="9"/>
        <v>325.19217000000003</v>
      </c>
      <c r="I21" s="202">
        <f t="shared" si="9"/>
        <v>950.06521500000008</v>
      </c>
      <c r="J21" s="202">
        <f t="shared" si="9"/>
        <v>27811.575000000001</v>
      </c>
      <c r="K21" s="202">
        <f t="shared" si="9"/>
        <v>4610.4749999999995</v>
      </c>
      <c r="L21" s="202">
        <f t="shared" si="9"/>
        <v>734.70150000000001</v>
      </c>
      <c r="M21" s="202">
        <f t="shared" si="9"/>
        <v>2766.2849999999999</v>
      </c>
      <c r="N21" s="62">
        <f>SUM(B21:M21)</f>
        <v>45089.999324999997</v>
      </c>
      <c r="O21" s="221"/>
      <c r="P21" s="222"/>
      <c r="AE21" t="s">
        <v>1162</v>
      </c>
      <c r="AF21" s="80">
        <v>41293</v>
      </c>
      <c r="AG21" s="6">
        <v>31.8</v>
      </c>
    </row>
    <row r="22" spans="1:33">
      <c r="A22" s="203" t="s">
        <v>23</v>
      </c>
      <c r="B22" s="204">
        <f>SUM(B20:B21)</f>
        <v>1118.1938700000001</v>
      </c>
      <c r="C22" s="204">
        <f>SUM(C20:C21)</f>
        <v>112.71372000000001</v>
      </c>
      <c r="D22" s="204">
        <f>SUM(D20:D21)</f>
        <v>156.14142000000001</v>
      </c>
      <c r="E22" s="204">
        <f t="shared" ref="E22:M22" si="10">SUM(E20:E21)</f>
        <v>675.2115</v>
      </c>
      <c r="F22" s="204">
        <f t="shared" si="10"/>
        <v>6360.6113100000002</v>
      </c>
      <c r="G22" s="204">
        <f t="shared" si="10"/>
        <v>794.19150000000002</v>
      </c>
      <c r="H22" s="204">
        <f t="shared" si="10"/>
        <v>543.11395500000003</v>
      </c>
      <c r="I22" s="204">
        <f t="shared" si="10"/>
        <v>964.20400500000005</v>
      </c>
      <c r="J22" s="204">
        <f t="shared" si="10"/>
        <v>30941.641350000002</v>
      </c>
      <c r="K22" s="204">
        <f t="shared" si="10"/>
        <v>4740.1830299999992</v>
      </c>
      <c r="L22" s="204">
        <f t="shared" si="10"/>
        <v>748.38419999999996</v>
      </c>
      <c r="M22" s="204">
        <f t="shared" si="10"/>
        <v>2817.9223199999997</v>
      </c>
      <c r="N22" s="62">
        <f>SUM(B22:M22)</f>
        <v>49972.512180000005</v>
      </c>
      <c r="O22" s="223"/>
      <c r="P22" s="222"/>
      <c r="AE22" t="s">
        <v>1162</v>
      </c>
      <c r="AF22" s="80">
        <v>41294</v>
      </c>
      <c r="AG22" s="6">
        <v>59.7</v>
      </c>
    </row>
    <row r="23" spans="1:33">
      <c r="A23" s="44" t="s">
        <v>22</v>
      </c>
      <c r="B23" s="202">
        <f>B15*B18</f>
        <v>676.20300000000009</v>
      </c>
      <c r="C23" s="202">
        <f>C15*C18</f>
        <v>3525.1791000000003</v>
      </c>
      <c r="D23" s="202">
        <f>D15*D18</f>
        <v>590.14080000000001</v>
      </c>
      <c r="E23" s="202">
        <f t="shared" ref="E23:M23" si="11">E15*E18</f>
        <v>767.42100000000005</v>
      </c>
      <c r="F23" s="202">
        <f t="shared" si="11"/>
        <v>6104.2689</v>
      </c>
      <c r="G23" s="202">
        <f t="shared" si="11"/>
        <v>1427.76</v>
      </c>
      <c r="H23" s="202">
        <f t="shared" si="11"/>
        <v>1475.3519999999999</v>
      </c>
      <c r="I23" s="202">
        <f t="shared" si="11"/>
        <v>1051.1883</v>
      </c>
      <c r="J23" s="202">
        <f t="shared" si="11"/>
        <v>12796.298999999999</v>
      </c>
      <c r="K23" s="202">
        <f t="shared" si="11"/>
        <v>13487.176200000002</v>
      </c>
      <c r="L23" s="202">
        <f t="shared" si="11"/>
        <v>1981.0170000000001</v>
      </c>
      <c r="M23" s="202">
        <f t="shared" si="11"/>
        <v>1844.19</v>
      </c>
      <c r="N23" s="62">
        <f>SUM(B23:M23)</f>
        <v>45726.195300000007</v>
      </c>
      <c r="O23" s="221"/>
      <c r="P23" s="54"/>
      <c r="AE23" t="s">
        <v>1162</v>
      </c>
      <c r="AF23" s="80">
        <v>41295</v>
      </c>
      <c r="AG23" s="6">
        <v>86.6</v>
      </c>
    </row>
    <row r="24" spans="1:33">
      <c r="J24">
        <f>SUM(J22:K22)</f>
        <v>35681.824379999998</v>
      </c>
      <c r="N24" s="1116">
        <f>N22-N23</f>
        <v>4246.3168799999985</v>
      </c>
      <c r="AE24" t="s">
        <v>1162</v>
      </c>
      <c r="AF24" s="80">
        <v>41296</v>
      </c>
    </row>
    <row r="25" spans="1:33">
      <c r="AE25" t="s">
        <v>1162</v>
      </c>
      <c r="AF25" s="80">
        <v>41297</v>
      </c>
    </row>
    <row r="26" spans="1:33">
      <c r="AE26" t="s">
        <v>1162</v>
      </c>
      <c r="AF26" s="80">
        <v>41298</v>
      </c>
      <c r="AG26" s="6">
        <v>2.08</v>
      </c>
    </row>
    <row r="27" spans="1:33">
      <c r="AE27" t="s">
        <v>1162</v>
      </c>
      <c r="AF27" s="80">
        <v>41299</v>
      </c>
      <c r="AG27" s="6">
        <v>3.08</v>
      </c>
    </row>
    <row r="28" spans="1:33">
      <c r="AE28" t="s">
        <v>1162</v>
      </c>
      <c r="AF28" s="80">
        <v>41300</v>
      </c>
      <c r="AG28" s="6">
        <v>4.12</v>
      </c>
    </row>
    <row r="29" spans="1:33">
      <c r="AE29" t="s">
        <v>1162</v>
      </c>
      <c r="AF29" s="80">
        <v>41301</v>
      </c>
      <c r="AG29" s="6">
        <v>4.79</v>
      </c>
    </row>
    <row r="30" spans="1:33">
      <c r="AE30" t="s">
        <v>1162</v>
      </c>
      <c r="AF30" s="80">
        <v>41302</v>
      </c>
      <c r="AG30" s="6">
        <v>5.33</v>
      </c>
    </row>
    <row r="31" spans="1:33">
      <c r="AE31" t="s">
        <v>1162</v>
      </c>
      <c r="AF31" s="80">
        <v>41303</v>
      </c>
      <c r="AG31" s="6">
        <v>5.57</v>
      </c>
    </row>
    <row r="32" spans="1:33">
      <c r="AE32" t="s">
        <v>1162</v>
      </c>
      <c r="AF32" s="80">
        <v>41304</v>
      </c>
      <c r="AG32" s="6">
        <v>5.87</v>
      </c>
    </row>
    <row r="33" spans="31:33">
      <c r="AE33" t="s">
        <v>1162</v>
      </c>
      <c r="AF33" s="80">
        <v>41305</v>
      </c>
      <c r="AG33" s="6">
        <v>7.24</v>
      </c>
    </row>
    <row r="34" spans="31:33">
      <c r="AE34" t="s">
        <v>1162</v>
      </c>
      <c r="AF34" s="80">
        <v>41306</v>
      </c>
      <c r="AG34" s="6">
        <v>9.75</v>
      </c>
    </row>
    <row r="35" spans="31:33">
      <c r="AE35" t="s">
        <v>1162</v>
      </c>
      <c r="AF35" s="80">
        <v>41307</v>
      </c>
      <c r="AG35" s="6">
        <v>11.3</v>
      </c>
    </row>
    <row r="36" spans="31:33">
      <c r="AE36" t="s">
        <v>1162</v>
      </c>
      <c r="AF36" s="80">
        <v>41308</v>
      </c>
      <c r="AG36" s="6">
        <v>14</v>
      </c>
    </row>
    <row r="37" spans="31:33">
      <c r="AE37" t="s">
        <v>1162</v>
      </c>
      <c r="AF37" s="80">
        <v>41309</v>
      </c>
      <c r="AG37" s="6">
        <v>18.600000000000001</v>
      </c>
    </row>
    <row r="38" spans="31:33">
      <c r="AE38" t="s">
        <v>1162</v>
      </c>
      <c r="AF38" s="80">
        <v>41310</v>
      </c>
      <c r="AG38" s="6">
        <v>23.9</v>
      </c>
    </row>
    <row r="39" spans="31:33">
      <c r="AE39" t="s">
        <v>1162</v>
      </c>
      <c r="AF39" s="80">
        <v>41311</v>
      </c>
      <c r="AG39" s="6">
        <v>33.1</v>
      </c>
    </row>
    <row r="40" spans="31:33">
      <c r="AE40" t="s">
        <v>1162</v>
      </c>
      <c r="AF40" s="80">
        <v>41312</v>
      </c>
      <c r="AG40" s="6">
        <v>38.799999999999997</v>
      </c>
    </row>
    <row r="41" spans="31:33">
      <c r="AE41" t="s">
        <v>1162</v>
      </c>
      <c r="AF41" s="80">
        <v>41313</v>
      </c>
      <c r="AG41" s="6">
        <v>23.3</v>
      </c>
    </row>
    <row r="42" spans="31:33">
      <c r="AE42" t="s">
        <v>1162</v>
      </c>
      <c r="AF42" s="80">
        <v>41314</v>
      </c>
      <c r="AG42" s="6">
        <v>3.44</v>
      </c>
    </row>
    <row r="43" spans="31:33">
      <c r="AE43" t="s">
        <v>1162</v>
      </c>
      <c r="AF43" s="80">
        <v>41315</v>
      </c>
      <c r="AG43" s="6">
        <v>12.6</v>
      </c>
    </row>
    <row r="44" spans="31:33">
      <c r="AE44" t="s">
        <v>1162</v>
      </c>
      <c r="AF44" s="80">
        <v>41316</v>
      </c>
      <c r="AG44" s="6">
        <v>25.9</v>
      </c>
    </row>
    <row r="45" spans="31:33">
      <c r="AE45" t="s">
        <v>1162</v>
      </c>
      <c r="AF45" s="80">
        <v>41317</v>
      </c>
      <c r="AG45" s="6">
        <v>32.200000000000003</v>
      </c>
    </row>
    <row r="46" spans="31:33">
      <c r="AE46" t="s">
        <v>1162</v>
      </c>
      <c r="AF46" s="80">
        <v>41318</v>
      </c>
      <c r="AG46" s="6">
        <v>48.2</v>
      </c>
    </row>
    <row r="47" spans="31:33">
      <c r="AE47" t="s">
        <v>1162</v>
      </c>
      <c r="AF47" s="80">
        <v>41319</v>
      </c>
      <c r="AG47" s="6">
        <v>80</v>
      </c>
    </row>
    <row r="48" spans="31:33">
      <c r="AE48" t="s">
        <v>1162</v>
      </c>
      <c r="AF48" s="80">
        <v>41320</v>
      </c>
      <c r="AG48" s="6">
        <v>80.400000000000006</v>
      </c>
    </row>
    <row r="49" spans="1:33" ht="12.75" customHeight="1">
      <c r="A49" s="1189" t="s">
        <v>136</v>
      </c>
      <c r="B49" s="1189"/>
      <c r="C49" s="1189"/>
      <c r="D49" s="1189"/>
      <c r="E49" s="93"/>
      <c r="AE49" t="s">
        <v>1162</v>
      </c>
      <c r="AF49" s="80">
        <v>41321</v>
      </c>
      <c r="AG49" s="6">
        <v>83.5</v>
      </c>
    </row>
    <row r="50" spans="1:33" ht="12.75" customHeight="1">
      <c r="A50" s="1189" t="s">
        <v>137</v>
      </c>
      <c r="B50" s="1189"/>
      <c r="C50" s="1189"/>
      <c r="D50" s="1189"/>
      <c r="E50" s="141"/>
      <c r="AE50" t="s">
        <v>1162</v>
      </c>
      <c r="AF50" s="80">
        <v>41322</v>
      </c>
      <c r="AG50" s="6">
        <v>88.1</v>
      </c>
    </row>
    <row r="51" spans="1:33" ht="12.75" customHeight="1">
      <c r="A51" s="1189" t="s">
        <v>138</v>
      </c>
      <c r="B51" s="1189"/>
      <c r="C51" s="1189"/>
      <c r="D51" s="1189"/>
      <c r="E51" s="141"/>
      <c r="AE51" t="s">
        <v>1162</v>
      </c>
      <c r="AF51" s="80">
        <v>41323</v>
      </c>
      <c r="AG51" s="6">
        <v>98.2</v>
      </c>
    </row>
    <row r="52" spans="1:33" ht="12.75" customHeight="1">
      <c r="A52" s="1189" t="s">
        <v>139</v>
      </c>
      <c r="B52" s="1189"/>
      <c r="C52" s="1189"/>
      <c r="D52" s="1189"/>
      <c r="E52" s="141"/>
      <c r="AE52" t="s">
        <v>1162</v>
      </c>
      <c r="AF52" s="80">
        <v>41324</v>
      </c>
      <c r="AG52" s="6">
        <v>227</v>
      </c>
    </row>
    <row r="53" spans="1:33" ht="12.75" customHeight="1">
      <c r="A53" s="1189" t="s">
        <v>140</v>
      </c>
      <c r="B53" s="1189"/>
      <c r="C53" s="1189"/>
      <c r="D53" s="1189"/>
      <c r="E53" s="142"/>
      <c r="AE53" t="s">
        <v>1162</v>
      </c>
      <c r="AF53" s="80">
        <v>41325</v>
      </c>
      <c r="AG53" s="6">
        <v>273</v>
      </c>
    </row>
    <row r="54" spans="1:33" ht="17.25" customHeight="1">
      <c r="A54" s="1189" t="s">
        <v>141</v>
      </c>
      <c r="B54" s="1189"/>
      <c r="C54" s="1189"/>
      <c r="D54" s="1189"/>
      <c r="E54" s="142"/>
      <c r="G54" s="143" t="s">
        <v>354</v>
      </c>
      <c r="AE54" t="s">
        <v>1162</v>
      </c>
      <c r="AF54" s="80">
        <v>41326</v>
      </c>
    </row>
    <row r="55" spans="1:33" ht="31.5">
      <c r="A55" s="144" t="s">
        <v>212</v>
      </c>
      <c r="B55" s="145" t="s">
        <v>215</v>
      </c>
      <c r="C55" s="145" t="s">
        <v>213</v>
      </c>
      <c r="E55" s="57"/>
      <c r="F55" s="57"/>
      <c r="AE55" t="s">
        <v>1162</v>
      </c>
      <c r="AF55" s="80">
        <v>41327</v>
      </c>
    </row>
    <row r="56" spans="1:33" ht="12.5">
      <c r="A56" s="1123">
        <v>1987</v>
      </c>
      <c r="B56" s="55">
        <v>61594.954499999993</v>
      </c>
      <c r="C56" s="53"/>
      <c r="E56" s="146"/>
      <c r="F56" s="146"/>
      <c r="AE56" t="s">
        <v>1162</v>
      </c>
      <c r="AF56" s="80">
        <v>41328</v>
      </c>
    </row>
    <row r="57" spans="1:33" ht="12.5">
      <c r="A57" s="1123">
        <v>1988</v>
      </c>
      <c r="B57" s="55">
        <v>26201.379000000001</v>
      </c>
      <c r="C57" s="53"/>
      <c r="E57" s="146"/>
      <c r="F57" s="146"/>
      <c r="AE57" t="s">
        <v>1162</v>
      </c>
      <c r="AF57" s="80">
        <v>41329</v>
      </c>
    </row>
    <row r="58" spans="1:33" ht="12.5">
      <c r="A58" s="1123">
        <v>1989</v>
      </c>
      <c r="B58" s="55">
        <v>7527.4679999999998</v>
      </c>
      <c r="C58" s="53"/>
      <c r="E58" s="146"/>
      <c r="F58" s="146"/>
      <c r="AE58" t="s">
        <v>1162</v>
      </c>
      <c r="AF58" s="80">
        <v>41330</v>
      </c>
    </row>
    <row r="59" spans="1:33" ht="12.5">
      <c r="A59" s="1123">
        <v>1990</v>
      </c>
      <c r="B59" s="55">
        <v>20266.259999999998</v>
      </c>
      <c r="C59" s="53"/>
      <c r="E59" s="146"/>
      <c r="F59" s="146"/>
      <c r="AE59" t="s">
        <v>1162</v>
      </c>
      <c r="AF59" s="80">
        <v>41331</v>
      </c>
    </row>
    <row r="60" spans="1:33" ht="12.5">
      <c r="A60" s="1123">
        <v>1991</v>
      </c>
      <c r="B60" s="55">
        <v>25694.7225</v>
      </c>
      <c r="C60" s="53"/>
      <c r="E60" s="146"/>
      <c r="F60" s="146"/>
      <c r="AE60" t="s">
        <v>1162</v>
      </c>
      <c r="AF60" s="80">
        <v>41332</v>
      </c>
    </row>
    <row r="61" spans="1:33" ht="12.5">
      <c r="A61" s="1123">
        <v>1992</v>
      </c>
      <c r="B61" s="55">
        <v>18384.392999999996</v>
      </c>
      <c r="C61" s="53"/>
      <c r="E61" s="57"/>
      <c r="F61" s="57"/>
      <c r="AE61" t="s">
        <v>1162</v>
      </c>
      <c r="AF61" s="80">
        <v>41333</v>
      </c>
    </row>
    <row r="62" spans="1:33" ht="12.5">
      <c r="A62" s="1123">
        <v>1993</v>
      </c>
      <c r="B62" s="55">
        <v>11291.201999999999</v>
      </c>
      <c r="C62" s="53"/>
      <c r="E62" s="57"/>
      <c r="F62" s="57"/>
      <c r="AE62" t="s">
        <v>1162</v>
      </c>
      <c r="AF62" s="80">
        <v>41334</v>
      </c>
    </row>
    <row r="63" spans="1:33" ht="12.5">
      <c r="A63" s="1123">
        <v>1994</v>
      </c>
      <c r="B63" s="55">
        <v>13173.069</v>
      </c>
      <c r="C63" s="53"/>
      <c r="E63" s="57"/>
      <c r="F63" s="57"/>
      <c r="AE63" t="s">
        <v>1162</v>
      </c>
      <c r="AF63" s="80">
        <v>41335</v>
      </c>
    </row>
    <row r="64" spans="1:33" ht="12.5">
      <c r="A64" s="1123">
        <v>1995</v>
      </c>
      <c r="B64" s="55">
        <v>69556.699499999988</v>
      </c>
      <c r="C64" s="53"/>
      <c r="E64" s="57"/>
      <c r="F64" s="57"/>
      <c r="AE64" t="s">
        <v>1162</v>
      </c>
      <c r="AF64" s="80">
        <v>41336</v>
      </c>
    </row>
    <row r="65" spans="1:32" ht="12.5">
      <c r="A65" s="1123">
        <v>1996</v>
      </c>
      <c r="B65" s="55">
        <v>22654.783499999998</v>
      </c>
      <c r="C65" s="53"/>
      <c r="E65" s="57"/>
      <c r="F65" s="57"/>
      <c r="AE65" t="s">
        <v>1162</v>
      </c>
      <c r="AF65" s="80">
        <v>41337</v>
      </c>
    </row>
    <row r="66" spans="1:32" ht="12.5">
      <c r="A66" s="1123">
        <v>1997</v>
      </c>
      <c r="B66" s="55">
        <v>38071.616999999998</v>
      </c>
      <c r="C66" s="53"/>
      <c r="E66" s="57"/>
      <c r="F66" s="57"/>
      <c r="AE66" t="s">
        <v>1162</v>
      </c>
      <c r="AF66" s="80">
        <v>41338</v>
      </c>
    </row>
    <row r="67" spans="1:32" ht="12.5">
      <c r="A67" s="1123">
        <v>1998</v>
      </c>
      <c r="B67" s="55">
        <v>69122.422500000001</v>
      </c>
      <c r="C67" s="53"/>
      <c r="E67" s="57"/>
      <c r="F67" s="57"/>
      <c r="AE67" t="s">
        <v>1162</v>
      </c>
      <c r="AF67" s="80">
        <v>41339</v>
      </c>
    </row>
    <row r="68" spans="1:32" ht="12.5">
      <c r="A68" s="1123">
        <v>1999</v>
      </c>
      <c r="B68" s="55">
        <v>52692.275999999998</v>
      </c>
      <c r="C68" s="53"/>
      <c r="E68" s="57"/>
      <c r="F68" s="57"/>
      <c r="AE68" t="s">
        <v>1162</v>
      </c>
      <c r="AF68" s="80">
        <v>41340</v>
      </c>
    </row>
    <row r="69" spans="1:32" ht="12.5">
      <c r="A69" s="1123">
        <v>2000</v>
      </c>
      <c r="B69" s="55">
        <v>13173.069</v>
      </c>
      <c r="C69" s="53"/>
      <c r="D69" s="148"/>
      <c r="E69" s="57"/>
      <c r="F69" s="57"/>
      <c r="AE69" t="s">
        <v>1162</v>
      </c>
      <c r="AF69" s="80">
        <v>41341</v>
      </c>
    </row>
    <row r="70" spans="1:32" ht="12.5">
      <c r="A70" s="1123">
        <v>2001</v>
      </c>
      <c r="B70" s="55">
        <v>15134.171499999999</v>
      </c>
      <c r="C70" s="53">
        <v>2323</v>
      </c>
      <c r="D70" s="149"/>
      <c r="E70" s="57"/>
      <c r="F70" s="57"/>
      <c r="AE70" t="s">
        <v>1162</v>
      </c>
      <c r="AF70" s="80">
        <v>41342</v>
      </c>
    </row>
    <row r="71" spans="1:32" ht="12.5">
      <c r="A71" s="1123">
        <v>2002</v>
      </c>
      <c r="B71" s="55">
        <v>4248.6766499999994</v>
      </c>
      <c r="C71" s="55">
        <v>528.37034999999992</v>
      </c>
      <c r="D71" s="149"/>
      <c r="E71" s="57"/>
      <c r="F71" s="57"/>
      <c r="AE71" t="s">
        <v>1162</v>
      </c>
      <c r="AF71" s="80">
        <v>41343</v>
      </c>
    </row>
    <row r="72" spans="1:32" ht="12.5">
      <c r="A72" s="1123">
        <v>2003</v>
      </c>
      <c r="B72" s="55">
        <v>21641.470499999999</v>
      </c>
      <c r="C72" s="55">
        <v>7455.0884999999998</v>
      </c>
      <c r="D72" s="149"/>
      <c r="E72" s="57"/>
      <c r="F72" s="57"/>
      <c r="AE72" t="s">
        <v>1162</v>
      </c>
      <c r="AF72" s="80">
        <v>41344</v>
      </c>
    </row>
    <row r="73" spans="1:32" ht="12.5">
      <c r="A73" s="1123">
        <v>2004</v>
      </c>
      <c r="B73" s="55">
        <v>20924.913449999996</v>
      </c>
      <c r="C73" s="55">
        <v>3988.1104499999997</v>
      </c>
      <c r="D73" s="149"/>
      <c r="E73" s="57"/>
      <c r="F73" s="57"/>
      <c r="AE73" t="s">
        <v>1162</v>
      </c>
      <c r="AF73" s="80">
        <v>41345</v>
      </c>
    </row>
    <row r="74" spans="1:32" ht="12.5">
      <c r="A74" s="1123">
        <v>2005</v>
      </c>
      <c r="B74" s="55">
        <v>36624.026999999995</v>
      </c>
      <c r="C74" s="55">
        <v>7455.0884999999998</v>
      </c>
      <c r="D74" s="149"/>
      <c r="E74" s="57"/>
      <c r="F74" s="57"/>
      <c r="AE74" t="s">
        <v>1162</v>
      </c>
      <c r="AF74" s="80">
        <v>41346</v>
      </c>
    </row>
    <row r="75" spans="1:32" ht="12.5">
      <c r="A75" s="1123">
        <v>2006</v>
      </c>
      <c r="B75" s="55">
        <v>8497.4680000000008</v>
      </c>
      <c r="C75" s="55">
        <v>970</v>
      </c>
      <c r="D75" s="149"/>
      <c r="E75" s="57"/>
      <c r="F75" s="57"/>
      <c r="AE75" t="s">
        <v>1162</v>
      </c>
      <c r="AF75" s="80">
        <v>41347</v>
      </c>
    </row>
    <row r="76" spans="1:32" ht="12.5">
      <c r="A76" s="1123">
        <v>2007</v>
      </c>
      <c r="B76" s="55">
        <v>56500</v>
      </c>
      <c r="C76" s="53">
        <v>14861</v>
      </c>
      <c r="AE76" t="s">
        <v>1162</v>
      </c>
      <c r="AF76" s="80">
        <v>41348</v>
      </c>
    </row>
    <row r="77" spans="1:32" ht="16.5" customHeight="1">
      <c r="A77" s="1123">
        <v>2008</v>
      </c>
      <c r="B77" s="147">
        <v>19400</v>
      </c>
      <c r="C77" s="53">
        <v>5613</v>
      </c>
      <c r="AE77" t="s">
        <v>1162</v>
      </c>
      <c r="AF77" s="80">
        <v>41349</v>
      </c>
    </row>
    <row r="78" spans="1:32" ht="16.5" customHeight="1">
      <c r="A78" s="1123">
        <v>2009</v>
      </c>
      <c r="B78" s="147">
        <v>25943</v>
      </c>
      <c r="C78" s="147">
        <v>8202</v>
      </c>
      <c r="AE78" t="s">
        <v>1162</v>
      </c>
      <c r="AF78" s="80">
        <v>41350</v>
      </c>
    </row>
    <row r="79" spans="1:32" ht="12.5">
      <c r="A79" s="1123">
        <v>2010</v>
      </c>
      <c r="B79" s="147">
        <v>29007</v>
      </c>
      <c r="C79" s="147">
        <v>8401</v>
      </c>
      <c r="D79" s="189"/>
      <c r="AE79" t="s">
        <v>1162</v>
      </c>
      <c r="AF79" s="80">
        <v>41351</v>
      </c>
    </row>
    <row r="80" spans="1:32" ht="12.5">
      <c r="A80" s="1123">
        <v>2011</v>
      </c>
      <c r="B80" s="282">
        <v>9432</v>
      </c>
      <c r="C80" s="147">
        <v>1348</v>
      </c>
      <c r="D80" s="361"/>
      <c r="AE80" t="s">
        <v>1162</v>
      </c>
      <c r="AF80" s="80">
        <v>41352</v>
      </c>
    </row>
    <row r="81" spans="1:33" ht="12.5">
      <c r="A81" s="1123">
        <v>2012</v>
      </c>
      <c r="B81" s="282">
        <v>5868</v>
      </c>
      <c r="C81" s="147">
        <v>1316</v>
      </c>
      <c r="D81" s="361"/>
      <c r="AE81" t="s">
        <v>1162</v>
      </c>
      <c r="AF81" s="80">
        <v>41353</v>
      </c>
    </row>
    <row r="82" spans="1:33" ht="12.5">
      <c r="A82" s="1123">
        <v>2013</v>
      </c>
      <c r="B82" s="147">
        <f>N22</f>
        <v>49972.512180000005</v>
      </c>
      <c r="C82" s="147">
        <f>N20</f>
        <v>4882.5128549999999</v>
      </c>
      <c r="D82" s="705"/>
      <c r="AE82" t="s">
        <v>1162</v>
      </c>
      <c r="AF82" s="80">
        <v>41354</v>
      </c>
      <c r="AG82" s="6">
        <v>13</v>
      </c>
    </row>
    <row r="83" spans="1:33">
      <c r="D83" s="281"/>
      <c r="AE83" t="s">
        <v>1162</v>
      </c>
      <c r="AF83" s="80">
        <v>41355</v>
      </c>
      <c r="AG83" s="6">
        <v>12.4</v>
      </c>
    </row>
    <row r="84" spans="1:33" ht="31.5">
      <c r="A84" s="212" t="s">
        <v>212</v>
      </c>
      <c r="B84" s="213" t="s">
        <v>214</v>
      </c>
      <c r="AE84" t="s">
        <v>1162</v>
      </c>
      <c r="AF84" s="80">
        <v>41356</v>
      </c>
      <c r="AG84" s="6">
        <v>14.8</v>
      </c>
    </row>
    <row r="85" spans="1:33" ht="12.5">
      <c r="A85" s="1124">
        <v>1987</v>
      </c>
      <c r="B85" s="140">
        <v>85.1</v>
      </c>
      <c r="AE85" t="s">
        <v>1162</v>
      </c>
      <c r="AF85" s="80">
        <v>41357</v>
      </c>
      <c r="AG85" s="6">
        <v>13.4</v>
      </c>
    </row>
    <row r="86" spans="1:33" ht="12.5">
      <c r="A86" s="1124">
        <v>1988</v>
      </c>
      <c r="B86" s="140">
        <v>36.200000000000003</v>
      </c>
      <c r="AE86" t="s">
        <v>1162</v>
      </c>
      <c r="AF86" s="80">
        <v>41358</v>
      </c>
      <c r="AG86" s="6">
        <v>13</v>
      </c>
    </row>
    <row r="87" spans="1:33" ht="12.5">
      <c r="A87" s="1124">
        <v>1989</v>
      </c>
      <c r="B87" s="140">
        <v>10.4</v>
      </c>
      <c r="AE87" t="s">
        <v>1162</v>
      </c>
      <c r="AF87" s="80">
        <v>41359</v>
      </c>
      <c r="AG87" s="6">
        <v>12.7</v>
      </c>
    </row>
    <row r="88" spans="1:33" ht="12.5">
      <c r="A88" s="1124">
        <v>1990</v>
      </c>
      <c r="B88" s="140">
        <v>28</v>
      </c>
      <c r="AE88" t="s">
        <v>1162</v>
      </c>
      <c r="AF88" s="80">
        <v>41360</v>
      </c>
      <c r="AG88" s="6">
        <v>8.4600000000000009</v>
      </c>
    </row>
    <row r="89" spans="1:33" ht="12.5">
      <c r="A89" s="1124">
        <v>1991</v>
      </c>
      <c r="B89" s="140">
        <v>35.5</v>
      </c>
      <c r="AE89" t="s">
        <v>1162</v>
      </c>
      <c r="AF89" s="80">
        <v>41361</v>
      </c>
      <c r="AG89" s="6">
        <v>4.8</v>
      </c>
    </row>
    <row r="90" spans="1:33" ht="12.5">
      <c r="A90" s="1124">
        <v>1992</v>
      </c>
      <c r="B90" s="140">
        <v>25.4</v>
      </c>
      <c r="AE90" t="s">
        <v>1162</v>
      </c>
      <c r="AF90" s="80">
        <v>41362</v>
      </c>
      <c r="AG90" s="6">
        <v>4.5199999999999996</v>
      </c>
    </row>
    <row r="91" spans="1:33" ht="12.5">
      <c r="A91" s="1124">
        <v>1993</v>
      </c>
      <c r="B91" s="140">
        <v>15.6</v>
      </c>
      <c r="AE91" t="s">
        <v>1162</v>
      </c>
      <c r="AF91" s="80">
        <v>41363</v>
      </c>
      <c r="AG91" s="6">
        <v>4.1100000000000003</v>
      </c>
    </row>
    <row r="92" spans="1:33" ht="12.5">
      <c r="A92" s="1124">
        <v>1994</v>
      </c>
      <c r="B92" s="140">
        <v>18.2</v>
      </c>
      <c r="AE92" t="s">
        <v>1162</v>
      </c>
      <c r="AF92" s="80">
        <v>41364</v>
      </c>
      <c r="AG92" s="6">
        <v>3.98</v>
      </c>
    </row>
    <row r="93" spans="1:33" ht="12.5">
      <c r="A93" s="1124">
        <v>1995</v>
      </c>
      <c r="B93" s="140">
        <v>96.1</v>
      </c>
      <c r="AE93" t="s">
        <v>1162</v>
      </c>
      <c r="AF93" s="80">
        <v>41365</v>
      </c>
      <c r="AG93" s="6">
        <v>2.34</v>
      </c>
    </row>
    <row r="94" spans="1:33" ht="12.5">
      <c r="A94" s="1124">
        <v>1996</v>
      </c>
      <c r="B94" s="140">
        <v>31.3</v>
      </c>
      <c r="AE94" t="s">
        <v>1162</v>
      </c>
      <c r="AF94" s="80">
        <v>41366</v>
      </c>
      <c r="AG94" s="6">
        <v>0.82499999999999996</v>
      </c>
    </row>
    <row r="95" spans="1:33" ht="12.5">
      <c r="A95" s="1124">
        <v>1997</v>
      </c>
      <c r="B95" s="140">
        <v>52.6</v>
      </c>
      <c r="AE95" t="s">
        <v>1162</v>
      </c>
      <c r="AF95" s="80">
        <v>41367</v>
      </c>
      <c r="AG95" s="6">
        <v>1.52</v>
      </c>
    </row>
    <row r="96" spans="1:33" ht="12.5">
      <c r="A96" s="1124">
        <v>1998</v>
      </c>
      <c r="B96" s="140">
        <v>95.5</v>
      </c>
      <c r="AE96" t="s">
        <v>1162</v>
      </c>
      <c r="AF96" s="80">
        <v>41368</v>
      </c>
      <c r="AG96" s="6">
        <v>4.1500000000000004</v>
      </c>
    </row>
    <row r="97" spans="1:33" ht="12.5">
      <c r="A97" s="1124">
        <v>1999</v>
      </c>
      <c r="B97" s="140">
        <v>72.8</v>
      </c>
      <c r="AE97" t="s">
        <v>1162</v>
      </c>
      <c r="AF97" s="80">
        <v>41369</v>
      </c>
      <c r="AG97" s="6">
        <v>4.29</v>
      </c>
    </row>
    <row r="98" spans="1:33" ht="12.5">
      <c r="A98" s="1124">
        <v>2000</v>
      </c>
      <c r="B98" s="140">
        <v>18.2</v>
      </c>
      <c r="AE98" t="s">
        <v>1162</v>
      </c>
      <c r="AF98" s="80">
        <v>41370</v>
      </c>
      <c r="AG98" s="6">
        <v>3.37</v>
      </c>
    </row>
    <row r="99" spans="1:33" ht="12.5">
      <c r="A99" s="1124">
        <v>2001</v>
      </c>
      <c r="B99" s="140">
        <v>17.7</v>
      </c>
      <c r="AE99" t="s">
        <v>1162</v>
      </c>
      <c r="AF99" s="80">
        <v>41371</v>
      </c>
      <c r="AG99" s="6">
        <v>2.77</v>
      </c>
    </row>
    <row r="100" spans="1:33" ht="12.5">
      <c r="A100" s="1124">
        <v>2002</v>
      </c>
      <c r="B100" s="140">
        <v>5.14</v>
      </c>
      <c r="AE100" t="s">
        <v>1162</v>
      </c>
      <c r="AF100" s="80">
        <v>41372</v>
      </c>
      <c r="AG100" s="6">
        <v>3.93</v>
      </c>
    </row>
    <row r="101" spans="1:33" ht="12.5">
      <c r="A101" s="1124">
        <v>2003</v>
      </c>
      <c r="B101" s="140">
        <v>19.600000000000001</v>
      </c>
      <c r="AE101" t="s">
        <v>1162</v>
      </c>
      <c r="AF101" s="80">
        <v>41373</v>
      </c>
      <c r="AG101" s="6">
        <v>5.93</v>
      </c>
    </row>
    <row r="102" spans="1:33" ht="12.5">
      <c r="A102" s="1124">
        <v>2004</v>
      </c>
      <c r="B102" s="140">
        <v>23.4</v>
      </c>
      <c r="AE102" t="s">
        <v>1162</v>
      </c>
      <c r="AF102" s="80">
        <v>41374</v>
      </c>
      <c r="AG102" s="6">
        <v>6.28</v>
      </c>
    </row>
    <row r="103" spans="1:33" ht="12.5">
      <c r="A103" s="1124">
        <v>2005</v>
      </c>
      <c r="B103" s="151">
        <v>40.299999999999997</v>
      </c>
      <c r="AE103" t="s">
        <v>1162</v>
      </c>
      <c r="AF103" s="80">
        <v>41375</v>
      </c>
      <c r="AG103" s="6">
        <v>5.51</v>
      </c>
    </row>
    <row r="104" spans="1:33" ht="15.5">
      <c r="A104" s="1124">
        <v>2006</v>
      </c>
      <c r="B104" s="152">
        <v>10.4</v>
      </c>
      <c r="AE104" t="s">
        <v>1162</v>
      </c>
      <c r="AF104" s="80">
        <v>41376</v>
      </c>
      <c r="AG104" s="6">
        <v>6.43</v>
      </c>
    </row>
    <row r="105" spans="1:33" ht="12.5">
      <c r="A105" s="1124">
        <v>2007</v>
      </c>
      <c r="B105" s="53"/>
      <c r="AE105" t="s">
        <v>1162</v>
      </c>
      <c r="AF105" s="80">
        <v>41377</v>
      </c>
      <c r="AG105" s="6">
        <v>5.18</v>
      </c>
    </row>
    <row r="106" spans="1:33" ht="12.5">
      <c r="A106" s="1124">
        <v>2008</v>
      </c>
      <c r="B106" s="53"/>
      <c r="AE106" t="s">
        <v>1162</v>
      </c>
      <c r="AF106" s="80">
        <v>41378</v>
      </c>
      <c r="AG106" s="6">
        <v>6.3</v>
      </c>
    </row>
    <row r="107" spans="1:33">
      <c r="AE107" t="s">
        <v>1162</v>
      </c>
      <c r="AF107" s="80">
        <v>41379</v>
      </c>
      <c r="AG107" s="6">
        <v>7</v>
      </c>
    </row>
    <row r="108" spans="1:33">
      <c r="AE108" t="s">
        <v>1162</v>
      </c>
      <c r="AF108" s="80">
        <v>41380</v>
      </c>
      <c r="AG108" s="6">
        <v>11.8</v>
      </c>
    </row>
    <row r="109" spans="1:33">
      <c r="AE109" t="s">
        <v>1162</v>
      </c>
      <c r="AF109" s="80">
        <v>41381</v>
      </c>
      <c r="AG109" s="6">
        <v>12.9</v>
      </c>
    </row>
    <row r="110" spans="1:33">
      <c r="F110" s="17" t="s">
        <v>1163</v>
      </c>
      <c r="AE110" t="s">
        <v>1162</v>
      </c>
      <c r="AF110" s="80">
        <v>41382</v>
      </c>
      <c r="AG110" s="6">
        <v>12.3</v>
      </c>
    </row>
    <row r="111" spans="1:33" ht="15.5">
      <c r="A111" s="334" t="s">
        <v>1107</v>
      </c>
      <c r="C111" s="638">
        <v>41518</v>
      </c>
      <c r="D111" s="334">
        <v>68</v>
      </c>
      <c r="F111" s="334">
        <v>44.4</v>
      </c>
      <c r="G111">
        <f>(F111*0.12)+F111</f>
        <v>49.727999999999994</v>
      </c>
      <c r="I111" s="334">
        <v>6.33</v>
      </c>
      <c r="L111" s="334">
        <v>44.4</v>
      </c>
      <c r="M111" s="334">
        <v>6.33</v>
      </c>
      <c r="AE111" t="s">
        <v>1162</v>
      </c>
      <c r="AF111" s="80">
        <v>41383</v>
      </c>
      <c r="AG111" s="6">
        <v>11</v>
      </c>
    </row>
    <row r="112" spans="1:33" ht="15.5">
      <c r="A112" s="334" t="s">
        <v>1107</v>
      </c>
      <c r="C112" s="638">
        <v>41519</v>
      </c>
      <c r="D112" s="334">
        <v>71.900000000000006</v>
      </c>
      <c r="F112" s="334">
        <v>46</v>
      </c>
      <c r="G112">
        <f t="shared" ref="G112:G143" si="12">(F112*0.12)+F112</f>
        <v>51.519999999999996</v>
      </c>
      <c r="I112" s="334">
        <v>6.34</v>
      </c>
      <c r="L112" s="334">
        <v>46</v>
      </c>
      <c r="M112" s="334">
        <v>6.34</v>
      </c>
      <c r="AE112" t="s">
        <v>1162</v>
      </c>
      <c r="AF112" s="80">
        <v>41384</v>
      </c>
      <c r="AG112" s="6">
        <v>12</v>
      </c>
    </row>
    <row r="113" spans="1:33" ht="15.5">
      <c r="A113" s="334" t="s">
        <v>1107</v>
      </c>
      <c r="C113" s="638">
        <v>41520</v>
      </c>
      <c r="D113" s="334">
        <v>76.400000000000006</v>
      </c>
      <c r="F113" s="334">
        <v>46.1</v>
      </c>
      <c r="G113">
        <f t="shared" si="12"/>
        <v>51.632000000000005</v>
      </c>
      <c r="I113" s="334">
        <v>6.34</v>
      </c>
      <c r="L113" s="334">
        <v>46.1</v>
      </c>
      <c r="M113" s="334">
        <v>6.34</v>
      </c>
      <c r="AE113" t="s">
        <v>1162</v>
      </c>
      <c r="AF113" s="80">
        <v>41385</v>
      </c>
      <c r="AG113" s="6">
        <v>15</v>
      </c>
    </row>
    <row r="114" spans="1:33" ht="15.5">
      <c r="A114" s="334" t="s">
        <v>1107</v>
      </c>
      <c r="C114" s="638">
        <v>41521</v>
      </c>
      <c r="D114" s="334">
        <v>74.7</v>
      </c>
      <c r="F114" s="334">
        <v>44.2</v>
      </c>
      <c r="G114">
        <f t="shared" si="12"/>
        <v>49.504000000000005</v>
      </c>
      <c r="I114" s="334">
        <v>6.33</v>
      </c>
      <c r="L114" s="334">
        <v>44.2</v>
      </c>
      <c r="M114" s="334">
        <v>6.33</v>
      </c>
      <c r="AE114" t="s">
        <v>1162</v>
      </c>
      <c r="AF114" s="80">
        <v>41386</v>
      </c>
      <c r="AG114" s="6">
        <v>18.2</v>
      </c>
    </row>
    <row r="115" spans="1:33" ht="15.5">
      <c r="A115" s="334" t="s">
        <v>1107</v>
      </c>
      <c r="C115" s="638">
        <v>41522</v>
      </c>
      <c r="D115" s="334">
        <v>75.3</v>
      </c>
      <c r="F115" s="334">
        <v>42.6</v>
      </c>
      <c r="G115">
        <f t="shared" si="12"/>
        <v>47.712000000000003</v>
      </c>
      <c r="I115" s="334">
        <v>6.31</v>
      </c>
      <c r="L115" s="334">
        <v>42.6</v>
      </c>
      <c r="M115" s="334">
        <v>6.31</v>
      </c>
      <c r="AE115" t="s">
        <v>1162</v>
      </c>
      <c r="AF115" s="80">
        <v>41387</v>
      </c>
      <c r="AG115" s="6">
        <v>23.7</v>
      </c>
    </row>
    <row r="116" spans="1:33" ht="15.5">
      <c r="A116" s="334" t="s">
        <v>1107</v>
      </c>
      <c r="C116" s="638">
        <v>41523</v>
      </c>
      <c r="D116" s="334">
        <v>77.099999999999994</v>
      </c>
      <c r="F116" s="334">
        <v>39.4</v>
      </c>
      <c r="G116">
        <f t="shared" si="12"/>
        <v>44.128</v>
      </c>
      <c r="I116" s="334">
        <v>6.28</v>
      </c>
      <c r="L116" s="334">
        <v>39.4</v>
      </c>
      <c r="M116" s="334">
        <v>6.28</v>
      </c>
      <c r="AE116" t="s">
        <v>1162</v>
      </c>
      <c r="AF116" s="80">
        <v>41388</v>
      </c>
      <c r="AG116" s="6">
        <v>24.7</v>
      </c>
    </row>
    <row r="117" spans="1:33" ht="15.5">
      <c r="A117" s="334" t="s">
        <v>1107</v>
      </c>
      <c r="C117" s="638">
        <v>41524</v>
      </c>
      <c r="D117" s="334">
        <v>74.8</v>
      </c>
      <c r="F117" s="334">
        <v>36.1</v>
      </c>
      <c r="G117">
        <f t="shared" si="12"/>
        <v>40.432000000000002</v>
      </c>
      <c r="I117" s="334">
        <v>6.24</v>
      </c>
      <c r="L117" s="334">
        <v>36.1</v>
      </c>
      <c r="M117" s="334">
        <v>6.24</v>
      </c>
      <c r="AE117" t="s">
        <v>1162</v>
      </c>
      <c r="AF117" s="80">
        <v>41389</v>
      </c>
      <c r="AG117" s="6">
        <v>26.3</v>
      </c>
    </row>
    <row r="118" spans="1:33" ht="15.5">
      <c r="A118" s="334" t="s">
        <v>1107</v>
      </c>
      <c r="C118" s="638">
        <v>41525</v>
      </c>
      <c r="D118" s="334">
        <v>73</v>
      </c>
      <c r="F118" s="334">
        <v>36.299999999999997</v>
      </c>
      <c r="G118">
        <f t="shared" si="12"/>
        <v>40.655999999999999</v>
      </c>
      <c r="I118" s="334">
        <v>6.24</v>
      </c>
      <c r="L118" s="334">
        <v>36.299999999999997</v>
      </c>
      <c r="M118" s="334">
        <v>6.24</v>
      </c>
      <c r="AE118" t="s">
        <v>1162</v>
      </c>
      <c r="AF118" s="80">
        <v>41390</v>
      </c>
      <c r="AG118" s="6">
        <v>24.9</v>
      </c>
    </row>
    <row r="119" spans="1:33" ht="15.5">
      <c r="A119" s="334" t="s">
        <v>1107</v>
      </c>
      <c r="C119" s="638">
        <v>41526</v>
      </c>
      <c r="D119" s="334">
        <v>66.099999999999994</v>
      </c>
      <c r="F119" s="334">
        <v>48</v>
      </c>
      <c r="G119">
        <f t="shared" si="12"/>
        <v>53.76</v>
      </c>
      <c r="I119" s="334">
        <v>6.31</v>
      </c>
      <c r="L119" s="334">
        <v>48</v>
      </c>
      <c r="M119" s="334">
        <v>6.31</v>
      </c>
      <c r="AE119" t="s">
        <v>1162</v>
      </c>
      <c r="AF119" s="80">
        <v>41391</v>
      </c>
      <c r="AG119" s="6">
        <v>25.9</v>
      </c>
    </row>
    <row r="120" spans="1:33" ht="15.5">
      <c r="A120" s="334" t="s">
        <v>1107</v>
      </c>
      <c r="C120" s="638">
        <v>41527</v>
      </c>
      <c r="D120" s="334">
        <v>59.7</v>
      </c>
      <c r="F120" s="334">
        <v>132</v>
      </c>
      <c r="G120">
        <f t="shared" si="12"/>
        <v>147.84</v>
      </c>
      <c r="I120" s="334">
        <v>6.8</v>
      </c>
      <c r="L120" s="334">
        <v>132</v>
      </c>
      <c r="M120" s="334">
        <v>6.8</v>
      </c>
      <c r="AE120" t="s">
        <v>1162</v>
      </c>
      <c r="AF120" s="80">
        <v>41392</v>
      </c>
      <c r="AG120" s="6">
        <v>28</v>
      </c>
    </row>
    <row r="121" spans="1:33" ht="15.5">
      <c r="A121" s="334" t="s">
        <v>1107</v>
      </c>
      <c r="C121" s="638">
        <v>41528</v>
      </c>
      <c r="D121" s="334">
        <v>60.5</v>
      </c>
      <c r="F121" s="334">
        <v>391</v>
      </c>
      <c r="G121">
        <f t="shared" si="12"/>
        <v>437.92</v>
      </c>
      <c r="I121" s="334">
        <v>7.34</v>
      </c>
      <c r="L121" s="334">
        <v>391</v>
      </c>
      <c r="M121" s="334">
        <v>7.34</v>
      </c>
      <c r="AE121" t="s">
        <v>1162</v>
      </c>
      <c r="AF121" s="80">
        <v>41393</v>
      </c>
      <c r="AG121" s="6">
        <v>34.5</v>
      </c>
    </row>
    <row r="122" spans="1:33" ht="15.5">
      <c r="A122" s="334" t="s">
        <v>1107</v>
      </c>
      <c r="C122" s="638">
        <v>41529</v>
      </c>
      <c r="D122" s="334">
        <v>59.5</v>
      </c>
      <c r="F122" s="334">
        <v>405</v>
      </c>
      <c r="G122">
        <f t="shared" si="12"/>
        <v>453.6</v>
      </c>
      <c r="I122" s="334">
        <v>7.68</v>
      </c>
      <c r="L122" s="334">
        <v>405</v>
      </c>
      <c r="M122" s="334">
        <v>7.68</v>
      </c>
      <c r="AE122" t="s">
        <v>1162</v>
      </c>
      <c r="AF122" s="80">
        <v>41394</v>
      </c>
      <c r="AG122" s="6">
        <v>38.700000000000003</v>
      </c>
    </row>
    <row r="123" spans="1:33" ht="15.5">
      <c r="A123" s="334" t="s">
        <v>1107</v>
      </c>
      <c r="C123" s="638">
        <v>41530</v>
      </c>
      <c r="D123" s="334">
        <v>61.9</v>
      </c>
      <c r="F123" s="334">
        <v>1100</v>
      </c>
      <c r="G123">
        <f t="shared" si="12"/>
        <v>1232</v>
      </c>
      <c r="I123" s="334">
        <v>8.6300000000000008</v>
      </c>
      <c r="L123" s="334">
        <v>845.3</v>
      </c>
      <c r="M123" s="334">
        <v>7.91</v>
      </c>
      <c r="AE123" t="s">
        <v>1162</v>
      </c>
      <c r="AF123" s="80">
        <v>41395</v>
      </c>
      <c r="AG123" s="6">
        <v>48.7</v>
      </c>
    </row>
    <row r="124" spans="1:33" ht="15.5">
      <c r="A124" s="334" t="s">
        <v>1107</v>
      </c>
      <c r="C124" s="638">
        <v>41531</v>
      </c>
      <c r="D124" s="334">
        <v>62.3</v>
      </c>
      <c r="F124" s="334">
        <v>900</v>
      </c>
      <c r="G124">
        <f t="shared" si="12"/>
        <v>1008</v>
      </c>
      <c r="I124" s="334">
        <v>8.17</v>
      </c>
      <c r="L124" s="334">
        <v>747</v>
      </c>
      <c r="M124" s="334">
        <v>7.75</v>
      </c>
      <c r="AE124" t="s">
        <v>1162</v>
      </c>
      <c r="AF124" s="80">
        <v>41396</v>
      </c>
      <c r="AG124" s="6">
        <v>47.7</v>
      </c>
    </row>
    <row r="125" spans="1:33" ht="15.5">
      <c r="A125" s="334" t="s">
        <v>1107</v>
      </c>
      <c r="C125" s="638">
        <v>41532</v>
      </c>
      <c r="D125" s="334">
        <v>56.5</v>
      </c>
      <c r="F125" s="334">
        <v>950</v>
      </c>
      <c r="G125">
        <f t="shared" si="12"/>
        <v>1064</v>
      </c>
      <c r="I125" s="334">
        <v>8.26</v>
      </c>
      <c r="L125" s="334">
        <v>551</v>
      </c>
      <c r="M125" s="334">
        <v>7.58</v>
      </c>
      <c r="AE125" t="s">
        <v>1162</v>
      </c>
      <c r="AF125" s="80">
        <v>41397</v>
      </c>
      <c r="AG125" s="6">
        <v>48.3</v>
      </c>
    </row>
    <row r="126" spans="1:33" ht="15.5">
      <c r="A126" s="334" t="s">
        <v>1107</v>
      </c>
      <c r="C126" s="638">
        <v>41530</v>
      </c>
      <c r="D126" s="334">
        <v>61.9</v>
      </c>
      <c r="F126" s="334">
        <v>1100</v>
      </c>
      <c r="G126">
        <f t="shared" si="12"/>
        <v>1232</v>
      </c>
      <c r="I126" s="334">
        <v>8.6300000000000008</v>
      </c>
      <c r="L126" s="334">
        <v>427</v>
      </c>
      <c r="M126" s="334">
        <v>7.44</v>
      </c>
      <c r="AE126" t="s">
        <v>1162</v>
      </c>
      <c r="AF126" s="80">
        <v>41398</v>
      </c>
      <c r="AG126" s="6">
        <v>45.2</v>
      </c>
    </row>
    <row r="127" spans="1:33" ht="15.5">
      <c r="A127" s="334" t="s">
        <v>1107</v>
      </c>
      <c r="C127" s="638">
        <v>41531</v>
      </c>
      <c r="D127" s="334">
        <v>62.3</v>
      </c>
      <c r="F127" s="334">
        <v>900</v>
      </c>
      <c r="G127">
        <f t="shared" si="12"/>
        <v>1008</v>
      </c>
      <c r="I127" s="334">
        <v>8.17</v>
      </c>
      <c r="L127" s="334">
        <v>345</v>
      </c>
      <c r="M127" s="334">
        <v>7.32</v>
      </c>
      <c r="AE127" t="s">
        <v>1162</v>
      </c>
      <c r="AF127" s="80">
        <v>41399</v>
      </c>
      <c r="AG127" s="6">
        <v>44.9</v>
      </c>
    </row>
    <row r="128" spans="1:33" ht="15.5">
      <c r="A128" s="334" t="s">
        <v>1107</v>
      </c>
      <c r="C128" s="638">
        <v>41532</v>
      </c>
      <c r="D128" s="334">
        <v>56.5</v>
      </c>
      <c r="F128" s="334">
        <v>950</v>
      </c>
      <c r="G128">
        <f t="shared" si="12"/>
        <v>1064</v>
      </c>
      <c r="I128" s="334">
        <v>8.26</v>
      </c>
      <c r="L128" s="334">
        <v>315</v>
      </c>
      <c r="M128" s="334">
        <v>7.27</v>
      </c>
      <c r="AE128" t="s">
        <v>1162</v>
      </c>
      <c r="AF128" s="80">
        <v>41400</v>
      </c>
      <c r="AG128" s="6">
        <v>44.3</v>
      </c>
    </row>
    <row r="129" spans="1:33" ht="15.5">
      <c r="A129" s="334" t="s">
        <v>1107</v>
      </c>
      <c r="C129" s="638">
        <v>41533</v>
      </c>
      <c r="D129" s="334">
        <v>60.2</v>
      </c>
      <c r="F129" s="334">
        <v>1100</v>
      </c>
      <c r="G129">
        <f t="shared" si="12"/>
        <v>1232</v>
      </c>
      <c r="I129" s="334">
        <v>8.56</v>
      </c>
      <c r="L129" s="334">
        <v>248</v>
      </c>
      <c r="M129" s="334">
        <v>7.15</v>
      </c>
      <c r="AE129" t="s">
        <v>1162</v>
      </c>
      <c r="AF129" s="80">
        <v>41401</v>
      </c>
      <c r="AG129" s="6">
        <v>49.9</v>
      </c>
    </row>
    <row r="130" spans="1:33" ht="15.5">
      <c r="A130" s="334" t="s">
        <v>1107</v>
      </c>
      <c r="C130" s="638">
        <v>41534</v>
      </c>
      <c r="D130" s="334">
        <v>66.900000000000006</v>
      </c>
      <c r="F130" s="334">
        <v>900</v>
      </c>
      <c r="G130">
        <f t="shared" si="12"/>
        <v>1008</v>
      </c>
      <c r="I130" s="334">
        <v>8.17</v>
      </c>
      <c r="L130" s="334">
        <v>216</v>
      </c>
      <c r="M130" s="334">
        <v>7.08</v>
      </c>
      <c r="AE130" t="s">
        <v>1162</v>
      </c>
      <c r="AF130" s="80">
        <v>41402</v>
      </c>
      <c r="AG130" s="6">
        <v>58.7</v>
      </c>
    </row>
    <row r="131" spans="1:33" ht="15.5">
      <c r="A131" s="334" t="s">
        <v>1107</v>
      </c>
      <c r="C131" s="638">
        <v>41535</v>
      </c>
      <c r="D131" s="334">
        <v>68.2</v>
      </c>
      <c r="F131" s="334">
        <v>845.3</v>
      </c>
      <c r="G131">
        <f t="shared" si="12"/>
        <v>946.73599999999999</v>
      </c>
      <c r="I131" s="334">
        <v>7.91</v>
      </c>
      <c r="L131" s="334">
        <v>191</v>
      </c>
      <c r="M131" s="334">
        <v>7.02</v>
      </c>
      <c r="AE131" t="s">
        <v>1162</v>
      </c>
      <c r="AF131" s="80">
        <v>41403</v>
      </c>
      <c r="AG131" s="6">
        <v>114</v>
      </c>
    </row>
    <row r="132" spans="1:33" ht="15.5">
      <c r="A132" s="334" t="s">
        <v>1107</v>
      </c>
      <c r="C132" s="638">
        <v>41536</v>
      </c>
      <c r="D132" s="334">
        <v>57.5</v>
      </c>
      <c r="F132" s="334">
        <v>747</v>
      </c>
      <c r="G132">
        <f t="shared" si="12"/>
        <v>836.64</v>
      </c>
      <c r="I132" s="334">
        <v>7.75</v>
      </c>
      <c r="L132" s="334">
        <v>188</v>
      </c>
      <c r="M132" s="334">
        <v>6.98</v>
      </c>
      <c r="AE132" t="s">
        <v>1162</v>
      </c>
      <c r="AF132" s="80">
        <v>41404</v>
      </c>
      <c r="AG132" s="6">
        <v>162</v>
      </c>
    </row>
    <row r="133" spans="1:33" ht="15.5">
      <c r="A133" s="334" t="s">
        <v>1107</v>
      </c>
      <c r="C133" s="638">
        <v>41537</v>
      </c>
      <c r="D133" s="334">
        <v>57.6</v>
      </c>
      <c r="F133" s="334">
        <v>551</v>
      </c>
      <c r="G133">
        <f t="shared" si="12"/>
        <v>617.12</v>
      </c>
      <c r="I133" s="334">
        <v>7.58</v>
      </c>
      <c r="L133" s="334">
        <v>183</v>
      </c>
      <c r="M133" s="334">
        <v>6.95</v>
      </c>
      <c r="AE133" t="s">
        <v>1162</v>
      </c>
      <c r="AF133" s="80">
        <v>41405</v>
      </c>
      <c r="AG133" s="6">
        <v>147</v>
      </c>
    </row>
    <row r="134" spans="1:33" ht="15.5">
      <c r="A134" s="334" t="s">
        <v>1107</v>
      </c>
      <c r="C134" s="638">
        <v>41538</v>
      </c>
      <c r="D134" s="334">
        <v>65.099999999999994</v>
      </c>
      <c r="F134" s="334">
        <v>427</v>
      </c>
      <c r="G134">
        <f t="shared" si="12"/>
        <v>478.24</v>
      </c>
      <c r="I134" s="334">
        <v>7.44</v>
      </c>
      <c r="L134" s="334">
        <v>160</v>
      </c>
      <c r="M134" s="334">
        <v>6.88</v>
      </c>
      <c r="AE134" t="s">
        <v>1162</v>
      </c>
      <c r="AF134" s="80">
        <v>41406</v>
      </c>
      <c r="AG134" s="6">
        <v>150</v>
      </c>
    </row>
    <row r="135" spans="1:33" ht="15.5">
      <c r="A135" s="334" t="s">
        <v>1107</v>
      </c>
      <c r="C135" s="638">
        <v>41539</v>
      </c>
      <c r="D135" s="334">
        <v>63.5</v>
      </c>
      <c r="F135" s="334">
        <v>345</v>
      </c>
      <c r="G135">
        <f t="shared" si="12"/>
        <v>386.4</v>
      </c>
      <c r="I135" s="334">
        <v>7.32</v>
      </c>
      <c r="L135" s="334">
        <v>146</v>
      </c>
      <c r="M135" s="334">
        <v>6.84</v>
      </c>
      <c r="AE135" t="s">
        <v>1162</v>
      </c>
      <c r="AF135" s="80">
        <v>41407</v>
      </c>
      <c r="AG135" s="6">
        <v>156</v>
      </c>
    </row>
    <row r="136" spans="1:33" ht="15.5">
      <c r="A136" s="334" t="s">
        <v>1107</v>
      </c>
      <c r="C136" s="638">
        <v>41540</v>
      </c>
      <c r="D136" s="334">
        <v>56.1</v>
      </c>
      <c r="F136" s="334">
        <v>315</v>
      </c>
      <c r="G136">
        <f t="shared" si="12"/>
        <v>352.8</v>
      </c>
      <c r="I136" s="334">
        <v>7.27</v>
      </c>
      <c r="L136" s="334">
        <v>1000</v>
      </c>
      <c r="M136" s="334">
        <v>8</v>
      </c>
      <c r="AE136" t="s">
        <v>1162</v>
      </c>
      <c r="AF136" s="80">
        <v>41408</v>
      </c>
      <c r="AG136" s="6">
        <v>165</v>
      </c>
    </row>
    <row r="137" spans="1:33" ht="15.5">
      <c r="A137" s="334" t="s">
        <v>1107</v>
      </c>
      <c r="C137" s="638">
        <v>41541</v>
      </c>
      <c r="D137" s="334">
        <v>58.4</v>
      </c>
      <c r="F137" s="334">
        <v>248</v>
      </c>
      <c r="G137">
        <f t="shared" si="12"/>
        <v>277.76</v>
      </c>
      <c r="I137" s="334">
        <v>7.15</v>
      </c>
      <c r="L137" s="334">
        <v>1800</v>
      </c>
      <c r="M137" s="334">
        <v>10</v>
      </c>
      <c r="P137" s="17" t="s">
        <v>1108</v>
      </c>
      <c r="AE137" t="s">
        <v>1162</v>
      </c>
      <c r="AF137" s="80">
        <v>41409</v>
      </c>
      <c r="AG137" s="6">
        <v>163</v>
      </c>
    </row>
    <row r="138" spans="1:33" ht="15.5">
      <c r="A138" s="334" t="s">
        <v>1107</v>
      </c>
      <c r="C138" s="638">
        <v>41542</v>
      </c>
      <c r="D138" s="334">
        <v>63.5</v>
      </c>
      <c r="F138" s="334">
        <v>216</v>
      </c>
      <c r="G138">
        <f t="shared" si="12"/>
        <v>241.92</v>
      </c>
      <c r="I138" s="334">
        <v>7.08</v>
      </c>
      <c r="AE138" t="s">
        <v>1162</v>
      </c>
      <c r="AF138" s="80">
        <v>41410</v>
      </c>
      <c r="AG138" s="6">
        <v>160</v>
      </c>
    </row>
    <row r="139" spans="1:33" ht="15.5">
      <c r="A139" s="334" t="s">
        <v>1107</v>
      </c>
      <c r="C139" s="638">
        <v>41543</v>
      </c>
      <c r="D139" s="334">
        <v>55.3</v>
      </c>
      <c r="F139" s="334">
        <v>191</v>
      </c>
      <c r="G139">
        <f t="shared" si="12"/>
        <v>213.92</v>
      </c>
      <c r="I139" s="334">
        <v>7.02</v>
      </c>
      <c r="AE139" t="s">
        <v>1162</v>
      </c>
      <c r="AF139" s="80">
        <v>41411</v>
      </c>
      <c r="AG139" s="6">
        <v>153</v>
      </c>
    </row>
    <row r="140" spans="1:33" ht="15.5">
      <c r="A140" s="334" t="s">
        <v>1107</v>
      </c>
      <c r="C140" s="638">
        <v>41544</v>
      </c>
      <c r="D140" s="334">
        <v>46.9</v>
      </c>
      <c r="F140" s="334">
        <v>188</v>
      </c>
      <c r="G140">
        <f t="shared" si="12"/>
        <v>210.56</v>
      </c>
      <c r="I140" s="334">
        <v>6.98</v>
      </c>
      <c r="AE140" t="s">
        <v>1162</v>
      </c>
      <c r="AF140" s="80">
        <v>41412</v>
      </c>
      <c r="AG140" s="6">
        <v>153</v>
      </c>
    </row>
    <row r="141" spans="1:33" ht="15.5">
      <c r="A141" s="334" t="s">
        <v>1107</v>
      </c>
      <c r="C141" s="638">
        <v>41545</v>
      </c>
      <c r="D141" s="334">
        <v>48.8</v>
      </c>
      <c r="F141" s="334">
        <v>183</v>
      </c>
      <c r="G141">
        <f t="shared" si="12"/>
        <v>204.96</v>
      </c>
      <c r="I141" s="334">
        <v>6.95</v>
      </c>
      <c r="AE141" t="s">
        <v>1162</v>
      </c>
      <c r="AF141" s="80">
        <v>41413</v>
      </c>
      <c r="AG141" s="6">
        <v>132</v>
      </c>
    </row>
    <row r="142" spans="1:33" ht="15.5">
      <c r="A142" s="334" t="s">
        <v>1107</v>
      </c>
      <c r="C142" s="638">
        <v>41546</v>
      </c>
      <c r="D142" s="334">
        <v>57.3</v>
      </c>
      <c r="F142" s="334">
        <v>160</v>
      </c>
      <c r="G142">
        <f t="shared" si="12"/>
        <v>179.2</v>
      </c>
      <c r="I142" s="334">
        <v>6.88</v>
      </c>
      <c r="AE142" t="s">
        <v>1162</v>
      </c>
      <c r="AF142" s="80">
        <v>41414</v>
      </c>
      <c r="AG142" s="6">
        <v>110</v>
      </c>
    </row>
    <row r="143" spans="1:33" ht="15.5">
      <c r="A143" s="334" t="s">
        <v>1107</v>
      </c>
      <c r="C143" s="638">
        <v>41547</v>
      </c>
      <c r="D143" s="334">
        <v>64</v>
      </c>
      <c r="F143" s="334">
        <v>146</v>
      </c>
      <c r="G143">
        <f t="shared" si="12"/>
        <v>163.52000000000001</v>
      </c>
      <c r="I143" s="334">
        <v>6.84</v>
      </c>
      <c r="AE143" t="s">
        <v>1162</v>
      </c>
      <c r="AF143" s="80">
        <v>41415</v>
      </c>
      <c r="AG143" s="6">
        <v>92.7</v>
      </c>
    </row>
    <row r="144" spans="1:33">
      <c r="F144" s="721">
        <f>AVERAGE(F111:F143)</f>
        <v>417.37575757575758</v>
      </c>
      <c r="G144" s="721">
        <f>AVERAGE(G111:G143)</f>
        <v>467.4608484848485</v>
      </c>
      <c r="AE144" t="s">
        <v>1162</v>
      </c>
      <c r="AF144" s="80">
        <v>41416</v>
      </c>
      <c r="AG144" s="6">
        <v>87.8</v>
      </c>
    </row>
    <row r="145" spans="1:33">
      <c r="AE145" t="s">
        <v>1162</v>
      </c>
      <c r="AF145" s="80">
        <v>41417</v>
      </c>
      <c r="AG145" s="6">
        <v>88.6</v>
      </c>
    </row>
    <row r="146" spans="1:33">
      <c r="AE146" t="s">
        <v>1162</v>
      </c>
      <c r="AF146" s="80">
        <v>41418</v>
      </c>
      <c r="AG146" s="6">
        <v>93.3</v>
      </c>
    </row>
    <row r="147" spans="1:33" ht="12.5">
      <c r="A147" s="17"/>
      <c r="AE147" t="s">
        <v>1162</v>
      </c>
      <c r="AF147" s="80">
        <v>41419</v>
      </c>
      <c r="AG147" s="6">
        <v>95</v>
      </c>
    </row>
    <row r="148" spans="1:33" ht="13.5">
      <c r="A148" s="1186" t="s">
        <v>1110</v>
      </c>
      <c r="B148" s="645" t="s">
        <v>76</v>
      </c>
      <c r="C148" s="645" t="s">
        <v>77</v>
      </c>
      <c r="D148" s="645" t="s">
        <v>78</v>
      </c>
      <c r="H148" s="17" t="s">
        <v>1176</v>
      </c>
      <c r="AE148" t="s">
        <v>1162</v>
      </c>
      <c r="AF148" s="80">
        <v>41420</v>
      </c>
      <c r="AG148" s="6">
        <v>91.2</v>
      </c>
    </row>
    <row r="149" spans="1:33" ht="13.5">
      <c r="A149" s="1187"/>
      <c r="B149" s="646">
        <v>2013</v>
      </c>
      <c r="C149" s="646">
        <v>2013</v>
      </c>
      <c r="D149" s="646">
        <v>2013</v>
      </c>
      <c r="H149" s="1191" t="s">
        <v>1177</v>
      </c>
      <c r="I149" s="1192"/>
      <c r="J149" s="1192"/>
      <c r="K149" s="1192"/>
      <c r="L149" s="1192"/>
      <c r="M149" s="1192"/>
      <c r="N149" s="1192"/>
      <c r="O149" s="1192"/>
      <c r="P149" s="1192"/>
      <c r="Q149" s="1192"/>
      <c r="R149" s="1192"/>
      <c r="S149" s="1192"/>
      <c r="T149" s="1192"/>
      <c r="U149" s="1193"/>
      <c r="AE149" t="s">
        <v>1162</v>
      </c>
      <c r="AF149" s="80">
        <v>41421</v>
      </c>
      <c r="AG149" s="6">
        <v>86.2</v>
      </c>
    </row>
    <row r="150" spans="1:33" ht="13.5">
      <c r="A150" s="1125">
        <v>1</v>
      </c>
      <c r="B150" s="648"/>
      <c r="C150" s="644">
        <v>48</v>
      </c>
      <c r="D150" s="644">
        <v>142</v>
      </c>
      <c r="H150" s="1186" t="s">
        <v>1110</v>
      </c>
      <c r="I150" s="745" t="s">
        <v>79</v>
      </c>
      <c r="J150" s="745" t="s">
        <v>80</v>
      </c>
      <c r="K150" s="745" t="s">
        <v>69</v>
      </c>
      <c r="L150" s="745" t="s">
        <v>70</v>
      </c>
      <c r="M150" s="745" t="s">
        <v>71</v>
      </c>
      <c r="N150" s="745" t="s">
        <v>72</v>
      </c>
      <c r="O150" s="745" t="s">
        <v>73</v>
      </c>
      <c r="P150" s="745" t="s">
        <v>74</v>
      </c>
      <c r="Q150" s="745" t="s">
        <v>75</v>
      </c>
      <c r="R150" s="745" t="s">
        <v>76</v>
      </c>
      <c r="S150" s="745" t="s">
        <v>77</v>
      </c>
      <c r="T150" s="745" t="s">
        <v>78</v>
      </c>
      <c r="U150" s="745" t="s">
        <v>79</v>
      </c>
      <c r="AE150" t="s">
        <v>1162</v>
      </c>
      <c r="AF150" s="80">
        <v>41422</v>
      </c>
      <c r="AG150" s="6">
        <v>81.5</v>
      </c>
    </row>
    <row r="151" spans="1:33" ht="13.5">
      <c r="A151" s="1125">
        <v>2</v>
      </c>
      <c r="B151" s="648"/>
      <c r="C151" s="644">
        <v>48</v>
      </c>
      <c r="D151" s="644">
        <v>133</v>
      </c>
      <c r="H151" s="1187"/>
      <c r="I151" s="746">
        <v>2012</v>
      </c>
      <c r="J151" s="746">
        <v>2012</v>
      </c>
      <c r="K151" s="746">
        <v>2013</v>
      </c>
      <c r="L151" s="746">
        <v>2013</v>
      </c>
      <c r="M151" s="746">
        <v>2013</v>
      </c>
      <c r="N151" s="746">
        <v>2013</v>
      </c>
      <c r="O151" s="746">
        <v>2013</v>
      </c>
      <c r="P151" s="746">
        <v>2013</v>
      </c>
      <c r="Q151" s="746">
        <v>2013</v>
      </c>
      <c r="R151" s="746">
        <v>2013</v>
      </c>
      <c r="S151" s="746">
        <v>2013</v>
      </c>
      <c r="T151" s="746">
        <v>2013</v>
      </c>
      <c r="U151" s="746">
        <v>2013</v>
      </c>
      <c r="AE151" t="s">
        <v>1162</v>
      </c>
      <c r="AF151" s="80">
        <v>41423</v>
      </c>
      <c r="AG151" s="6">
        <v>79.5</v>
      </c>
    </row>
    <row r="152" spans="1:33" ht="14.5">
      <c r="A152" s="1125">
        <v>3</v>
      </c>
      <c r="B152" s="648"/>
      <c r="C152" s="644">
        <v>46</v>
      </c>
      <c r="D152" s="644">
        <v>124</v>
      </c>
      <c r="H152" s="647">
        <v>1</v>
      </c>
      <c r="I152" s="648"/>
      <c r="J152" s="644" t="s">
        <v>1178</v>
      </c>
      <c r="K152" s="644" t="s">
        <v>1179</v>
      </c>
      <c r="L152" s="644" t="s">
        <v>1180</v>
      </c>
      <c r="M152" s="644" t="s">
        <v>1181</v>
      </c>
      <c r="N152" s="644" t="s">
        <v>1181</v>
      </c>
      <c r="O152" s="644" t="s">
        <v>1182</v>
      </c>
      <c r="P152" s="644" t="s">
        <v>1183</v>
      </c>
      <c r="Q152" s="644" t="s">
        <v>1184</v>
      </c>
      <c r="R152" s="644" t="s">
        <v>1185</v>
      </c>
      <c r="S152" s="644" t="s">
        <v>1186</v>
      </c>
      <c r="T152" s="644" t="s">
        <v>1187</v>
      </c>
      <c r="U152" s="644" t="s">
        <v>1188</v>
      </c>
      <c r="AE152" t="s">
        <v>1162</v>
      </c>
      <c r="AF152" s="80">
        <v>41424</v>
      </c>
      <c r="AG152" s="6">
        <v>75.5</v>
      </c>
    </row>
    <row r="153" spans="1:33" ht="14.5">
      <c r="A153" s="1125">
        <v>4</v>
      </c>
      <c r="B153" s="648"/>
      <c r="C153" s="644">
        <v>46</v>
      </c>
      <c r="D153" s="644">
        <v>133</v>
      </c>
      <c r="H153" s="647">
        <v>2</v>
      </c>
      <c r="I153" s="648"/>
      <c r="J153" s="644" t="s">
        <v>1189</v>
      </c>
      <c r="K153" s="644" t="s">
        <v>1190</v>
      </c>
      <c r="L153" s="644" t="s">
        <v>1191</v>
      </c>
      <c r="M153" s="644" t="s">
        <v>1181</v>
      </c>
      <c r="N153" s="644" t="s">
        <v>1192</v>
      </c>
      <c r="O153" s="644" t="s">
        <v>1184</v>
      </c>
      <c r="P153" s="644" t="s">
        <v>1193</v>
      </c>
      <c r="Q153" s="644" t="s">
        <v>1194</v>
      </c>
      <c r="R153" s="644" t="s">
        <v>1185</v>
      </c>
      <c r="S153" s="644" t="s">
        <v>1186</v>
      </c>
      <c r="T153" s="644" t="s">
        <v>1195</v>
      </c>
      <c r="U153" s="644" t="s">
        <v>1196</v>
      </c>
      <c r="AE153" t="s">
        <v>1162</v>
      </c>
      <c r="AF153" s="80">
        <v>41425</v>
      </c>
      <c r="AG153" s="6">
        <v>53.6</v>
      </c>
    </row>
    <row r="154" spans="1:33" ht="14.5">
      <c r="A154" s="1125">
        <v>5</v>
      </c>
      <c r="B154" s="648"/>
      <c r="C154" s="644">
        <v>45</v>
      </c>
      <c r="D154" s="644">
        <v>118</v>
      </c>
      <c r="H154" s="647">
        <v>3</v>
      </c>
      <c r="I154" s="648"/>
      <c r="J154" s="644" t="s">
        <v>1197</v>
      </c>
      <c r="K154" s="644" t="s">
        <v>1179</v>
      </c>
      <c r="L154" s="644" t="s">
        <v>1191</v>
      </c>
      <c r="M154" s="644" t="s">
        <v>1181</v>
      </c>
      <c r="N154" s="644" t="s">
        <v>1192</v>
      </c>
      <c r="O154" s="644" t="s">
        <v>1184</v>
      </c>
      <c r="P154" s="644" t="s">
        <v>1186</v>
      </c>
      <c r="Q154" s="644" t="s">
        <v>1185</v>
      </c>
      <c r="R154" s="644" t="s">
        <v>1198</v>
      </c>
      <c r="S154" s="644" t="s">
        <v>1188</v>
      </c>
      <c r="T154" s="644" t="s">
        <v>1199</v>
      </c>
      <c r="U154" s="644" t="s">
        <v>1196</v>
      </c>
      <c r="AE154" t="s">
        <v>1162</v>
      </c>
      <c r="AF154" s="80">
        <v>41426</v>
      </c>
      <c r="AG154" s="6">
        <v>43.6</v>
      </c>
    </row>
    <row r="155" spans="1:33" ht="14.5">
      <c r="A155" s="1125">
        <v>6</v>
      </c>
      <c r="B155" s="648"/>
      <c r="C155" s="644">
        <v>42</v>
      </c>
      <c r="D155" s="644">
        <v>112</v>
      </c>
      <c r="H155" s="647">
        <v>4</v>
      </c>
      <c r="I155" s="648"/>
      <c r="J155" s="644" t="s">
        <v>1200</v>
      </c>
      <c r="K155" s="644" t="s">
        <v>1201</v>
      </c>
      <c r="L155" s="644" t="s">
        <v>1202</v>
      </c>
      <c r="M155" s="644" t="s">
        <v>1181</v>
      </c>
      <c r="N155" s="644" t="s">
        <v>1203</v>
      </c>
      <c r="O155" s="644" t="s">
        <v>1204</v>
      </c>
      <c r="P155" s="644" t="s">
        <v>1205</v>
      </c>
      <c r="Q155" s="644" t="s">
        <v>1206</v>
      </c>
      <c r="R155" s="644" t="s">
        <v>1185</v>
      </c>
      <c r="S155" s="644" t="s">
        <v>1188</v>
      </c>
      <c r="T155" s="644" t="s">
        <v>1195</v>
      </c>
      <c r="U155" s="644" t="s">
        <v>1207</v>
      </c>
      <c r="AE155" t="s">
        <v>1162</v>
      </c>
      <c r="AF155" s="80">
        <v>41427</v>
      </c>
      <c r="AG155" s="6">
        <v>41.4</v>
      </c>
    </row>
    <row r="156" spans="1:33" ht="14.5">
      <c r="A156" s="1125">
        <v>7</v>
      </c>
      <c r="B156" s="648"/>
      <c r="C156" s="644">
        <v>40</v>
      </c>
      <c r="D156" s="644">
        <v>106</v>
      </c>
      <c r="H156" s="647">
        <v>5</v>
      </c>
      <c r="I156" s="648"/>
      <c r="J156" s="644" t="s">
        <v>1200</v>
      </c>
      <c r="K156" s="644" t="s">
        <v>1179</v>
      </c>
      <c r="L156" s="644" t="s">
        <v>1180</v>
      </c>
      <c r="M156" s="644" t="s">
        <v>1181</v>
      </c>
      <c r="N156" s="644" t="s">
        <v>1208</v>
      </c>
      <c r="O156" s="644" t="s">
        <v>1184</v>
      </c>
      <c r="P156" s="644" t="s">
        <v>1209</v>
      </c>
      <c r="Q156" s="644" t="s">
        <v>1184</v>
      </c>
      <c r="R156" s="644" t="s">
        <v>1210</v>
      </c>
      <c r="S156" s="644" t="s">
        <v>1196</v>
      </c>
      <c r="T156" s="644" t="s">
        <v>1211</v>
      </c>
      <c r="U156" s="644" t="s">
        <v>1183</v>
      </c>
      <c r="AE156" t="s">
        <v>1162</v>
      </c>
      <c r="AF156" s="80">
        <v>41428</v>
      </c>
      <c r="AG156" s="6">
        <v>45.3</v>
      </c>
    </row>
    <row r="157" spans="1:33" ht="14.5">
      <c r="A157" s="1125">
        <v>8</v>
      </c>
      <c r="B157" s="648"/>
      <c r="C157" s="644">
        <v>39</v>
      </c>
      <c r="D157" s="648"/>
      <c r="H157" s="647">
        <v>6</v>
      </c>
      <c r="I157" s="648"/>
      <c r="J157" s="644" t="s">
        <v>1212</v>
      </c>
      <c r="K157" s="644" t="s">
        <v>1213</v>
      </c>
      <c r="L157" s="644" t="s">
        <v>1214</v>
      </c>
      <c r="M157" s="644" t="s">
        <v>1181</v>
      </c>
      <c r="N157" s="644" t="s">
        <v>1203</v>
      </c>
      <c r="O157" s="644" t="s">
        <v>1198</v>
      </c>
      <c r="P157" s="644" t="s">
        <v>1205</v>
      </c>
      <c r="Q157" s="644" t="s">
        <v>1185</v>
      </c>
      <c r="R157" s="644" t="s">
        <v>1215</v>
      </c>
      <c r="S157" s="644" t="s">
        <v>1193</v>
      </c>
      <c r="T157" s="644" t="s">
        <v>1216</v>
      </c>
      <c r="U157" s="644" t="s">
        <v>1183</v>
      </c>
      <c r="AE157" t="s">
        <v>1162</v>
      </c>
      <c r="AF157" s="80">
        <v>41429</v>
      </c>
      <c r="AG157" s="6">
        <v>49</v>
      </c>
    </row>
    <row r="158" spans="1:33" ht="14.5">
      <c r="A158" s="1125">
        <v>9</v>
      </c>
      <c r="B158" s="648"/>
      <c r="C158" s="644">
        <v>44</v>
      </c>
      <c r="D158" s="648"/>
      <c r="H158" s="647">
        <v>7</v>
      </c>
      <c r="I158" s="648"/>
      <c r="J158" s="644" t="s">
        <v>1217</v>
      </c>
      <c r="K158" s="644" t="s">
        <v>1218</v>
      </c>
      <c r="L158" s="644" t="s">
        <v>1214</v>
      </c>
      <c r="M158" s="644" t="s">
        <v>1181</v>
      </c>
      <c r="N158" s="644">
        <v>0.5</v>
      </c>
      <c r="O158" s="644" t="s">
        <v>1184</v>
      </c>
      <c r="P158" s="644" t="s">
        <v>1188</v>
      </c>
      <c r="Q158" s="644" t="s">
        <v>1198</v>
      </c>
      <c r="R158" s="644" t="s">
        <v>1204</v>
      </c>
      <c r="S158" s="644" t="s">
        <v>1183</v>
      </c>
      <c r="T158" s="644" t="s">
        <v>1219</v>
      </c>
      <c r="U158" s="644" t="s">
        <v>1207</v>
      </c>
      <c r="AE158" t="s">
        <v>1162</v>
      </c>
      <c r="AF158" s="80">
        <v>41430</v>
      </c>
      <c r="AG158" s="6">
        <v>62.3</v>
      </c>
    </row>
    <row r="159" spans="1:33" ht="14.5">
      <c r="A159" s="1125">
        <v>10</v>
      </c>
      <c r="B159" s="648"/>
      <c r="C159" s="644">
        <v>155</v>
      </c>
      <c r="D159" s="648"/>
      <c r="H159" s="647">
        <v>8</v>
      </c>
      <c r="I159" s="648"/>
      <c r="J159" s="644" t="s">
        <v>1220</v>
      </c>
      <c r="K159" s="644" t="s">
        <v>1221</v>
      </c>
      <c r="L159" s="644" t="s">
        <v>1202</v>
      </c>
      <c r="M159" s="644" t="s">
        <v>1181</v>
      </c>
      <c r="N159" s="644">
        <v>0.5</v>
      </c>
      <c r="O159" s="644" t="s">
        <v>1222</v>
      </c>
      <c r="P159" s="644" t="s">
        <v>1223</v>
      </c>
      <c r="Q159" s="644" t="s">
        <v>1204</v>
      </c>
      <c r="R159" s="644" t="s">
        <v>1194</v>
      </c>
      <c r="S159" s="644" t="s">
        <v>1224</v>
      </c>
      <c r="T159" s="644" t="s">
        <v>1225</v>
      </c>
      <c r="U159" s="644" t="s">
        <v>1223</v>
      </c>
      <c r="AE159" t="s">
        <v>1162</v>
      </c>
      <c r="AF159" s="80">
        <v>41431</v>
      </c>
      <c r="AG159" s="6">
        <v>64</v>
      </c>
    </row>
    <row r="160" spans="1:33" ht="14.5">
      <c r="A160" s="1125">
        <v>11</v>
      </c>
      <c r="B160" s="648"/>
      <c r="C160" s="644">
        <v>305</v>
      </c>
      <c r="D160" s="648"/>
      <c r="H160" s="647">
        <v>9</v>
      </c>
      <c r="I160" s="648"/>
      <c r="J160" s="644" t="s">
        <v>1226</v>
      </c>
      <c r="K160" s="644" t="s">
        <v>1213</v>
      </c>
      <c r="L160" s="644" t="s">
        <v>1180</v>
      </c>
      <c r="M160" s="644" t="s">
        <v>1181</v>
      </c>
      <c r="N160" s="644" t="s">
        <v>1227</v>
      </c>
      <c r="O160" s="644" t="s">
        <v>1228</v>
      </c>
      <c r="P160" s="644" t="s">
        <v>1193</v>
      </c>
      <c r="Q160" s="644" t="s">
        <v>1184</v>
      </c>
      <c r="R160" s="644" t="s">
        <v>1204</v>
      </c>
      <c r="S160" s="644" t="s">
        <v>1223</v>
      </c>
      <c r="T160" s="644" t="s">
        <v>1229</v>
      </c>
      <c r="U160" s="644" t="s">
        <v>1230</v>
      </c>
      <c r="AE160" t="s">
        <v>1162</v>
      </c>
      <c r="AF160" s="80">
        <v>41432</v>
      </c>
      <c r="AG160" s="6">
        <v>52</v>
      </c>
    </row>
    <row r="161" spans="1:33" ht="14.5">
      <c r="A161" s="1125">
        <v>12</v>
      </c>
      <c r="B161" s="648"/>
      <c r="C161" s="644">
        <v>423</v>
      </c>
      <c r="D161" s="648"/>
      <c r="H161" s="647">
        <v>10</v>
      </c>
      <c r="I161" s="648"/>
      <c r="J161" s="644" t="s">
        <v>1231</v>
      </c>
      <c r="K161" s="644" t="s">
        <v>1213</v>
      </c>
      <c r="L161" s="644" t="s">
        <v>1191</v>
      </c>
      <c r="M161" s="644" t="s">
        <v>1181</v>
      </c>
      <c r="N161" s="644" t="s">
        <v>1227</v>
      </c>
      <c r="O161" s="644" t="s">
        <v>1232</v>
      </c>
      <c r="P161" s="644" t="s">
        <v>1230</v>
      </c>
      <c r="Q161" s="644" t="s">
        <v>1184</v>
      </c>
      <c r="R161" s="644" t="s">
        <v>1194</v>
      </c>
      <c r="S161" s="644" t="s">
        <v>1233</v>
      </c>
      <c r="T161" s="644" t="s">
        <v>1234</v>
      </c>
      <c r="U161" s="644" t="s">
        <v>1224</v>
      </c>
      <c r="AE161" t="s">
        <v>1162</v>
      </c>
      <c r="AF161" s="80">
        <v>41433</v>
      </c>
      <c r="AG161" s="6">
        <v>43.7</v>
      </c>
    </row>
    <row r="162" spans="1:33" ht="14.5">
      <c r="A162" s="1125">
        <v>13</v>
      </c>
      <c r="B162" s="648"/>
      <c r="C162" s="644">
        <v>1140</v>
      </c>
      <c r="D162" s="648"/>
      <c r="H162" s="647">
        <v>11</v>
      </c>
      <c r="I162" s="648"/>
      <c r="J162" s="644" t="s">
        <v>1235</v>
      </c>
      <c r="K162" s="644" t="s">
        <v>1236</v>
      </c>
      <c r="L162" s="644" t="s">
        <v>1180</v>
      </c>
      <c r="M162" s="644" t="s">
        <v>1181</v>
      </c>
      <c r="N162" s="644" t="s">
        <v>1237</v>
      </c>
      <c r="O162" s="644" t="s">
        <v>1238</v>
      </c>
      <c r="P162" s="644" t="s">
        <v>1224</v>
      </c>
      <c r="Q162" s="644" t="s">
        <v>1185</v>
      </c>
      <c r="R162" s="644" t="s">
        <v>1215</v>
      </c>
      <c r="S162" s="644" t="s">
        <v>1239</v>
      </c>
      <c r="T162" s="644" t="s">
        <v>1240</v>
      </c>
      <c r="U162" s="644" t="s">
        <v>1241</v>
      </c>
      <c r="AE162" t="s">
        <v>1162</v>
      </c>
      <c r="AF162" s="80">
        <v>41434</v>
      </c>
      <c r="AG162" s="6">
        <v>39.6</v>
      </c>
    </row>
    <row r="163" spans="1:33" ht="14.5">
      <c r="A163" s="1125">
        <v>14</v>
      </c>
      <c r="B163" s="648"/>
      <c r="C163" s="644">
        <v>844</v>
      </c>
      <c r="D163" s="648"/>
      <c r="H163" s="647">
        <v>12</v>
      </c>
      <c r="I163" s="648"/>
      <c r="J163" s="644" t="s">
        <v>1242</v>
      </c>
      <c r="K163" s="644" t="s">
        <v>1218</v>
      </c>
      <c r="L163" s="644" t="s">
        <v>1180</v>
      </c>
      <c r="M163" s="644" t="s">
        <v>1181</v>
      </c>
      <c r="N163" s="644" t="s">
        <v>1227</v>
      </c>
      <c r="O163" s="644" t="s">
        <v>1243</v>
      </c>
      <c r="P163" s="644" t="s">
        <v>1244</v>
      </c>
      <c r="Q163" s="644" t="s">
        <v>1245</v>
      </c>
      <c r="R163" s="644" t="s">
        <v>1246</v>
      </c>
      <c r="S163" s="644" t="s">
        <v>1247</v>
      </c>
      <c r="T163" s="644" t="s">
        <v>1248</v>
      </c>
      <c r="U163" s="644" t="s">
        <v>1241</v>
      </c>
      <c r="AE163" t="s">
        <v>1162</v>
      </c>
      <c r="AF163" s="80">
        <v>41435</v>
      </c>
      <c r="AG163" s="6">
        <v>34.1</v>
      </c>
    </row>
    <row r="164" spans="1:33" ht="14.5">
      <c r="A164" s="1125">
        <v>15</v>
      </c>
      <c r="B164" s="648"/>
      <c r="C164" s="644">
        <v>968</v>
      </c>
      <c r="D164" s="648"/>
      <c r="H164" s="647">
        <v>13</v>
      </c>
      <c r="I164" s="648"/>
      <c r="J164" s="644" t="s">
        <v>1249</v>
      </c>
      <c r="K164" s="644" t="s">
        <v>1250</v>
      </c>
      <c r="L164" s="644" t="s">
        <v>1181</v>
      </c>
      <c r="M164" s="644" t="s">
        <v>1181</v>
      </c>
      <c r="N164" s="644" t="s">
        <v>1227</v>
      </c>
      <c r="O164" s="644" t="s">
        <v>1251</v>
      </c>
      <c r="P164" s="644" t="s">
        <v>1252</v>
      </c>
      <c r="Q164" s="644" t="s">
        <v>1244</v>
      </c>
      <c r="R164" s="644" t="s">
        <v>1244</v>
      </c>
      <c r="S164" s="644" t="s">
        <v>1253</v>
      </c>
      <c r="T164" s="644" t="s">
        <v>1254</v>
      </c>
      <c r="U164" s="644" t="s">
        <v>1252</v>
      </c>
      <c r="AE164" t="s">
        <v>1162</v>
      </c>
      <c r="AF164" s="80">
        <v>41436</v>
      </c>
      <c r="AG164" s="6">
        <v>27.1</v>
      </c>
    </row>
    <row r="165" spans="1:33" ht="14.5">
      <c r="A165" s="1125">
        <v>16</v>
      </c>
      <c r="B165" s="648"/>
      <c r="C165" s="644">
        <v>1020</v>
      </c>
      <c r="D165" s="648"/>
      <c r="H165" s="647">
        <v>14</v>
      </c>
      <c r="I165" s="644" t="s">
        <v>1189</v>
      </c>
      <c r="J165" s="644" t="s">
        <v>1255</v>
      </c>
      <c r="K165" s="644" t="s">
        <v>1256</v>
      </c>
      <c r="L165" s="644" t="s">
        <v>1181</v>
      </c>
      <c r="M165" s="644" t="s">
        <v>1181</v>
      </c>
      <c r="N165" s="644" t="s">
        <v>1257</v>
      </c>
      <c r="O165" s="644" t="s">
        <v>1258</v>
      </c>
      <c r="P165" s="644" t="s">
        <v>1259</v>
      </c>
      <c r="Q165" s="644" t="s">
        <v>1260</v>
      </c>
      <c r="R165" s="644" t="s">
        <v>1252</v>
      </c>
      <c r="S165" s="644" t="s">
        <v>1261</v>
      </c>
      <c r="T165" s="644" t="s">
        <v>1262</v>
      </c>
      <c r="U165" s="644" t="s">
        <v>1241</v>
      </c>
      <c r="AE165" t="s">
        <v>1162</v>
      </c>
      <c r="AF165" s="80">
        <v>41437</v>
      </c>
      <c r="AG165" s="6">
        <v>22.1</v>
      </c>
    </row>
    <row r="166" spans="1:33" ht="14.5">
      <c r="A166" s="1125">
        <v>17</v>
      </c>
      <c r="B166" s="648"/>
      <c r="C166" s="644">
        <v>781</v>
      </c>
      <c r="D166" s="648"/>
      <c r="H166" s="647">
        <v>15</v>
      </c>
      <c r="I166" s="644" t="s">
        <v>1263</v>
      </c>
      <c r="J166" s="644" t="s">
        <v>1264</v>
      </c>
      <c r="K166" s="644" t="s">
        <v>1202</v>
      </c>
      <c r="L166" s="644" t="s">
        <v>1181</v>
      </c>
      <c r="M166" s="644" t="s">
        <v>1181</v>
      </c>
      <c r="N166" s="644" t="s">
        <v>1265</v>
      </c>
      <c r="O166" s="644" t="s">
        <v>1266</v>
      </c>
      <c r="P166" s="644" t="s">
        <v>1259</v>
      </c>
      <c r="Q166" s="644" t="s">
        <v>1183</v>
      </c>
      <c r="R166" s="644" t="s">
        <v>1210</v>
      </c>
      <c r="S166" s="644" t="s">
        <v>1267</v>
      </c>
      <c r="T166" s="644" t="s">
        <v>1268</v>
      </c>
      <c r="U166" s="648"/>
      <c r="AE166" t="s">
        <v>1162</v>
      </c>
      <c r="AF166" s="80">
        <v>41438</v>
      </c>
      <c r="AG166" s="6">
        <v>19</v>
      </c>
    </row>
    <row r="167" spans="1:33" ht="14.5">
      <c r="A167" s="1125">
        <v>18</v>
      </c>
      <c r="B167" s="648"/>
      <c r="C167" s="644">
        <v>618</v>
      </c>
      <c r="D167" s="648"/>
      <c r="H167" s="647">
        <v>16</v>
      </c>
      <c r="I167" s="644" t="s">
        <v>1269</v>
      </c>
      <c r="J167" s="644" t="s">
        <v>1270</v>
      </c>
      <c r="K167" s="644" t="s">
        <v>1250</v>
      </c>
      <c r="L167" s="644" t="s">
        <v>1181</v>
      </c>
      <c r="M167" s="644" t="s">
        <v>1181</v>
      </c>
      <c r="N167" s="644" t="s">
        <v>1271</v>
      </c>
      <c r="O167" s="644" t="s">
        <v>1266</v>
      </c>
      <c r="P167" s="644" t="s">
        <v>1272</v>
      </c>
      <c r="Q167" s="644" t="s">
        <v>1252</v>
      </c>
      <c r="R167" s="644" t="s">
        <v>1204</v>
      </c>
      <c r="S167" s="644" t="s">
        <v>1273</v>
      </c>
      <c r="T167" s="644" t="s">
        <v>1274</v>
      </c>
      <c r="U167" s="648"/>
      <c r="AE167" t="s">
        <v>1162</v>
      </c>
      <c r="AF167" s="80">
        <v>41439</v>
      </c>
      <c r="AG167" s="6">
        <v>16.2</v>
      </c>
    </row>
    <row r="168" spans="1:33" ht="14.5">
      <c r="A168" s="1125">
        <v>19</v>
      </c>
      <c r="B168" s="648"/>
      <c r="C168" s="644">
        <v>506</v>
      </c>
      <c r="D168" s="648"/>
      <c r="H168" s="647">
        <v>17</v>
      </c>
      <c r="I168" s="644" t="s">
        <v>1189</v>
      </c>
      <c r="J168" s="644" t="s">
        <v>1275</v>
      </c>
      <c r="K168" s="644" t="s">
        <v>1202</v>
      </c>
      <c r="L168" s="644" t="s">
        <v>1181</v>
      </c>
      <c r="M168" s="644" t="s">
        <v>1181</v>
      </c>
      <c r="N168" s="644" t="s">
        <v>1227</v>
      </c>
      <c r="O168" s="644" t="s">
        <v>1276</v>
      </c>
      <c r="P168" s="644" t="s">
        <v>1222</v>
      </c>
      <c r="Q168" s="644" t="s">
        <v>1222</v>
      </c>
      <c r="R168" s="644" t="s">
        <v>1185</v>
      </c>
      <c r="S168" s="644" t="s">
        <v>1277</v>
      </c>
      <c r="T168" s="644" t="s">
        <v>1278</v>
      </c>
      <c r="U168" s="648"/>
      <c r="AE168" t="s">
        <v>1162</v>
      </c>
      <c r="AF168" s="80">
        <v>41440</v>
      </c>
      <c r="AG168" s="6">
        <v>14.9</v>
      </c>
    </row>
    <row r="169" spans="1:33" ht="14.5">
      <c r="A169" s="1125">
        <v>20</v>
      </c>
      <c r="B169" s="648"/>
      <c r="C169" s="644">
        <v>438</v>
      </c>
      <c r="D169" s="648"/>
      <c r="H169" s="647">
        <v>18</v>
      </c>
      <c r="I169" s="644" t="s">
        <v>1189</v>
      </c>
      <c r="J169" s="644" t="s">
        <v>1279</v>
      </c>
      <c r="K169" s="644" t="s">
        <v>1214</v>
      </c>
      <c r="L169" s="644" t="s">
        <v>1181</v>
      </c>
      <c r="M169" s="644" t="s">
        <v>1181</v>
      </c>
      <c r="N169" s="644" t="s">
        <v>1227</v>
      </c>
      <c r="O169" s="644" t="s">
        <v>1280</v>
      </c>
      <c r="P169" s="644" t="s">
        <v>1182</v>
      </c>
      <c r="Q169" s="644" t="s">
        <v>1194</v>
      </c>
      <c r="R169" s="644" t="s">
        <v>1185</v>
      </c>
      <c r="S169" s="644" t="s">
        <v>1281</v>
      </c>
      <c r="T169" s="644" t="s">
        <v>1278</v>
      </c>
      <c r="U169" s="648"/>
      <c r="AE169" t="s">
        <v>1162</v>
      </c>
      <c r="AF169" s="80">
        <v>41441</v>
      </c>
      <c r="AG169" s="6">
        <v>15.3</v>
      </c>
    </row>
    <row r="170" spans="1:33" ht="14.5">
      <c r="A170" s="1125">
        <v>21</v>
      </c>
      <c r="B170" s="648"/>
      <c r="C170" s="644">
        <v>385</v>
      </c>
      <c r="D170" s="648"/>
      <c r="H170" s="647">
        <v>19</v>
      </c>
      <c r="I170" s="644" t="s">
        <v>1282</v>
      </c>
      <c r="J170" s="644" t="s">
        <v>1283</v>
      </c>
      <c r="K170" s="644" t="s">
        <v>1202</v>
      </c>
      <c r="L170" s="644" t="s">
        <v>1181</v>
      </c>
      <c r="M170" s="644" t="s">
        <v>1181</v>
      </c>
      <c r="N170" s="644" t="s">
        <v>1203</v>
      </c>
      <c r="O170" s="644" t="s">
        <v>1284</v>
      </c>
      <c r="P170" s="644" t="s">
        <v>1194</v>
      </c>
      <c r="Q170" s="644" t="s">
        <v>1194</v>
      </c>
      <c r="R170" s="644" t="s">
        <v>1185</v>
      </c>
      <c r="S170" s="644" t="s">
        <v>1285</v>
      </c>
      <c r="T170" s="644" t="s">
        <v>1243</v>
      </c>
      <c r="U170" s="648"/>
      <c r="AE170" t="s">
        <v>1162</v>
      </c>
      <c r="AF170" s="80">
        <v>41442</v>
      </c>
      <c r="AG170" s="6">
        <v>15.3</v>
      </c>
    </row>
    <row r="171" spans="1:33" ht="14.5">
      <c r="A171" s="1125">
        <v>22</v>
      </c>
      <c r="B171" s="648"/>
      <c r="C171" s="644">
        <v>342</v>
      </c>
      <c r="D171" s="648"/>
      <c r="H171" s="647">
        <v>20</v>
      </c>
      <c r="I171" s="644" t="s">
        <v>1189</v>
      </c>
      <c r="J171" s="644" t="s">
        <v>1286</v>
      </c>
      <c r="K171" s="644" t="s">
        <v>1202</v>
      </c>
      <c r="L171" s="644" t="s">
        <v>1181</v>
      </c>
      <c r="M171" s="644" t="s">
        <v>1181</v>
      </c>
      <c r="N171" s="644" t="s">
        <v>1237</v>
      </c>
      <c r="O171" s="644" t="s">
        <v>1287</v>
      </c>
      <c r="P171" s="644" t="s">
        <v>1215</v>
      </c>
      <c r="Q171" s="644" t="s">
        <v>1215</v>
      </c>
      <c r="R171" s="644" t="s">
        <v>1184</v>
      </c>
      <c r="S171" s="644" t="s">
        <v>1288</v>
      </c>
      <c r="T171" s="644" t="s">
        <v>1243</v>
      </c>
      <c r="U171" s="648"/>
      <c r="AE171" t="s">
        <v>1162</v>
      </c>
      <c r="AF171" s="80">
        <v>41443</v>
      </c>
      <c r="AG171" s="6">
        <v>13.7</v>
      </c>
    </row>
    <row r="172" spans="1:33" ht="14.5">
      <c r="A172" s="1125">
        <v>23</v>
      </c>
      <c r="B172" s="648"/>
      <c r="C172" s="644">
        <v>313</v>
      </c>
      <c r="D172" s="648"/>
      <c r="H172" s="647">
        <v>21</v>
      </c>
      <c r="I172" s="644" t="s">
        <v>1200</v>
      </c>
      <c r="J172" s="644" t="s">
        <v>1289</v>
      </c>
      <c r="K172" s="644" t="s">
        <v>1191</v>
      </c>
      <c r="L172" s="644" t="s">
        <v>1181</v>
      </c>
      <c r="M172" s="644" t="s">
        <v>1181</v>
      </c>
      <c r="N172" s="644" t="s">
        <v>1208</v>
      </c>
      <c r="O172" s="644" t="s">
        <v>1290</v>
      </c>
      <c r="P172" s="644" t="s">
        <v>1204</v>
      </c>
      <c r="Q172" s="644" t="s">
        <v>1206</v>
      </c>
      <c r="R172" s="644" t="s">
        <v>1184</v>
      </c>
      <c r="S172" s="644" t="s">
        <v>1291</v>
      </c>
      <c r="T172" s="644" t="s">
        <v>1292</v>
      </c>
      <c r="U172" s="648"/>
      <c r="AE172" t="s">
        <v>1162</v>
      </c>
      <c r="AF172" s="80">
        <v>41444</v>
      </c>
      <c r="AG172" s="6">
        <v>12.6</v>
      </c>
    </row>
    <row r="173" spans="1:33" ht="14.5">
      <c r="A173" s="1125">
        <v>24</v>
      </c>
      <c r="B173" s="648"/>
      <c r="C173" s="644">
        <v>264</v>
      </c>
      <c r="D173" s="648"/>
      <c r="H173" s="647">
        <v>22</v>
      </c>
      <c r="I173" s="644" t="s">
        <v>1200</v>
      </c>
      <c r="J173" s="644" t="s">
        <v>1293</v>
      </c>
      <c r="K173" s="644" t="s">
        <v>1294</v>
      </c>
      <c r="L173" s="644" t="s">
        <v>1181</v>
      </c>
      <c r="M173" s="644" t="s">
        <v>1181</v>
      </c>
      <c r="N173" s="644" t="s">
        <v>1295</v>
      </c>
      <c r="O173" s="644" t="s">
        <v>1296</v>
      </c>
      <c r="P173" s="644" t="s">
        <v>1204</v>
      </c>
      <c r="Q173" s="644" t="s">
        <v>1198</v>
      </c>
      <c r="R173" s="644" t="s">
        <v>1215</v>
      </c>
      <c r="S173" s="644" t="s">
        <v>1297</v>
      </c>
      <c r="T173" s="644" t="s">
        <v>1298</v>
      </c>
      <c r="U173" s="648"/>
      <c r="AE173" t="s">
        <v>1162</v>
      </c>
      <c r="AF173" s="80">
        <v>41445</v>
      </c>
      <c r="AG173" s="6">
        <v>10.7</v>
      </c>
    </row>
    <row r="174" spans="1:33" ht="14.5">
      <c r="A174" s="1125">
        <v>25</v>
      </c>
      <c r="B174" s="648"/>
      <c r="C174" s="644">
        <v>238</v>
      </c>
      <c r="D174" s="648"/>
      <c r="H174" s="647">
        <v>23</v>
      </c>
      <c r="I174" s="644" t="s">
        <v>1299</v>
      </c>
      <c r="J174" s="644" t="s">
        <v>1300</v>
      </c>
      <c r="K174" s="644" t="s">
        <v>1214</v>
      </c>
      <c r="L174" s="644" t="s">
        <v>1181</v>
      </c>
      <c r="M174" s="644" t="s">
        <v>1181</v>
      </c>
      <c r="N174" s="644" t="s">
        <v>1301</v>
      </c>
      <c r="O174" s="644" t="s">
        <v>1287</v>
      </c>
      <c r="P174" s="644" t="s">
        <v>1206</v>
      </c>
      <c r="Q174" s="644" t="s">
        <v>1302</v>
      </c>
      <c r="R174" s="644" t="s">
        <v>1223</v>
      </c>
      <c r="S174" s="644" t="s">
        <v>1303</v>
      </c>
      <c r="T174" s="644" t="s">
        <v>1238</v>
      </c>
      <c r="U174" s="648"/>
      <c r="AE174" t="s">
        <v>1162</v>
      </c>
      <c r="AF174" s="80">
        <v>41446</v>
      </c>
      <c r="AG174" s="6">
        <v>9.7899999999999991</v>
      </c>
    </row>
    <row r="175" spans="1:33" ht="14.5">
      <c r="A175" s="1125">
        <v>26</v>
      </c>
      <c r="B175" s="648"/>
      <c r="C175" s="644">
        <v>214</v>
      </c>
      <c r="D175" s="648"/>
      <c r="H175" s="647">
        <v>24</v>
      </c>
      <c r="I175" s="644" t="s">
        <v>1299</v>
      </c>
      <c r="J175" s="644" t="s">
        <v>1179</v>
      </c>
      <c r="K175" s="644" t="s">
        <v>1179</v>
      </c>
      <c r="L175" s="644" t="s">
        <v>1181</v>
      </c>
      <c r="M175" s="644" t="s">
        <v>1181</v>
      </c>
      <c r="N175" s="644" t="s">
        <v>1304</v>
      </c>
      <c r="O175" s="644" t="s">
        <v>1305</v>
      </c>
      <c r="P175" s="644" t="s">
        <v>1204</v>
      </c>
      <c r="Q175" s="644" t="s">
        <v>1302</v>
      </c>
      <c r="R175" s="644" t="s">
        <v>1188</v>
      </c>
      <c r="S175" s="644" t="s">
        <v>1306</v>
      </c>
      <c r="T175" s="644" t="s">
        <v>1209</v>
      </c>
      <c r="U175" s="648"/>
      <c r="AE175" t="s">
        <v>1162</v>
      </c>
      <c r="AF175" s="80">
        <v>41447</v>
      </c>
      <c r="AG175" s="6">
        <v>10.4</v>
      </c>
    </row>
    <row r="176" spans="1:33" ht="14.5">
      <c r="A176" s="1125">
        <v>27</v>
      </c>
      <c r="B176" s="648"/>
      <c r="C176" s="644">
        <v>203</v>
      </c>
      <c r="D176" s="648"/>
      <c r="H176" s="647">
        <v>25</v>
      </c>
      <c r="I176" s="644" t="s">
        <v>1282</v>
      </c>
      <c r="J176" s="644" t="s">
        <v>1180</v>
      </c>
      <c r="K176" s="644" t="s">
        <v>1307</v>
      </c>
      <c r="L176" s="644" t="s">
        <v>1181</v>
      </c>
      <c r="M176" s="644" t="s">
        <v>1181</v>
      </c>
      <c r="N176" s="644" t="s">
        <v>1192</v>
      </c>
      <c r="O176" s="644" t="s">
        <v>1248</v>
      </c>
      <c r="P176" s="644" t="s">
        <v>1185</v>
      </c>
      <c r="Q176" s="644" t="s">
        <v>1185</v>
      </c>
      <c r="R176" s="644" t="s">
        <v>1244</v>
      </c>
      <c r="S176" s="644" t="s">
        <v>1308</v>
      </c>
      <c r="T176" s="644" t="s">
        <v>1205</v>
      </c>
      <c r="U176" s="648"/>
      <c r="AE176" t="s">
        <v>1162</v>
      </c>
      <c r="AF176" s="80">
        <v>41448</v>
      </c>
      <c r="AG176" s="6">
        <v>9.82</v>
      </c>
    </row>
    <row r="177" spans="1:33" ht="14.5">
      <c r="A177" s="1125">
        <v>28</v>
      </c>
      <c r="B177" s="648"/>
      <c r="C177" s="644">
        <v>186</v>
      </c>
      <c r="D177" s="648"/>
      <c r="H177" s="647">
        <v>26</v>
      </c>
      <c r="I177" s="644" t="s">
        <v>1189</v>
      </c>
      <c r="J177" s="644" t="s">
        <v>1202</v>
      </c>
      <c r="K177" s="644" t="s">
        <v>1214</v>
      </c>
      <c r="L177" s="644" t="s">
        <v>1181</v>
      </c>
      <c r="M177" s="644" t="s">
        <v>1181</v>
      </c>
      <c r="N177" s="644" t="s">
        <v>1309</v>
      </c>
      <c r="O177" s="644" t="s">
        <v>1262</v>
      </c>
      <c r="P177" s="644" t="s">
        <v>1198</v>
      </c>
      <c r="Q177" s="644" t="s">
        <v>1215</v>
      </c>
      <c r="R177" s="644" t="s">
        <v>1241</v>
      </c>
      <c r="S177" s="644" t="s">
        <v>1310</v>
      </c>
      <c r="T177" s="644" t="s">
        <v>1228</v>
      </c>
      <c r="U177" s="648"/>
      <c r="AE177" t="s">
        <v>1162</v>
      </c>
      <c r="AF177" s="80">
        <v>41449</v>
      </c>
      <c r="AG177" s="6">
        <v>9.6199999999999992</v>
      </c>
    </row>
    <row r="178" spans="1:33" ht="14.5">
      <c r="A178" s="1125">
        <v>29</v>
      </c>
      <c r="B178" s="644">
        <v>40</v>
      </c>
      <c r="C178" s="644">
        <v>169</v>
      </c>
      <c r="D178" s="648"/>
      <c r="H178" s="647">
        <v>27</v>
      </c>
      <c r="I178" s="644" t="s">
        <v>1311</v>
      </c>
      <c r="J178" s="644" t="s">
        <v>1307</v>
      </c>
      <c r="K178" s="644" t="s">
        <v>1214</v>
      </c>
      <c r="L178" s="644" t="s">
        <v>1181</v>
      </c>
      <c r="M178" s="644" t="s">
        <v>1181</v>
      </c>
      <c r="N178" s="644" t="s">
        <v>1304</v>
      </c>
      <c r="O178" s="644" t="s">
        <v>1312</v>
      </c>
      <c r="P178" s="644" t="s">
        <v>1198</v>
      </c>
      <c r="Q178" s="644" t="s">
        <v>1185</v>
      </c>
      <c r="R178" s="644" t="s">
        <v>1313</v>
      </c>
      <c r="S178" s="644" t="s">
        <v>1314</v>
      </c>
      <c r="T178" s="644" t="s">
        <v>1313</v>
      </c>
      <c r="U178" s="648"/>
      <c r="AE178" t="s">
        <v>1162</v>
      </c>
      <c r="AF178" s="80">
        <v>41450</v>
      </c>
      <c r="AG178" s="6">
        <v>9.61</v>
      </c>
    </row>
    <row r="179" spans="1:33" ht="14.5">
      <c r="A179" s="1125">
        <v>30</v>
      </c>
      <c r="B179" s="644">
        <v>48</v>
      </c>
      <c r="C179" s="644">
        <v>155</v>
      </c>
      <c r="D179" s="648"/>
      <c r="H179" s="647">
        <v>28</v>
      </c>
      <c r="I179" s="644" t="s">
        <v>1178</v>
      </c>
      <c r="J179" s="644" t="s">
        <v>1315</v>
      </c>
      <c r="K179" s="644" t="s">
        <v>1214</v>
      </c>
      <c r="L179" s="644" t="s">
        <v>1181</v>
      </c>
      <c r="M179" s="644" t="s">
        <v>1181</v>
      </c>
      <c r="N179" s="644" t="s">
        <v>1198</v>
      </c>
      <c r="O179" s="644" t="s">
        <v>1245</v>
      </c>
      <c r="P179" s="644" t="s">
        <v>1302</v>
      </c>
      <c r="Q179" s="644" t="s">
        <v>1204</v>
      </c>
      <c r="R179" s="644" t="s">
        <v>1230</v>
      </c>
      <c r="S179" s="644" t="s">
        <v>1316</v>
      </c>
      <c r="T179" s="644" t="s">
        <v>1317</v>
      </c>
      <c r="U179" s="648"/>
      <c r="AE179" t="s">
        <v>1162</v>
      </c>
      <c r="AF179" s="80">
        <v>41451</v>
      </c>
      <c r="AG179" s="6">
        <v>7.42</v>
      </c>
    </row>
    <row r="180" spans="1:33" ht="14.5">
      <c r="A180" s="1125">
        <v>31</v>
      </c>
      <c r="B180" s="644">
        <v>51</v>
      </c>
      <c r="C180" s="648"/>
      <c r="D180" s="648"/>
      <c r="H180" s="647">
        <v>29</v>
      </c>
      <c r="I180" s="644" t="s">
        <v>1178</v>
      </c>
      <c r="J180" s="644" t="s">
        <v>1202</v>
      </c>
      <c r="K180" s="644" t="s">
        <v>1191</v>
      </c>
      <c r="L180" s="648"/>
      <c r="M180" s="644" t="s">
        <v>1181</v>
      </c>
      <c r="N180" s="644" t="s">
        <v>1215</v>
      </c>
      <c r="O180" s="644" t="s">
        <v>1238</v>
      </c>
      <c r="P180" s="644" t="s">
        <v>1198</v>
      </c>
      <c r="Q180" s="644" t="s">
        <v>1222</v>
      </c>
      <c r="R180" s="644" t="s">
        <v>1183</v>
      </c>
      <c r="S180" s="644" t="s">
        <v>1318</v>
      </c>
      <c r="T180" s="644" t="s">
        <v>1260</v>
      </c>
      <c r="U180" s="648"/>
      <c r="AE180" t="s">
        <v>1162</v>
      </c>
      <c r="AF180" s="80">
        <v>41452</v>
      </c>
      <c r="AG180" s="6">
        <v>5.34</v>
      </c>
    </row>
    <row r="181" spans="1:33" ht="14.5">
      <c r="A181" s="647"/>
      <c r="B181" s="648"/>
      <c r="D181" s="649"/>
      <c r="H181" s="647">
        <v>30</v>
      </c>
      <c r="I181" s="644" t="s">
        <v>1178</v>
      </c>
      <c r="J181" s="644" t="s">
        <v>1202</v>
      </c>
      <c r="K181" s="644" t="s">
        <v>1202</v>
      </c>
      <c r="L181" s="648"/>
      <c r="M181" s="644" t="s">
        <v>1181</v>
      </c>
      <c r="N181" s="644" t="s">
        <v>1182</v>
      </c>
      <c r="O181" s="644" t="s">
        <v>1313</v>
      </c>
      <c r="P181" s="644" t="s">
        <v>1198</v>
      </c>
      <c r="Q181" s="644" t="s">
        <v>1246</v>
      </c>
      <c r="R181" s="644" t="s">
        <v>1186</v>
      </c>
      <c r="S181" s="644" t="s">
        <v>1233</v>
      </c>
      <c r="T181" s="644" t="s">
        <v>1317</v>
      </c>
      <c r="U181" s="648"/>
      <c r="AE181" t="s">
        <v>1162</v>
      </c>
      <c r="AF181" s="80">
        <v>41453</v>
      </c>
      <c r="AG181" s="6">
        <v>4.9800000000000004</v>
      </c>
    </row>
    <row r="182" spans="1:33" ht="14.5">
      <c r="A182" s="647" t="s">
        <v>1111</v>
      </c>
      <c r="B182" s="647">
        <v>3</v>
      </c>
      <c r="C182" s="647">
        <v>30</v>
      </c>
      <c r="D182" s="647">
        <v>7</v>
      </c>
      <c r="H182" s="647">
        <v>31</v>
      </c>
      <c r="I182" s="648"/>
      <c r="J182" s="644" t="s">
        <v>1294</v>
      </c>
      <c r="K182" s="644" t="s">
        <v>1191</v>
      </c>
      <c r="L182" s="648"/>
      <c r="M182" s="644" t="s">
        <v>1181</v>
      </c>
      <c r="N182" s="648"/>
      <c r="O182" s="644" t="s">
        <v>1223</v>
      </c>
      <c r="P182" s="648"/>
      <c r="Q182" s="644" t="s">
        <v>1204</v>
      </c>
      <c r="R182" s="644" t="s">
        <v>1313</v>
      </c>
      <c r="S182" s="648"/>
      <c r="T182" s="644" t="s">
        <v>1319</v>
      </c>
      <c r="U182" s="648"/>
      <c r="AE182" t="s">
        <v>1162</v>
      </c>
      <c r="AF182" s="80">
        <v>41454</v>
      </c>
      <c r="AG182" s="6">
        <v>5.18</v>
      </c>
    </row>
    <row r="183" spans="1:33" ht="13.5">
      <c r="A183" s="647" t="s">
        <v>444</v>
      </c>
      <c r="B183" s="647">
        <v>51</v>
      </c>
      <c r="C183" s="647">
        <v>1140</v>
      </c>
      <c r="D183" s="647">
        <v>142</v>
      </c>
      <c r="H183" s="647"/>
      <c r="I183" s="648"/>
      <c r="U183" s="649"/>
      <c r="AE183" t="s">
        <v>1162</v>
      </c>
      <c r="AF183" s="80">
        <v>41455</v>
      </c>
      <c r="AG183" s="6">
        <v>6.49</v>
      </c>
    </row>
    <row r="184" spans="1:33" ht="13.5">
      <c r="A184" s="647" t="s">
        <v>445</v>
      </c>
      <c r="B184" s="647">
        <v>40</v>
      </c>
      <c r="C184" s="647">
        <v>39</v>
      </c>
      <c r="D184" s="647">
        <v>106</v>
      </c>
      <c r="H184" s="647" t="s">
        <v>1111</v>
      </c>
      <c r="I184" s="647">
        <v>17</v>
      </c>
      <c r="J184" s="647">
        <v>31</v>
      </c>
      <c r="K184" s="647">
        <v>31</v>
      </c>
      <c r="L184" s="647">
        <v>28</v>
      </c>
      <c r="M184" s="647"/>
      <c r="N184" s="647">
        <v>30</v>
      </c>
      <c r="O184" s="647">
        <v>31</v>
      </c>
      <c r="P184" s="647">
        <v>30</v>
      </c>
      <c r="Q184" s="647">
        <v>31</v>
      </c>
      <c r="R184" s="647">
        <v>31</v>
      </c>
      <c r="S184" s="647">
        <v>30</v>
      </c>
      <c r="T184" s="647">
        <v>31</v>
      </c>
      <c r="U184" s="647">
        <v>14</v>
      </c>
      <c r="AE184" t="s">
        <v>1162</v>
      </c>
      <c r="AF184" s="80">
        <v>41456</v>
      </c>
      <c r="AG184" s="6">
        <v>7.14</v>
      </c>
    </row>
    <row r="185" spans="1:33" ht="15.5">
      <c r="A185" s="1" t="s">
        <v>446</v>
      </c>
      <c r="C185" s="72">
        <f>AVERAGE(C150:C179)</f>
        <v>335.5</v>
      </c>
      <c r="H185" s="647" t="s">
        <v>444</v>
      </c>
      <c r="I185" s="647">
        <v>23</v>
      </c>
      <c r="J185" s="647">
        <v>20</v>
      </c>
      <c r="K185" s="647">
        <v>6.7</v>
      </c>
      <c r="L185" s="647">
        <v>6</v>
      </c>
      <c r="M185" s="647"/>
      <c r="N185" s="647">
        <v>30</v>
      </c>
      <c r="O185" s="647">
        <v>108</v>
      </c>
      <c r="P185" s="647">
        <v>56</v>
      </c>
      <c r="Q185" s="647">
        <v>66</v>
      </c>
      <c r="R185" s="647">
        <v>51</v>
      </c>
      <c r="S185" s="647">
        <v>1140</v>
      </c>
      <c r="T185" s="647">
        <v>142</v>
      </c>
      <c r="U185" s="647">
        <v>46</v>
      </c>
      <c r="AE185" t="s">
        <v>1162</v>
      </c>
      <c r="AF185" s="80">
        <v>41457</v>
      </c>
      <c r="AG185" s="6">
        <v>8.99</v>
      </c>
    </row>
    <row r="186" spans="1:33" ht="13.5">
      <c r="H186" s="647" t="s">
        <v>445</v>
      </c>
      <c r="I186" s="647">
        <v>13</v>
      </c>
      <c r="J186" s="647">
        <v>5</v>
      </c>
      <c r="K186" s="647">
        <v>4.9000000000000004</v>
      </c>
      <c r="L186" s="647" t="s">
        <v>1320</v>
      </c>
      <c r="M186" s="647"/>
      <c r="N186" s="647" t="s">
        <v>1320</v>
      </c>
      <c r="O186" s="647">
        <v>22</v>
      </c>
      <c r="P186" s="647">
        <v>21</v>
      </c>
      <c r="Q186" s="647">
        <v>21</v>
      </c>
      <c r="R186" s="647">
        <v>22</v>
      </c>
      <c r="S186" s="647">
        <v>39</v>
      </c>
      <c r="T186" s="647">
        <v>47</v>
      </c>
      <c r="U186" s="647">
        <v>36</v>
      </c>
      <c r="AE186" t="s">
        <v>1162</v>
      </c>
      <c r="AF186" s="80">
        <v>41458</v>
      </c>
      <c r="AG186" s="6">
        <v>9.58</v>
      </c>
    </row>
    <row r="187" spans="1:33">
      <c r="AE187" t="s">
        <v>1162</v>
      </c>
      <c r="AF187" s="80">
        <v>41459</v>
      </c>
      <c r="AG187" s="6">
        <v>7.67</v>
      </c>
    </row>
    <row r="188" spans="1:33">
      <c r="AE188" t="s">
        <v>1162</v>
      </c>
      <c r="AF188" s="80">
        <v>41460</v>
      </c>
      <c r="AG188" s="6">
        <v>7.82</v>
      </c>
    </row>
    <row r="189" spans="1:33">
      <c r="A189" s="1">
        <v>41275</v>
      </c>
      <c r="B189">
        <v>2.4700000000000002</v>
      </c>
      <c r="AE189" t="s">
        <v>1162</v>
      </c>
      <c r="AF189" s="80">
        <v>41461</v>
      </c>
      <c r="AG189" s="6">
        <v>6.81</v>
      </c>
    </row>
    <row r="190" spans="1:33">
      <c r="A190" s="1" t="s">
        <v>1162</v>
      </c>
      <c r="B190" s="80">
        <v>41276</v>
      </c>
      <c r="C190">
        <v>2.7</v>
      </c>
      <c r="F190" s="720"/>
      <c r="AE190" t="s">
        <v>1162</v>
      </c>
      <c r="AF190" s="80">
        <v>41462</v>
      </c>
      <c r="AG190" s="6">
        <v>7.52</v>
      </c>
    </row>
    <row r="191" spans="1:33">
      <c r="A191" s="1" t="s">
        <v>1162</v>
      </c>
      <c r="B191" s="80">
        <v>41277</v>
      </c>
      <c r="C191">
        <v>2.97</v>
      </c>
      <c r="F191" s="720"/>
      <c r="AE191" t="s">
        <v>1162</v>
      </c>
      <c r="AF191" s="80">
        <v>41463</v>
      </c>
      <c r="AG191" s="6">
        <v>8.9600000000000009</v>
      </c>
    </row>
    <row r="192" spans="1:33">
      <c r="A192" s="1" t="s">
        <v>1162</v>
      </c>
      <c r="B192" s="80">
        <v>41278</v>
      </c>
      <c r="C192">
        <v>3</v>
      </c>
      <c r="F192" s="720"/>
      <c r="AE192" t="s">
        <v>1162</v>
      </c>
      <c r="AF192" s="80">
        <v>41464</v>
      </c>
      <c r="AG192" s="6">
        <v>9.44</v>
      </c>
    </row>
    <row r="193" spans="1:33">
      <c r="A193" s="1" t="s">
        <v>1162</v>
      </c>
      <c r="B193" s="80">
        <v>41279</v>
      </c>
      <c r="C193">
        <v>3</v>
      </c>
      <c r="AE193" t="s">
        <v>1162</v>
      </c>
      <c r="AF193" s="80">
        <v>41465</v>
      </c>
      <c r="AG193" s="6">
        <v>9.66</v>
      </c>
    </row>
    <row r="194" spans="1:33">
      <c r="A194" s="1" t="s">
        <v>1162</v>
      </c>
      <c r="B194" s="80">
        <v>41280</v>
      </c>
      <c r="C194">
        <v>3.21</v>
      </c>
      <c r="AE194" t="s">
        <v>1162</v>
      </c>
      <c r="AF194" s="80">
        <v>41466</v>
      </c>
      <c r="AG194" s="6">
        <v>22.7</v>
      </c>
    </row>
    <row r="195" spans="1:33">
      <c r="A195" s="1" t="s">
        <v>1162</v>
      </c>
      <c r="B195" s="80">
        <v>41281</v>
      </c>
      <c r="C195">
        <v>3.51</v>
      </c>
      <c r="AE195" t="s">
        <v>1162</v>
      </c>
      <c r="AF195" s="80">
        <v>41467</v>
      </c>
      <c r="AG195" s="6">
        <v>50.8</v>
      </c>
    </row>
    <row r="196" spans="1:33">
      <c r="A196" s="1" t="s">
        <v>1162</v>
      </c>
      <c r="B196" s="80">
        <v>41282</v>
      </c>
      <c r="C196">
        <v>3.59</v>
      </c>
      <c r="AE196" t="s">
        <v>1162</v>
      </c>
      <c r="AF196" s="80">
        <v>41468</v>
      </c>
      <c r="AG196" s="6">
        <v>53.8</v>
      </c>
    </row>
    <row r="197" spans="1:33">
      <c r="A197" s="1" t="s">
        <v>1162</v>
      </c>
      <c r="B197" s="80">
        <v>41283</v>
      </c>
      <c r="C197">
        <v>3.6</v>
      </c>
      <c r="AE197" t="s">
        <v>1162</v>
      </c>
      <c r="AF197" s="80">
        <v>41469</v>
      </c>
      <c r="AG197" s="6">
        <v>77.599999999999994</v>
      </c>
    </row>
    <row r="198" spans="1:33">
      <c r="A198" s="1" t="s">
        <v>1162</v>
      </c>
      <c r="B198" s="80">
        <v>41284</v>
      </c>
      <c r="C198">
        <v>3.6</v>
      </c>
      <c r="AE198" t="s">
        <v>1162</v>
      </c>
      <c r="AF198" s="80">
        <v>41470</v>
      </c>
      <c r="AG198" s="6">
        <v>64.8</v>
      </c>
    </row>
    <row r="199" spans="1:33">
      <c r="A199" s="1" t="s">
        <v>1162</v>
      </c>
      <c r="B199" s="80">
        <v>41285</v>
      </c>
      <c r="C199">
        <v>3.61</v>
      </c>
      <c r="AE199" t="s">
        <v>1162</v>
      </c>
      <c r="AF199" s="80">
        <v>41471</v>
      </c>
      <c r="AG199" s="6">
        <v>56.9</v>
      </c>
    </row>
    <row r="200" spans="1:33">
      <c r="A200" s="1" t="s">
        <v>1162</v>
      </c>
      <c r="B200" s="80">
        <v>41286</v>
      </c>
      <c r="C200">
        <v>4.17</v>
      </c>
      <c r="AE200" t="s">
        <v>1162</v>
      </c>
      <c r="AF200" s="80">
        <v>41472</v>
      </c>
      <c r="AG200" s="6">
        <v>44.4</v>
      </c>
    </row>
    <row r="201" spans="1:33">
      <c r="A201" s="1" t="s">
        <v>1162</v>
      </c>
      <c r="B201" s="80">
        <v>41287</v>
      </c>
      <c r="C201">
        <v>4.8600000000000003</v>
      </c>
      <c r="AE201" t="s">
        <v>1162</v>
      </c>
      <c r="AF201" s="80">
        <v>41473</v>
      </c>
      <c r="AG201" s="6">
        <v>34.6</v>
      </c>
    </row>
    <row r="202" spans="1:33">
      <c r="A202" s="1" t="s">
        <v>1162</v>
      </c>
      <c r="B202" s="80">
        <v>41288</v>
      </c>
      <c r="C202">
        <v>5.13</v>
      </c>
      <c r="AE202" t="s">
        <v>1162</v>
      </c>
      <c r="AF202" s="80">
        <v>41474</v>
      </c>
      <c r="AG202" s="6">
        <v>29.6</v>
      </c>
    </row>
    <row r="203" spans="1:33">
      <c r="A203" s="1" t="s">
        <v>1162</v>
      </c>
      <c r="B203" s="80">
        <v>41289</v>
      </c>
      <c r="C203">
        <v>5.46</v>
      </c>
      <c r="AE203" t="s">
        <v>1162</v>
      </c>
      <c r="AF203" s="80">
        <v>41475</v>
      </c>
      <c r="AG203" s="6">
        <v>26.7</v>
      </c>
    </row>
    <row r="204" spans="1:33">
      <c r="A204" s="1" t="s">
        <v>1162</v>
      </c>
      <c r="B204" s="80">
        <v>41290</v>
      </c>
      <c r="C204">
        <v>7.77</v>
      </c>
      <c r="AE204" t="s">
        <v>1162</v>
      </c>
      <c r="AF204" s="80">
        <v>41476</v>
      </c>
      <c r="AG204" s="6">
        <v>24.4</v>
      </c>
    </row>
    <row r="205" spans="1:33">
      <c r="A205" s="1" t="s">
        <v>1162</v>
      </c>
      <c r="B205" s="80">
        <v>41291</v>
      </c>
      <c r="C205">
        <v>11.6</v>
      </c>
      <c r="AE205" t="s">
        <v>1162</v>
      </c>
      <c r="AF205" s="80">
        <v>41477</v>
      </c>
      <c r="AG205" s="6">
        <v>21.9</v>
      </c>
    </row>
    <row r="206" spans="1:33">
      <c r="A206" s="1" t="s">
        <v>1162</v>
      </c>
      <c r="B206" s="80">
        <v>41292</v>
      </c>
      <c r="C206">
        <v>18.7</v>
      </c>
      <c r="AE206" t="s">
        <v>1162</v>
      </c>
      <c r="AF206" s="80">
        <v>41478</v>
      </c>
      <c r="AG206" s="6">
        <v>19.899999999999999</v>
      </c>
    </row>
    <row r="207" spans="1:33">
      <c r="A207" s="1" t="s">
        <v>1162</v>
      </c>
      <c r="B207" s="80">
        <v>41293</v>
      </c>
      <c r="C207">
        <v>31.8</v>
      </c>
      <c r="AE207" t="s">
        <v>1162</v>
      </c>
      <c r="AF207" s="80">
        <v>41479</v>
      </c>
      <c r="AG207" s="6">
        <v>18.600000000000001</v>
      </c>
    </row>
    <row r="208" spans="1:33">
      <c r="A208" s="1" t="s">
        <v>1162</v>
      </c>
      <c r="B208" s="80">
        <v>41294</v>
      </c>
      <c r="C208">
        <v>59.7</v>
      </c>
      <c r="AE208" t="s">
        <v>1162</v>
      </c>
      <c r="AF208" s="80">
        <v>41480</v>
      </c>
      <c r="AG208" s="6">
        <v>10.7</v>
      </c>
    </row>
    <row r="209" spans="1:33">
      <c r="A209" s="1" t="s">
        <v>1162</v>
      </c>
      <c r="B209" s="80">
        <v>41295</v>
      </c>
      <c r="C209">
        <v>86.6</v>
      </c>
      <c r="AE209" t="s">
        <v>1162</v>
      </c>
      <c r="AF209" s="80">
        <v>41481</v>
      </c>
      <c r="AG209" s="6">
        <v>8.51</v>
      </c>
    </row>
    <row r="210" spans="1:33">
      <c r="A210" s="1" t="s">
        <v>1162</v>
      </c>
      <c r="B210" s="80">
        <v>41296</v>
      </c>
      <c r="AE210" t="s">
        <v>1162</v>
      </c>
      <c r="AF210" s="80">
        <v>41482</v>
      </c>
      <c r="AG210" s="6">
        <v>8.61</v>
      </c>
    </row>
    <row r="211" spans="1:33">
      <c r="A211" s="1" t="s">
        <v>1162</v>
      </c>
      <c r="B211" s="80">
        <v>41297</v>
      </c>
      <c r="AE211" t="s">
        <v>1162</v>
      </c>
      <c r="AF211" s="80">
        <v>41483</v>
      </c>
      <c r="AG211" s="6">
        <v>12.1</v>
      </c>
    </row>
    <row r="212" spans="1:33">
      <c r="A212" s="1" t="s">
        <v>1162</v>
      </c>
      <c r="B212" s="80">
        <v>41298</v>
      </c>
      <c r="C212">
        <v>2.08</v>
      </c>
      <c r="AE212" t="s">
        <v>1162</v>
      </c>
      <c r="AF212" s="80">
        <v>41484</v>
      </c>
      <c r="AG212" s="6">
        <v>13.2</v>
      </c>
    </row>
    <row r="213" spans="1:33">
      <c r="A213" s="1" t="s">
        <v>1162</v>
      </c>
      <c r="B213" s="80">
        <v>41299</v>
      </c>
      <c r="C213">
        <v>3.08</v>
      </c>
      <c r="AE213" t="s">
        <v>1162</v>
      </c>
      <c r="AF213" s="80">
        <v>41485</v>
      </c>
      <c r="AG213" s="6">
        <v>15.3</v>
      </c>
    </row>
    <row r="214" spans="1:33">
      <c r="A214" s="1" t="s">
        <v>1162</v>
      </c>
      <c r="B214" s="80">
        <v>41300</v>
      </c>
      <c r="C214">
        <v>4.12</v>
      </c>
      <c r="AE214" t="s">
        <v>1162</v>
      </c>
      <c r="AF214" s="80">
        <v>41486</v>
      </c>
      <c r="AG214" s="6">
        <v>13</v>
      </c>
    </row>
    <row r="215" spans="1:33">
      <c r="A215" s="1" t="s">
        <v>1162</v>
      </c>
      <c r="B215" s="80">
        <v>41301</v>
      </c>
      <c r="C215">
        <v>4.79</v>
      </c>
      <c r="AE215" t="s">
        <v>1162</v>
      </c>
      <c r="AF215" s="80">
        <v>41487</v>
      </c>
      <c r="AG215" s="6">
        <v>7.83</v>
      </c>
    </row>
    <row r="216" spans="1:33">
      <c r="A216" s="1" t="s">
        <v>1162</v>
      </c>
      <c r="B216" s="80">
        <v>41302</v>
      </c>
      <c r="C216">
        <v>5.33</v>
      </c>
      <c r="AE216" t="s">
        <v>1162</v>
      </c>
      <c r="AF216" s="80">
        <v>41488</v>
      </c>
      <c r="AG216" s="6">
        <v>6.88</v>
      </c>
    </row>
    <row r="217" spans="1:33">
      <c r="A217" s="1" t="s">
        <v>1162</v>
      </c>
      <c r="B217" s="80">
        <v>41303</v>
      </c>
      <c r="C217">
        <v>5.57</v>
      </c>
      <c r="AE217" t="s">
        <v>1162</v>
      </c>
      <c r="AF217" s="80">
        <v>41489</v>
      </c>
      <c r="AG217" s="6">
        <v>7.04</v>
      </c>
    </row>
    <row r="218" spans="1:33">
      <c r="A218" s="1" t="s">
        <v>1162</v>
      </c>
      <c r="B218" s="80">
        <v>41304</v>
      </c>
      <c r="C218">
        <v>5.87</v>
      </c>
      <c r="AE218" t="s">
        <v>1162</v>
      </c>
      <c r="AF218" s="80">
        <v>41490</v>
      </c>
      <c r="AG218" s="6">
        <v>6.53</v>
      </c>
    </row>
    <row r="219" spans="1:33">
      <c r="A219" s="1" t="s">
        <v>1162</v>
      </c>
      <c r="B219" s="80">
        <v>41305</v>
      </c>
      <c r="C219">
        <v>7.24</v>
      </c>
      <c r="AE219" t="s">
        <v>1162</v>
      </c>
      <c r="AF219" s="80">
        <v>41491</v>
      </c>
      <c r="AG219" s="6">
        <v>7.45</v>
      </c>
    </row>
    <row r="220" spans="1:33">
      <c r="A220" s="1" t="s">
        <v>1162</v>
      </c>
      <c r="B220" s="80">
        <v>41306</v>
      </c>
      <c r="C220">
        <v>9.75</v>
      </c>
      <c r="D220">
        <f>AVERAGE(C220:C247)</f>
        <v>61.264499999999998</v>
      </c>
      <c r="AE220" t="s">
        <v>1162</v>
      </c>
      <c r="AF220" s="80">
        <v>41492</v>
      </c>
      <c r="AG220" s="6">
        <v>11.5</v>
      </c>
    </row>
    <row r="221" spans="1:33">
      <c r="A221" s="1" t="s">
        <v>1162</v>
      </c>
      <c r="B221" s="80">
        <v>41307</v>
      </c>
      <c r="C221">
        <v>11.3</v>
      </c>
      <c r="AE221" t="s">
        <v>1162</v>
      </c>
      <c r="AF221" s="80">
        <v>41493</v>
      </c>
      <c r="AG221" s="6">
        <v>13.3</v>
      </c>
    </row>
    <row r="222" spans="1:33">
      <c r="A222" s="1" t="s">
        <v>1162</v>
      </c>
      <c r="B222" s="80">
        <v>41308</v>
      </c>
      <c r="C222">
        <v>14</v>
      </c>
      <c r="AE222" t="s">
        <v>1162</v>
      </c>
      <c r="AF222" s="80">
        <v>41494</v>
      </c>
      <c r="AG222" s="6">
        <v>12.6</v>
      </c>
    </row>
    <row r="223" spans="1:33">
      <c r="A223" s="1" t="s">
        <v>1162</v>
      </c>
      <c r="B223" s="80">
        <v>41309</v>
      </c>
      <c r="C223">
        <v>18.600000000000001</v>
      </c>
      <c r="AE223" t="s">
        <v>1162</v>
      </c>
      <c r="AF223" s="80">
        <v>41495</v>
      </c>
      <c r="AG223" s="6">
        <v>13.1</v>
      </c>
    </row>
    <row r="224" spans="1:33">
      <c r="A224" s="1" t="s">
        <v>1162</v>
      </c>
      <c r="B224" s="80">
        <v>41310</v>
      </c>
      <c r="C224">
        <v>23.9</v>
      </c>
      <c r="AE224" t="s">
        <v>1162</v>
      </c>
      <c r="AF224" s="80">
        <v>41496</v>
      </c>
      <c r="AG224" s="6">
        <v>13.2</v>
      </c>
    </row>
    <row r="225" spans="1:33">
      <c r="A225" s="1" t="s">
        <v>1162</v>
      </c>
      <c r="B225" s="80">
        <v>41311</v>
      </c>
      <c r="C225">
        <v>33.1</v>
      </c>
      <c r="AE225" t="s">
        <v>1162</v>
      </c>
      <c r="AF225" s="80">
        <v>41497</v>
      </c>
      <c r="AG225" s="6">
        <v>13</v>
      </c>
    </row>
    <row r="226" spans="1:33">
      <c r="A226" s="1" t="s">
        <v>1162</v>
      </c>
      <c r="B226" s="80">
        <v>41312</v>
      </c>
      <c r="C226">
        <v>38.799999999999997</v>
      </c>
      <c r="AE226" t="s">
        <v>1162</v>
      </c>
      <c r="AF226" s="80">
        <v>41498</v>
      </c>
      <c r="AG226" s="6">
        <v>12.9</v>
      </c>
    </row>
    <row r="227" spans="1:33">
      <c r="A227" s="1" t="s">
        <v>1162</v>
      </c>
      <c r="B227" s="80">
        <v>41313</v>
      </c>
      <c r="C227">
        <v>23.3</v>
      </c>
      <c r="AE227" t="s">
        <v>1162</v>
      </c>
      <c r="AF227" s="80">
        <v>41499</v>
      </c>
      <c r="AG227" s="6">
        <v>25.2</v>
      </c>
    </row>
    <row r="228" spans="1:33">
      <c r="A228" s="1" t="s">
        <v>1162</v>
      </c>
      <c r="B228" s="80">
        <v>41314</v>
      </c>
      <c r="C228">
        <v>3.44</v>
      </c>
      <c r="AE228" t="s">
        <v>1162</v>
      </c>
      <c r="AF228" s="80">
        <v>41500</v>
      </c>
      <c r="AG228" s="6">
        <v>32.200000000000003</v>
      </c>
    </row>
    <row r="229" spans="1:33">
      <c r="A229" s="1" t="s">
        <v>1162</v>
      </c>
      <c r="B229" s="80">
        <v>41315</v>
      </c>
      <c r="C229">
        <v>12.6</v>
      </c>
      <c r="AE229" t="s">
        <v>1162</v>
      </c>
      <c r="AF229" s="80">
        <v>41501</v>
      </c>
      <c r="AG229" s="6">
        <v>32</v>
      </c>
    </row>
    <row r="230" spans="1:33">
      <c r="A230" s="1" t="s">
        <v>1162</v>
      </c>
      <c r="B230" s="80">
        <v>41316</v>
      </c>
      <c r="C230">
        <v>25.9</v>
      </c>
      <c r="AE230" t="s">
        <v>1162</v>
      </c>
      <c r="AF230" s="80">
        <v>41502</v>
      </c>
      <c r="AG230" s="6">
        <v>23.6</v>
      </c>
    </row>
    <row r="231" spans="1:33">
      <c r="A231" s="1" t="s">
        <v>1162</v>
      </c>
      <c r="B231" s="80">
        <v>41317</v>
      </c>
      <c r="C231">
        <v>32.200000000000003</v>
      </c>
      <c r="AE231" t="s">
        <v>1162</v>
      </c>
      <c r="AF231" s="80">
        <v>41503</v>
      </c>
      <c r="AG231" s="6">
        <v>18.600000000000001</v>
      </c>
    </row>
    <row r="232" spans="1:33">
      <c r="A232" s="1" t="s">
        <v>1162</v>
      </c>
      <c r="B232" s="80">
        <v>41318</v>
      </c>
      <c r="C232">
        <v>48.2</v>
      </c>
      <c r="AE232" t="s">
        <v>1162</v>
      </c>
      <c r="AF232" s="80">
        <v>41504</v>
      </c>
      <c r="AG232" s="6">
        <v>18.600000000000001</v>
      </c>
    </row>
    <row r="233" spans="1:33">
      <c r="A233" s="1" t="s">
        <v>1162</v>
      </c>
      <c r="B233" s="80">
        <v>41319</v>
      </c>
      <c r="C233">
        <v>80</v>
      </c>
      <c r="AE233" t="s">
        <v>1162</v>
      </c>
      <c r="AF233" s="80">
        <v>41505</v>
      </c>
      <c r="AG233" s="6">
        <v>17.8</v>
      </c>
    </row>
    <row r="234" spans="1:33">
      <c r="A234" s="1" t="s">
        <v>1162</v>
      </c>
      <c r="B234" s="80">
        <v>41320</v>
      </c>
      <c r="C234">
        <v>80.400000000000006</v>
      </c>
      <c r="AE234" t="s">
        <v>1162</v>
      </c>
      <c r="AF234" s="80">
        <v>41506</v>
      </c>
      <c r="AG234" s="6">
        <v>12.3</v>
      </c>
    </row>
    <row r="235" spans="1:33">
      <c r="A235" s="1" t="s">
        <v>1162</v>
      </c>
      <c r="B235" s="80">
        <v>41321</v>
      </c>
      <c r="C235">
        <v>83.5</v>
      </c>
      <c r="AE235" t="s">
        <v>1162</v>
      </c>
      <c r="AF235" s="80">
        <v>41507</v>
      </c>
      <c r="AG235" s="6">
        <v>10.4</v>
      </c>
    </row>
    <row r="236" spans="1:33">
      <c r="A236" s="1" t="s">
        <v>1162</v>
      </c>
      <c r="B236" s="80">
        <v>41322</v>
      </c>
      <c r="C236">
        <v>88.1</v>
      </c>
      <c r="AE236" t="s">
        <v>1162</v>
      </c>
      <c r="AF236" s="80">
        <v>41508</v>
      </c>
      <c r="AG236" s="6">
        <v>10.4</v>
      </c>
    </row>
    <row r="237" spans="1:33">
      <c r="A237" s="1" t="s">
        <v>1162</v>
      </c>
      <c r="B237" s="80">
        <v>41323</v>
      </c>
      <c r="C237">
        <v>98.2</v>
      </c>
      <c r="AE237" t="s">
        <v>1162</v>
      </c>
      <c r="AF237" s="80">
        <v>41509</v>
      </c>
      <c r="AG237" s="6">
        <v>10.5</v>
      </c>
    </row>
    <row r="238" spans="1:33">
      <c r="A238" s="1" t="s">
        <v>1162</v>
      </c>
      <c r="B238" s="80">
        <v>41324</v>
      </c>
      <c r="C238">
        <v>227</v>
      </c>
      <c r="AE238" t="s">
        <v>1162</v>
      </c>
      <c r="AF238" s="80">
        <v>41510</v>
      </c>
      <c r="AG238" s="6">
        <v>17.8</v>
      </c>
    </row>
    <row r="239" spans="1:33">
      <c r="A239" s="1" t="s">
        <v>1162</v>
      </c>
      <c r="B239" s="80">
        <v>41325</v>
      </c>
      <c r="C239">
        <v>273</v>
      </c>
      <c r="AE239" t="s">
        <v>1162</v>
      </c>
      <c r="AF239" s="80">
        <v>41511</v>
      </c>
      <c r="AG239" s="6">
        <v>28.5</v>
      </c>
    </row>
    <row r="240" spans="1:33">
      <c r="A240" s="1" t="s">
        <v>1162</v>
      </c>
      <c r="B240" s="80">
        <v>41326</v>
      </c>
      <c r="AE240" t="s">
        <v>1162</v>
      </c>
      <c r="AF240" s="80">
        <v>41512</v>
      </c>
      <c r="AG240" s="6">
        <v>27.7</v>
      </c>
    </row>
    <row r="241" spans="1:33">
      <c r="A241" s="1" t="s">
        <v>1162</v>
      </c>
      <c r="B241" s="80">
        <v>41327</v>
      </c>
      <c r="AE241" t="s">
        <v>1162</v>
      </c>
      <c r="AF241" s="80">
        <v>41513</v>
      </c>
      <c r="AG241" s="6">
        <v>27</v>
      </c>
    </row>
    <row r="242" spans="1:33">
      <c r="A242" s="1" t="s">
        <v>1162</v>
      </c>
      <c r="B242" s="80">
        <v>41328</v>
      </c>
      <c r="AE242" t="s">
        <v>1162</v>
      </c>
      <c r="AF242" s="80">
        <v>41514</v>
      </c>
      <c r="AG242" s="6">
        <v>27.1</v>
      </c>
    </row>
    <row r="243" spans="1:33">
      <c r="A243" s="1" t="s">
        <v>1162</v>
      </c>
      <c r="B243" s="80">
        <v>41329</v>
      </c>
      <c r="AE243" t="s">
        <v>1162</v>
      </c>
      <c r="AF243" s="80">
        <v>41515</v>
      </c>
      <c r="AG243" s="6">
        <v>27</v>
      </c>
    </row>
    <row r="244" spans="1:33">
      <c r="A244" s="1" t="s">
        <v>1162</v>
      </c>
      <c r="B244" s="80">
        <v>41330</v>
      </c>
      <c r="AE244" t="s">
        <v>1162</v>
      </c>
      <c r="AF244" s="80">
        <v>41516</v>
      </c>
      <c r="AG244" s="6">
        <v>21.1</v>
      </c>
    </row>
    <row r="245" spans="1:33">
      <c r="A245" s="1" t="s">
        <v>1162</v>
      </c>
      <c r="B245" s="80">
        <v>41331</v>
      </c>
      <c r="AE245" t="s">
        <v>1162</v>
      </c>
      <c r="AF245" s="80">
        <v>41517</v>
      </c>
      <c r="AG245" s="6">
        <v>17.2</v>
      </c>
    </row>
    <row r="246" spans="1:33">
      <c r="A246" s="1" t="s">
        <v>1162</v>
      </c>
      <c r="B246" s="80">
        <v>41332</v>
      </c>
      <c r="AE246" t="s">
        <v>1162</v>
      </c>
      <c r="AF246" s="80">
        <v>41518</v>
      </c>
      <c r="AG246" s="6">
        <v>17.2</v>
      </c>
    </row>
    <row r="247" spans="1:33">
      <c r="A247" s="1" t="s">
        <v>1162</v>
      </c>
      <c r="B247" s="80">
        <v>41333</v>
      </c>
      <c r="AE247" t="s">
        <v>1162</v>
      </c>
      <c r="AF247" s="80">
        <v>41519</v>
      </c>
      <c r="AG247" s="6">
        <v>33.299999999999997</v>
      </c>
    </row>
    <row r="248" spans="1:33">
      <c r="A248" s="1" t="s">
        <v>1162</v>
      </c>
      <c r="B248" s="80">
        <v>41334</v>
      </c>
      <c r="AE248" t="s">
        <v>1162</v>
      </c>
      <c r="AF248" s="80">
        <v>41520</v>
      </c>
      <c r="AG248" s="6">
        <v>47.1</v>
      </c>
    </row>
    <row r="249" spans="1:33">
      <c r="A249" s="1" t="s">
        <v>1162</v>
      </c>
      <c r="B249" s="80">
        <v>41335</v>
      </c>
      <c r="AE249" t="s">
        <v>1162</v>
      </c>
      <c r="AF249" s="80">
        <v>41521</v>
      </c>
      <c r="AG249" s="6">
        <v>46.3</v>
      </c>
    </row>
    <row r="250" spans="1:33">
      <c r="A250" s="1" t="s">
        <v>1162</v>
      </c>
      <c r="B250" s="80">
        <v>41336</v>
      </c>
      <c r="AE250" t="s">
        <v>1162</v>
      </c>
      <c r="AF250" s="80">
        <v>41522</v>
      </c>
      <c r="AG250" s="6">
        <v>44.1</v>
      </c>
    </row>
    <row r="251" spans="1:33">
      <c r="A251" s="1" t="s">
        <v>1162</v>
      </c>
      <c r="B251" s="80">
        <v>41337</v>
      </c>
      <c r="AE251" t="s">
        <v>1162</v>
      </c>
      <c r="AF251" s="80">
        <v>41523</v>
      </c>
      <c r="AG251" s="6">
        <v>36.6</v>
      </c>
    </row>
    <row r="252" spans="1:33">
      <c r="A252" s="1" t="s">
        <v>1162</v>
      </c>
      <c r="B252" s="80">
        <v>41338</v>
      </c>
      <c r="AE252" t="s">
        <v>1162</v>
      </c>
      <c r="AF252" s="80">
        <v>41524</v>
      </c>
      <c r="AG252" s="6">
        <v>29.1</v>
      </c>
    </row>
    <row r="253" spans="1:33">
      <c r="A253" s="1" t="s">
        <v>1162</v>
      </c>
      <c r="B253" s="80">
        <v>41339</v>
      </c>
      <c r="AE253" t="s">
        <v>1162</v>
      </c>
      <c r="AF253" s="80">
        <v>41525</v>
      </c>
      <c r="AG253" s="6">
        <v>27.7</v>
      </c>
    </row>
    <row r="254" spans="1:33">
      <c r="A254" s="1" t="s">
        <v>1162</v>
      </c>
      <c r="B254" s="80">
        <v>41340</v>
      </c>
      <c r="AE254" t="s">
        <v>1162</v>
      </c>
      <c r="AF254" s="80">
        <v>41526</v>
      </c>
      <c r="AG254" s="6">
        <v>27</v>
      </c>
    </row>
    <row r="255" spans="1:33">
      <c r="A255" s="1" t="s">
        <v>1162</v>
      </c>
      <c r="B255" s="80">
        <v>41341</v>
      </c>
      <c r="AE255" t="s">
        <v>1162</v>
      </c>
      <c r="AF255" s="80">
        <v>41527</v>
      </c>
      <c r="AG255" s="6">
        <v>71.3</v>
      </c>
    </row>
    <row r="256" spans="1:33">
      <c r="A256" s="1" t="s">
        <v>1162</v>
      </c>
      <c r="B256" s="80">
        <v>41342</v>
      </c>
      <c r="AE256" t="s">
        <v>1162</v>
      </c>
      <c r="AF256" s="80">
        <v>41528</v>
      </c>
      <c r="AG256" s="6">
        <v>257</v>
      </c>
    </row>
    <row r="257" spans="1:33">
      <c r="A257" s="1" t="s">
        <v>1162</v>
      </c>
      <c r="B257" s="80">
        <v>41343</v>
      </c>
      <c r="AE257" t="s">
        <v>1162</v>
      </c>
      <c r="AF257" s="80">
        <v>41529</v>
      </c>
      <c r="AG257" s="6">
        <v>221</v>
      </c>
    </row>
    <row r="258" spans="1:33">
      <c r="A258" s="1" t="s">
        <v>1162</v>
      </c>
      <c r="B258" s="80">
        <v>41344</v>
      </c>
      <c r="AE258" t="s">
        <v>1162</v>
      </c>
      <c r="AF258" s="80">
        <v>41530</v>
      </c>
      <c r="AG258" s="6">
        <v>0</v>
      </c>
    </row>
    <row r="259" spans="1:33">
      <c r="A259" s="1" t="s">
        <v>1162</v>
      </c>
      <c r="B259" s="80">
        <v>41345</v>
      </c>
      <c r="AE259" t="s">
        <v>1162</v>
      </c>
      <c r="AF259" s="80">
        <v>41531</v>
      </c>
      <c r="AG259" s="6">
        <v>0</v>
      </c>
    </row>
    <row r="260" spans="1:33">
      <c r="A260" s="1" t="s">
        <v>1162</v>
      </c>
      <c r="B260" s="80">
        <v>41346</v>
      </c>
      <c r="AE260" t="s">
        <v>1162</v>
      </c>
      <c r="AF260" s="80">
        <v>41532</v>
      </c>
      <c r="AG260" s="6">
        <v>0</v>
      </c>
    </row>
    <row r="261" spans="1:33">
      <c r="A261" s="1" t="s">
        <v>1162</v>
      </c>
      <c r="B261" s="80">
        <v>41347</v>
      </c>
      <c r="AE261" t="s">
        <v>1162</v>
      </c>
      <c r="AF261" s="80">
        <v>41533</v>
      </c>
      <c r="AG261" s="6">
        <v>151</v>
      </c>
    </row>
    <row r="262" spans="1:33">
      <c r="A262" s="1" t="s">
        <v>1162</v>
      </c>
      <c r="B262" s="80">
        <v>41348</v>
      </c>
      <c r="AE262" t="s">
        <v>1162</v>
      </c>
      <c r="AF262" s="80">
        <v>41534</v>
      </c>
      <c r="AG262" s="6">
        <v>250</v>
      </c>
    </row>
    <row r="263" spans="1:33">
      <c r="A263" s="1" t="s">
        <v>1162</v>
      </c>
      <c r="B263" s="80">
        <v>41349</v>
      </c>
      <c r="AE263" t="s">
        <v>1162</v>
      </c>
      <c r="AF263" s="80">
        <v>41535</v>
      </c>
      <c r="AG263" s="6">
        <v>254</v>
      </c>
    </row>
    <row r="264" spans="1:33">
      <c r="A264" s="1" t="s">
        <v>1162</v>
      </c>
      <c r="B264" s="80">
        <v>41350</v>
      </c>
      <c r="AE264" t="s">
        <v>1162</v>
      </c>
      <c r="AF264" s="80">
        <v>41536</v>
      </c>
      <c r="AG264" s="6">
        <v>257</v>
      </c>
    </row>
    <row r="265" spans="1:33">
      <c r="A265" s="1" t="s">
        <v>1162</v>
      </c>
      <c r="B265" s="80">
        <v>41351</v>
      </c>
      <c r="AE265" t="s">
        <v>1162</v>
      </c>
      <c r="AF265" s="80">
        <v>41537</v>
      </c>
      <c r="AG265" s="6">
        <v>258</v>
      </c>
    </row>
    <row r="266" spans="1:33">
      <c r="A266" s="1" t="s">
        <v>1162</v>
      </c>
      <c r="B266" s="80">
        <v>41352</v>
      </c>
      <c r="AE266" t="s">
        <v>1162</v>
      </c>
      <c r="AF266" s="80">
        <v>41538</v>
      </c>
      <c r="AG266" s="6">
        <v>279</v>
      </c>
    </row>
    <row r="267" spans="1:33">
      <c r="A267" s="1" t="s">
        <v>1162</v>
      </c>
      <c r="B267" s="80">
        <v>41353</v>
      </c>
      <c r="AE267" t="s">
        <v>1162</v>
      </c>
      <c r="AF267" s="80">
        <v>41539</v>
      </c>
      <c r="AG267" s="6">
        <v>357</v>
      </c>
    </row>
    <row r="268" spans="1:33">
      <c r="A268" s="1" t="s">
        <v>1162</v>
      </c>
      <c r="B268" s="80">
        <v>41354</v>
      </c>
      <c r="C268">
        <v>13</v>
      </c>
      <c r="D268">
        <f>AVERAGE(C268:C278)</f>
        <v>9.5609090909090906</v>
      </c>
      <c r="AE268" t="s">
        <v>1162</v>
      </c>
      <c r="AF268" s="80">
        <v>41540</v>
      </c>
      <c r="AG268" s="6">
        <v>390</v>
      </c>
    </row>
    <row r="269" spans="1:33">
      <c r="A269" s="1" t="s">
        <v>1162</v>
      </c>
      <c r="B269" s="80">
        <v>41355</v>
      </c>
      <c r="C269">
        <v>12.4</v>
      </c>
      <c r="AE269" t="s">
        <v>1162</v>
      </c>
      <c r="AF269" s="80">
        <v>41541</v>
      </c>
      <c r="AG269" s="6">
        <v>460</v>
      </c>
    </row>
    <row r="270" spans="1:33">
      <c r="A270" s="1" t="s">
        <v>1162</v>
      </c>
      <c r="B270" s="80">
        <v>41356</v>
      </c>
      <c r="C270">
        <v>14.8</v>
      </c>
      <c r="AE270" t="s">
        <v>1162</v>
      </c>
      <c r="AF270" s="80">
        <v>41542</v>
      </c>
      <c r="AG270" s="6">
        <v>490</v>
      </c>
    </row>
    <row r="271" spans="1:33">
      <c r="A271" s="1" t="s">
        <v>1162</v>
      </c>
      <c r="B271" s="80">
        <v>41357</v>
      </c>
      <c r="C271">
        <v>13.4</v>
      </c>
      <c r="AE271" t="s">
        <v>1162</v>
      </c>
      <c r="AF271" s="80">
        <v>41543</v>
      </c>
      <c r="AG271" s="6">
        <v>486</v>
      </c>
    </row>
    <row r="272" spans="1:33">
      <c r="A272" s="1" t="s">
        <v>1162</v>
      </c>
      <c r="B272" s="80">
        <v>41358</v>
      </c>
      <c r="C272">
        <v>13</v>
      </c>
      <c r="AE272" t="s">
        <v>1162</v>
      </c>
      <c r="AF272" s="80">
        <v>41544</v>
      </c>
      <c r="AG272" s="6">
        <v>496</v>
      </c>
    </row>
    <row r="273" spans="1:33">
      <c r="A273" s="1" t="s">
        <v>1162</v>
      </c>
      <c r="B273" s="80">
        <v>41359</v>
      </c>
      <c r="C273">
        <v>12.7</v>
      </c>
      <c r="AE273" t="s">
        <v>1162</v>
      </c>
      <c r="AF273" s="80">
        <v>41545</v>
      </c>
      <c r="AG273" s="6">
        <v>492</v>
      </c>
    </row>
    <row r="274" spans="1:33">
      <c r="A274" s="1" t="s">
        <v>1162</v>
      </c>
      <c r="B274" s="80">
        <v>41360</v>
      </c>
      <c r="C274">
        <v>8.4600000000000009</v>
      </c>
      <c r="AE274" t="s">
        <v>1162</v>
      </c>
      <c r="AF274" s="80">
        <v>41546</v>
      </c>
      <c r="AG274" s="6">
        <v>487</v>
      </c>
    </row>
    <row r="275" spans="1:33">
      <c r="A275" s="1" t="s">
        <v>1162</v>
      </c>
      <c r="B275" s="80">
        <v>41361</v>
      </c>
      <c r="C275">
        <v>4.8</v>
      </c>
      <c r="AE275" t="s">
        <v>1162</v>
      </c>
      <c r="AF275" s="80">
        <v>41547</v>
      </c>
      <c r="AG275" s="6">
        <v>488</v>
      </c>
    </row>
    <row r="276" spans="1:33">
      <c r="A276" s="1" t="s">
        <v>1162</v>
      </c>
      <c r="B276" s="80">
        <v>41362</v>
      </c>
      <c r="C276">
        <v>4.5199999999999996</v>
      </c>
      <c r="AE276" t="s">
        <v>1162</v>
      </c>
      <c r="AF276" s="80">
        <v>41548</v>
      </c>
      <c r="AG276" s="6">
        <v>487</v>
      </c>
    </row>
    <row r="277" spans="1:33">
      <c r="A277" s="1" t="s">
        <v>1162</v>
      </c>
      <c r="B277" s="80">
        <v>41363</v>
      </c>
      <c r="C277">
        <v>4.1100000000000003</v>
      </c>
      <c r="AE277" t="s">
        <v>1162</v>
      </c>
      <c r="AF277" s="80">
        <v>41549</v>
      </c>
      <c r="AG277" s="6">
        <v>478</v>
      </c>
    </row>
    <row r="278" spans="1:33">
      <c r="A278" s="1" t="s">
        <v>1162</v>
      </c>
      <c r="B278" s="80">
        <v>41364</v>
      </c>
      <c r="C278">
        <v>3.98</v>
      </c>
      <c r="AE278" t="s">
        <v>1162</v>
      </c>
      <c r="AF278" s="80">
        <v>41550</v>
      </c>
      <c r="AG278" s="6">
        <v>470</v>
      </c>
    </row>
    <row r="279" spans="1:33">
      <c r="A279" s="1" t="s">
        <v>1162</v>
      </c>
      <c r="B279" s="80">
        <v>41365</v>
      </c>
      <c r="C279">
        <v>2.34</v>
      </c>
      <c r="D279">
        <f>AVERAGE(C279:C308)</f>
        <v>12.857499999999996</v>
      </c>
      <c r="AE279" t="s">
        <v>1162</v>
      </c>
      <c r="AF279" s="80">
        <v>41551</v>
      </c>
      <c r="AG279" s="6">
        <v>400</v>
      </c>
    </row>
    <row r="280" spans="1:33">
      <c r="A280" s="1" t="s">
        <v>1162</v>
      </c>
      <c r="B280" s="80">
        <v>41366</v>
      </c>
      <c r="C280">
        <v>0.82499999999999996</v>
      </c>
      <c r="AE280" t="s">
        <v>1162</v>
      </c>
      <c r="AF280" s="80">
        <v>41552</v>
      </c>
      <c r="AG280" s="6">
        <v>350</v>
      </c>
    </row>
    <row r="281" spans="1:33">
      <c r="A281" s="1" t="s">
        <v>1162</v>
      </c>
      <c r="B281" s="80">
        <v>41367</v>
      </c>
      <c r="C281">
        <v>1.52</v>
      </c>
      <c r="AE281" t="s">
        <v>1162</v>
      </c>
      <c r="AF281" s="80">
        <v>41553</v>
      </c>
      <c r="AG281" s="6">
        <v>347</v>
      </c>
    </row>
    <row r="282" spans="1:33">
      <c r="A282" s="1" t="s">
        <v>1162</v>
      </c>
      <c r="B282" s="80">
        <v>41368</v>
      </c>
      <c r="C282">
        <v>4.1500000000000004</v>
      </c>
      <c r="AE282" t="s">
        <v>1162</v>
      </c>
      <c r="AF282" s="80">
        <v>41554</v>
      </c>
      <c r="AG282" s="6">
        <v>342</v>
      </c>
    </row>
    <row r="283" spans="1:33">
      <c r="A283" s="1" t="s">
        <v>1162</v>
      </c>
      <c r="B283" s="80">
        <v>41369</v>
      </c>
      <c r="C283">
        <v>4.29</v>
      </c>
      <c r="AE283" t="s">
        <v>1162</v>
      </c>
      <c r="AF283" s="80">
        <v>41555</v>
      </c>
      <c r="AG283" s="6">
        <v>344</v>
      </c>
    </row>
    <row r="284" spans="1:33">
      <c r="A284" s="1" t="s">
        <v>1162</v>
      </c>
      <c r="B284" s="80">
        <v>41370</v>
      </c>
      <c r="C284">
        <v>3.37</v>
      </c>
      <c r="AE284" t="s">
        <v>1162</v>
      </c>
      <c r="AF284" s="80">
        <v>41556</v>
      </c>
      <c r="AG284" s="6">
        <v>343</v>
      </c>
    </row>
    <row r="285" spans="1:33">
      <c r="A285" s="1" t="s">
        <v>1162</v>
      </c>
      <c r="B285" s="80">
        <v>41371</v>
      </c>
      <c r="C285">
        <v>2.77</v>
      </c>
      <c r="AE285" t="s">
        <v>1162</v>
      </c>
      <c r="AF285" s="80">
        <v>41557</v>
      </c>
      <c r="AG285" s="6">
        <v>347</v>
      </c>
    </row>
    <row r="286" spans="1:33">
      <c r="A286" s="1" t="s">
        <v>1162</v>
      </c>
      <c r="B286" s="80">
        <v>41372</v>
      </c>
      <c r="C286">
        <v>3.93</v>
      </c>
      <c r="AE286" t="s">
        <v>1162</v>
      </c>
      <c r="AF286" s="80">
        <v>41558</v>
      </c>
      <c r="AG286" s="6">
        <v>275</v>
      </c>
    </row>
    <row r="287" spans="1:33">
      <c r="A287" s="1" t="s">
        <v>1162</v>
      </c>
      <c r="B287" s="80">
        <v>41373</v>
      </c>
      <c r="C287">
        <v>5.93</v>
      </c>
      <c r="AE287" t="s">
        <v>1162</v>
      </c>
      <c r="AF287" s="80">
        <v>41559</v>
      </c>
      <c r="AG287" s="6">
        <v>230</v>
      </c>
    </row>
    <row r="288" spans="1:33">
      <c r="A288" s="1" t="s">
        <v>1162</v>
      </c>
      <c r="B288" s="80">
        <v>41374</v>
      </c>
      <c r="C288">
        <v>6.28</v>
      </c>
      <c r="AE288" t="s">
        <v>1162</v>
      </c>
      <c r="AF288" s="80">
        <v>41560</v>
      </c>
      <c r="AG288" s="6">
        <v>228</v>
      </c>
    </row>
    <row r="289" spans="1:33">
      <c r="A289" s="1" t="s">
        <v>1162</v>
      </c>
      <c r="B289" s="80">
        <v>41375</v>
      </c>
      <c r="C289">
        <v>5.51</v>
      </c>
      <c r="AE289" t="s">
        <v>1162</v>
      </c>
      <c r="AF289" s="80">
        <v>41561</v>
      </c>
      <c r="AG289" s="6">
        <v>224</v>
      </c>
    </row>
    <row r="290" spans="1:33">
      <c r="A290" s="1" t="s">
        <v>1162</v>
      </c>
      <c r="B290" s="80">
        <v>41376</v>
      </c>
      <c r="C290">
        <v>6.43</v>
      </c>
      <c r="AE290" t="s">
        <v>1162</v>
      </c>
      <c r="AF290" s="80">
        <v>41562</v>
      </c>
      <c r="AG290" s="6">
        <v>220</v>
      </c>
    </row>
    <row r="291" spans="1:33">
      <c r="A291" s="1" t="s">
        <v>1162</v>
      </c>
      <c r="B291" s="80">
        <v>41377</v>
      </c>
      <c r="C291">
        <v>5.18</v>
      </c>
      <c r="AE291" t="s">
        <v>1162</v>
      </c>
      <c r="AF291" s="80">
        <v>41563</v>
      </c>
      <c r="AG291" s="6">
        <v>225</v>
      </c>
    </row>
    <row r="292" spans="1:33">
      <c r="A292" s="1" t="s">
        <v>1162</v>
      </c>
      <c r="B292" s="80">
        <v>41378</v>
      </c>
      <c r="C292">
        <v>6.3</v>
      </c>
      <c r="AE292" t="s">
        <v>1162</v>
      </c>
      <c r="AF292" s="80">
        <v>41564</v>
      </c>
      <c r="AG292" s="6">
        <v>228</v>
      </c>
    </row>
    <row r="293" spans="1:33">
      <c r="A293" s="1" t="s">
        <v>1162</v>
      </c>
      <c r="B293" s="80">
        <v>41379</v>
      </c>
      <c r="C293">
        <v>7</v>
      </c>
      <c r="AE293" t="s">
        <v>1162</v>
      </c>
      <c r="AF293" s="80">
        <v>41565</v>
      </c>
      <c r="AG293" s="6">
        <v>209</v>
      </c>
    </row>
    <row r="294" spans="1:33">
      <c r="A294" s="1" t="s">
        <v>1162</v>
      </c>
      <c r="B294" s="80">
        <v>41380</v>
      </c>
      <c r="C294">
        <v>11.8</v>
      </c>
      <c r="AE294" t="s">
        <v>1162</v>
      </c>
      <c r="AF294" s="80">
        <v>41566</v>
      </c>
      <c r="AG294" s="6">
        <v>103</v>
      </c>
    </row>
    <row r="295" spans="1:33">
      <c r="A295" s="1" t="s">
        <v>1162</v>
      </c>
      <c r="B295" s="80">
        <v>41381</v>
      </c>
      <c r="C295">
        <v>12.9</v>
      </c>
      <c r="AE295" t="s">
        <v>1162</v>
      </c>
      <c r="AF295" s="80">
        <v>41567</v>
      </c>
      <c r="AG295" s="6">
        <v>88.3</v>
      </c>
    </row>
    <row r="296" spans="1:33">
      <c r="A296" s="1" t="s">
        <v>1162</v>
      </c>
      <c r="B296" s="80">
        <v>41382</v>
      </c>
      <c r="C296">
        <v>12.3</v>
      </c>
      <c r="AE296" t="s">
        <v>1162</v>
      </c>
      <c r="AF296" s="80">
        <v>41568</v>
      </c>
      <c r="AG296" s="6">
        <v>87.9</v>
      </c>
    </row>
    <row r="297" spans="1:33">
      <c r="A297" s="1" t="s">
        <v>1162</v>
      </c>
      <c r="B297" s="80">
        <v>41383</v>
      </c>
      <c r="C297">
        <v>11</v>
      </c>
      <c r="AE297" t="s">
        <v>1162</v>
      </c>
      <c r="AF297" s="80">
        <v>41569</v>
      </c>
      <c r="AG297" s="6">
        <v>85.2</v>
      </c>
    </row>
    <row r="298" spans="1:33">
      <c r="A298" s="1" t="s">
        <v>1162</v>
      </c>
      <c r="B298" s="80">
        <v>41384</v>
      </c>
      <c r="C298">
        <v>12</v>
      </c>
      <c r="AE298" t="s">
        <v>1162</v>
      </c>
      <c r="AF298" s="80">
        <v>41570</v>
      </c>
      <c r="AG298" s="6">
        <v>82.4</v>
      </c>
    </row>
    <row r="299" spans="1:33">
      <c r="A299" s="1" t="s">
        <v>1162</v>
      </c>
      <c r="B299" s="80">
        <v>41385</v>
      </c>
      <c r="C299">
        <v>15</v>
      </c>
      <c r="AE299" t="s">
        <v>1162</v>
      </c>
      <c r="AF299" s="80">
        <v>41571</v>
      </c>
      <c r="AG299" s="6">
        <v>80.5</v>
      </c>
    </row>
    <row r="300" spans="1:33">
      <c r="A300" s="1" t="s">
        <v>1162</v>
      </c>
      <c r="B300" s="80">
        <v>41386</v>
      </c>
      <c r="C300">
        <v>18.2</v>
      </c>
      <c r="AE300" t="s">
        <v>1162</v>
      </c>
      <c r="AF300" s="80">
        <v>41572</v>
      </c>
      <c r="AG300" s="6">
        <v>76.7</v>
      </c>
    </row>
    <row r="301" spans="1:33">
      <c r="A301" s="1" t="s">
        <v>1162</v>
      </c>
      <c r="B301" s="80">
        <v>41387</v>
      </c>
      <c r="C301">
        <v>23.7</v>
      </c>
      <c r="AE301" t="s">
        <v>1162</v>
      </c>
      <c r="AF301" s="80">
        <v>41573</v>
      </c>
      <c r="AG301" s="6">
        <v>75.5</v>
      </c>
    </row>
    <row r="302" spans="1:33">
      <c r="A302" s="1" t="s">
        <v>1162</v>
      </c>
      <c r="B302" s="80">
        <v>41388</v>
      </c>
      <c r="C302">
        <v>24.7</v>
      </c>
      <c r="AE302" t="s">
        <v>1162</v>
      </c>
      <c r="AF302" s="80">
        <v>41574</v>
      </c>
      <c r="AG302" s="6">
        <v>73.7</v>
      </c>
    </row>
    <row r="303" spans="1:33">
      <c r="A303" s="1" t="s">
        <v>1162</v>
      </c>
      <c r="B303" s="80">
        <v>41389</v>
      </c>
      <c r="C303">
        <v>26.3</v>
      </c>
      <c r="AE303" t="s">
        <v>1162</v>
      </c>
      <c r="AF303" s="80">
        <v>41575</v>
      </c>
      <c r="AG303" s="6">
        <v>73.099999999999994</v>
      </c>
    </row>
    <row r="304" spans="1:33">
      <c r="A304" s="1" t="s">
        <v>1162</v>
      </c>
      <c r="B304" s="80">
        <v>41390</v>
      </c>
      <c r="C304">
        <v>24.9</v>
      </c>
      <c r="AE304" t="s">
        <v>1162</v>
      </c>
      <c r="AF304" s="80">
        <v>41576</v>
      </c>
      <c r="AG304" s="6">
        <v>70</v>
      </c>
    </row>
    <row r="305" spans="1:33">
      <c r="A305" s="1" t="s">
        <v>1162</v>
      </c>
      <c r="B305" s="80">
        <v>41391</v>
      </c>
      <c r="C305">
        <v>25.9</v>
      </c>
      <c r="AE305" t="s">
        <v>1162</v>
      </c>
      <c r="AF305" s="80">
        <v>41577</v>
      </c>
      <c r="AG305" s="6">
        <v>71.2</v>
      </c>
    </row>
    <row r="306" spans="1:33">
      <c r="A306" s="1" t="s">
        <v>1162</v>
      </c>
      <c r="B306" s="80">
        <v>41392</v>
      </c>
      <c r="C306">
        <v>28</v>
      </c>
      <c r="AE306" t="s">
        <v>1162</v>
      </c>
      <c r="AF306" s="80">
        <v>41578</v>
      </c>
      <c r="AG306" s="6">
        <v>87</v>
      </c>
    </row>
    <row r="307" spans="1:33">
      <c r="A307" s="1" t="s">
        <v>1162</v>
      </c>
      <c r="B307" s="80">
        <v>41393</v>
      </c>
      <c r="C307">
        <v>34.5</v>
      </c>
      <c r="AE307" t="s">
        <v>1162</v>
      </c>
      <c r="AF307" s="80">
        <v>41579</v>
      </c>
      <c r="AG307" s="6">
        <v>88.5</v>
      </c>
    </row>
    <row r="308" spans="1:33">
      <c r="A308" s="1" t="s">
        <v>1162</v>
      </c>
      <c r="B308" s="80">
        <v>41394</v>
      </c>
      <c r="C308">
        <v>38.700000000000003</v>
      </c>
      <c r="AE308" t="s">
        <v>1162</v>
      </c>
      <c r="AF308" s="80">
        <v>41580</v>
      </c>
      <c r="AG308" s="6">
        <v>81.900000000000006</v>
      </c>
    </row>
    <row r="309" spans="1:33">
      <c r="A309" s="1" t="s">
        <v>1162</v>
      </c>
      <c r="B309" s="80">
        <v>41395</v>
      </c>
      <c r="C309">
        <v>48.7</v>
      </c>
      <c r="D309">
        <f>AVERAGE(C309:C339)</f>
        <v>99.277419354838699</v>
      </c>
      <c r="AE309" t="s">
        <v>1162</v>
      </c>
      <c r="AF309" s="80">
        <v>41581</v>
      </c>
      <c r="AG309" s="6">
        <v>81.8</v>
      </c>
    </row>
    <row r="310" spans="1:33">
      <c r="A310" s="1" t="s">
        <v>1162</v>
      </c>
      <c r="B310" s="80">
        <v>41396</v>
      </c>
      <c r="C310">
        <v>47.7</v>
      </c>
      <c r="AE310" t="s">
        <v>1162</v>
      </c>
      <c r="AF310" s="80">
        <v>41582</v>
      </c>
      <c r="AG310" s="6">
        <v>81.2</v>
      </c>
    </row>
    <row r="311" spans="1:33">
      <c r="A311" s="1" t="s">
        <v>1162</v>
      </c>
      <c r="B311" s="80">
        <v>41397</v>
      </c>
      <c r="C311">
        <v>48.3</v>
      </c>
      <c r="AE311" t="s">
        <v>1162</v>
      </c>
      <c r="AF311" s="80">
        <v>41583</v>
      </c>
      <c r="AG311" s="6">
        <v>32.1</v>
      </c>
    </row>
    <row r="312" spans="1:33">
      <c r="A312" s="1" t="s">
        <v>1162</v>
      </c>
      <c r="B312" s="80">
        <v>41398</v>
      </c>
      <c r="C312">
        <v>45.2</v>
      </c>
      <c r="AE312" t="s">
        <v>1162</v>
      </c>
      <c r="AF312" s="80">
        <v>41584</v>
      </c>
      <c r="AG312" s="6">
        <v>4.71</v>
      </c>
    </row>
    <row r="313" spans="1:33">
      <c r="A313" s="1" t="s">
        <v>1162</v>
      </c>
      <c r="B313" s="80">
        <v>41399</v>
      </c>
      <c r="C313">
        <v>44.9</v>
      </c>
      <c r="AE313" t="s">
        <v>1162</v>
      </c>
      <c r="AF313" s="80">
        <v>41585</v>
      </c>
      <c r="AG313" s="6">
        <v>31</v>
      </c>
    </row>
    <row r="314" spans="1:33">
      <c r="A314" s="1" t="s">
        <v>1162</v>
      </c>
      <c r="B314" s="80">
        <v>41400</v>
      </c>
      <c r="C314">
        <v>44.3</v>
      </c>
      <c r="AE314" t="s">
        <v>1162</v>
      </c>
      <c r="AF314" s="80">
        <v>41586</v>
      </c>
      <c r="AG314" s="6">
        <v>44.4</v>
      </c>
    </row>
    <row r="315" spans="1:33">
      <c r="A315" s="1" t="s">
        <v>1162</v>
      </c>
      <c r="B315" s="80">
        <v>41401</v>
      </c>
      <c r="C315">
        <v>49.9</v>
      </c>
      <c r="AE315" t="s">
        <v>1162</v>
      </c>
      <c r="AF315" s="80">
        <v>41587</v>
      </c>
      <c r="AG315" s="6">
        <v>45.2</v>
      </c>
    </row>
    <row r="316" spans="1:33">
      <c r="A316" s="1" t="s">
        <v>1162</v>
      </c>
      <c r="B316" s="80">
        <v>41402</v>
      </c>
      <c r="C316">
        <v>58.7</v>
      </c>
      <c r="AE316" t="s">
        <v>1162</v>
      </c>
      <c r="AF316" s="80">
        <v>41588</v>
      </c>
      <c r="AG316" s="6">
        <v>40.799999999999997</v>
      </c>
    </row>
    <row r="317" spans="1:33">
      <c r="A317" s="1" t="s">
        <v>1162</v>
      </c>
      <c r="B317" s="80">
        <v>41403</v>
      </c>
      <c r="C317">
        <v>114</v>
      </c>
      <c r="AE317" t="s">
        <v>1162</v>
      </c>
      <c r="AF317" s="80">
        <v>41589</v>
      </c>
      <c r="AG317" s="6">
        <v>38.6</v>
      </c>
    </row>
    <row r="318" spans="1:33">
      <c r="A318" s="1" t="s">
        <v>1162</v>
      </c>
      <c r="B318" s="80">
        <v>41404</v>
      </c>
      <c r="C318">
        <v>162</v>
      </c>
      <c r="AE318" t="s">
        <v>1162</v>
      </c>
      <c r="AF318" s="80">
        <v>41590</v>
      </c>
      <c r="AG318" s="6">
        <v>34.6</v>
      </c>
    </row>
    <row r="319" spans="1:33">
      <c r="A319" s="1" t="s">
        <v>1162</v>
      </c>
      <c r="B319" s="80">
        <v>41405</v>
      </c>
      <c r="C319">
        <v>147</v>
      </c>
      <c r="AE319" t="s">
        <v>1162</v>
      </c>
      <c r="AF319" s="80">
        <v>41591</v>
      </c>
      <c r="AG319" s="6">
        <v>32.799999999999997</v>
      </c>
    </row>
    <row r="320" spans="1:33">
      <c r="A320" s="1" t="s">
        <v>1162</v>
      </c>
      <c r="B320" s="80">
        <v>41406</v>
      </c>
      <c r="C320">
        <v>150</v>
      </c>
      <c r="AE320" t="s">
        <v>1162</v>
      </c>
      <c r="AF320" s="80">
        <v>41592</v>
      </c>
      <c r="AG320" s="6">
        <v>36.200000000000003</v>
      </c>
    </row>
    <row r="321" spans="1:33">
      <c r="A321" s="1" t="s">
        <v>1162</v>
      </c>
      <c r="B321" s="80">
        <v>41407</v>
      </c>
      <c r="C321">
        <v>156</v>
      </c>
      <c r="AE321" t="s">
        <v>1162</v>
      </c>
      <c r="AF321" s="80">
        <v>41593</v>
      </c>
      <c r="AG321" s="6">
        <v>33.299999999999997</v>
      </c>
    </row>
    <row r="322" spans="1:33">
      <c r="A322" s="1" t="s">
        <v>1162</v>
      </c>
      <c r="B322" s="80">
        <v>41408</v>
      </c>
      <c r="C322">
        <v>165</v>
      </c>
      <c r="AE322" t="s">
        <v>1162</v>
      </c>
      <c r="AF322" s="80">
        <v>41594</v>
      </c>
      <c r="AG322" s="6">
        <v>28.9</v>
      </c>
    </row>
    <row r="323" spans="1:33">
      <c r="A323" s="1" t="s">
        <v>1162</v>
      </c>
      <c r="B323" s="80">
        <v>41409</v>
      </c>
      <c r="C323">
        <v>163</v>
      </c>
      <c r="AE323" t="s">
        <v>1162</v>
      </c>
      <c r="AF323" s="80">
        <v>41595</v>
      </c>
      <c r="AG323" s="6">
        <v>25.7</v>
      </c>
    </row>
    <row r="324" spans="1:33">
      <c r="A324" s="1" t="s">
        <v>1162</v>
      </c>
      <c r="B324" s="80">
        <v>41410</v>
      </c>
      <c r="C324">
        <v>160</v>
      </c>
      <c r="AE324" t="s">
        <v>1162</v>
      </c>
      <c r="AF324" s="80">
        <v>41596</v>
      </c>
      <c r="AG324" s="6">
        <v>21.7</v>
      </c>
    </row>
    <row r="325" spans="1:33">
      <c r="A325" s="1" t="s">
        <v>1162</v>
      </c>
      <c r="B325" s="80">
        <v>41411</v>
      </c>
      <c r="C325">
        <v>153</v>
      </c>
      <c r="AE325" t="s">
        <v>1162</v>
      </c>
      <c r="AF325" s="80">
        <v>41597</v>
      </c>
      <c r="AG325" s="6">
        <v>20.6</v>
      </c>
    </row>
    <row r="326" spans="1:33">
      <c r="A326" s="1" t="s">
        <v>1162</v>
      </c>
      <c r="B326" s="80">
        <v>41412</v>
      </c>
      <c r="C326">
        <v>153</v>
      </c>
      <c r="AE326" t="s">
        <v>1162</v>
      </c>
      <c r="AF326" s="80">
        <v>41598</v>
      </c>
      <c r="AG326" s="6">
        <v>23.9</v>
      </c>
    </row>
    <row r="327" spans="1:33">
      <c r="A327" s="1" t="s">
        <v>1162</v>
      </c>
      <c r="B327" s="80">
        <v>41413</v>
      </c>
      <c r="C327">
        <v>132</v>
      </c>
      <c r="AE327" t="s">
        <v>1162</v>
      </c>
      <c r="AF327" s="80">
        <v>41599</v>
      </c>
      <c r="AG327" s="6">
        <v>23.4</v>
      </c>
    </row>
    <row r="328" spans="1:33">
      <c r="A328" s="1" t="s">
        <v>1162</v>
      </c>
      <c r="B328" s="80">
        <v>41414</v>
      </c>
      <c r="C328">
        <v>110</v>
      </c>
      <c r="AE328" t="s">
        <v>1162</v>
      </c>
      <c r="AF328" s="80">
        <v>41600</v>
      </c>
      <c r="AG328" s="6">
        <v>15.6</v>
      </c>
    </row>
    <row r="329" spans="1:33">
      <c r="A329" s="1" t="s">
        <v>1162</v>
      </c>
      <c r="B329" s="80">
        <v>41415</v>
      </c>
      <c r="C329">
        <v>92.7</v>
      </c>
      <c r="AE329" t="s">
        <v>1162</v>
      </c>
      <c r="AF329" s="80">
        <v>41601</v>
      </c>
      <c r="AG329" s="6">
        <v>16</v>
      </c>
    </row>
    <row r="330" spans="1:33">
      <c r="A330" s="1" t="s">
        <v>1162</v>
      </c>
      <c r="B330" s="80">
        <v>41416</v>
      </c>
      <c r="C330">
        <v>87.8</v>
      </c>
      <c r="AE330" t="s">
        <v>1162</v>
      </c>
      <c r="AF330" s="80">
        <v>41602</v>
      </c>
      <c r="AG330" s="6">
        <v>18</v>
      </c>
    </row>
    <row r="331" spans="1:33">
      <c r="A331" s="1" t="s">
        <v>1162</v>
      </c>
      <c r="B331" s="80">
        <v>41417</v>
      </c>
      <c r="C331">
        <v>88.6</v>
      </c>
      <c r="AE331" t="s">
        <v>1162</v>
      </c>
      <c r="AF331" s="80">
        <v>41603</v>
      </c>
      <c r="AG331" s="6">
        <v>19.600000000000001</v>
      </c>
    </row>
    <row r="332" spans="1:33">
      <c r="A332" s="1" t="s">
        <v>1162</v>
      </c>
      <c r="B332" s="80">
        <v>41418</v>
      </c>
      <c r="C332">
        <v>93.3</v>
      </c>
      <c r="AE332" t="s">
        <v>1162</v>
      </c>
      <c r="AF332" s="80">
        <v>41604</v>
      </c>
      <c r="AG332" s="6">
        <v>17.3</v>
      </c>
    </row>
    <row r="333" spans="1:33">
      <c r="A333" s="1" t="s">
        <v>1162</v>
      </c>
      <c r="B333" s="80">
        <v>41419</v>
      </c>
      <c r="C333">
        <v>95</v>
      </c>
      <c r="AE333" t="s">
        <v>1162</v>
      </c>
      <c r="AF333" s="80">
        <v>41605</v>
      </c>
      <c r="AG333" s="6">
        <v>15</v>
      </c>
    </row>
    <row r="334" spans="1:33">
      <c r="A334" s="1" t="s">
        <v>1162</v>
      </c>
      <c r="B334" s="80">
        <v>41420</v>
      </c>
      <c r="C334">
        <v>91.2</v>
      </c>
      <c r="AE334" t="s">
        <v>1162</v>
      </c>
      <c r="AF334" s="80">
        <v>41606</v>
      </c>
      <c r="AG334" s="6">
        <v>15.8</v>
      </c>
    </row>
    <row r="335" spans="1:33">
      <c r="A335" s="1" t="s">
        <v>1162</v>
      </c>
      <c r="B335" s="80">
        <v>41421</v>
      </c>
      <c r="C335">
        <v>86.2</v>
      </c>
      <c r="AE335" t="s">
        <v>1162</v>
      </c>
      <c r="AF335" s="80">
        <v>41607</v>
      </c>
      <c r="AG335" s="6">
        <v>15.3</v>
      </c>
    </row>
    <row r="336" spans="1:33">
      <c r="A336" s="1" t="s">
        <v>1162</v>
      </c>
      <c r="B336" s="80">
        <v>41422</v>
      </c>
      <c r="C336">
        <v>81.5</v>
      </c>
      <c r="AE336" t="s">
        <v>1162</v>
      </c>
      <c r="AF336" s="80">
        <v>41608</v>
      </c>
      <c r="AG336" s="6">
        <v>15</v>
      </c>
    </row>
    <row r="337" spans="1:33">
      <c r="A337" s="1" t="s">
        <v>1162</v>
      </c>
      <c r="B337" s="80">
        <v>41423</v>
      </c>
      <c r="C337">
        <v>79.5</v>
      </c>
      <c r="AE337" t="s">
        <v>1162</v>
      </c>
      <c r="AF337" s="80">
        <v>41609</v>
      </c>
      <c r="AG337" s="6">
        <v>13.6</v>
      </c>
    </row>
    <row r="338" spans="1:33">
      <c r="A338" s="1" t="s">
        <v>1162</v>
      </c>
      <c r="B338" s="80">
        <v>41424</v>
      </c>
      <c r="C338">
        <v>75.5</v>
      </c>
      <c r="AE338" t="s">
        <v>1162</v>
      </c>
      <c r="AF338" s="80">
        <v>41610</v>
      </c>
      <c r="AG338" s="6">
        <v>14.9</v>
      </c>
    </row>
    <row r="339" spans="1:33">
      <c r="A339" s="1" t="s">
        <v>1162</v>
      </c>
      <c r="B339" s="80">
        <v>41425</v>
      </c>
      <c r="C339">
        <v>53.6</v>
      </c>
      <c r="AE339" t="s">
        <v>1162</v>
      </c>
      <c r="AF339" s="80">
        <v>41611</v>
      </c>
      <c r="AG339" s="6">
        <v>18.2</v>
      </c>
    </row>
    <row r="340" spans="1:33">
      <c r="A340" s="1" t="s">
        <v>1162</v>
      </c>
      <c r="B340" s="80">
        <v>41426</v>
      </c>
      <c r="C340">
        <v>43.6</v>
      </c>
      <c r="D340">
        <f>AVERAGE(C340:C369)</f>
        <v>24.018333333333334</v>
      </c>
      <c r="AE340" t="s">
        <v>1162</v>
      </c>
      <c r="AF340" s="80">
        <v>41612</v>
      </c>
      <c r="AG340" s="6">
        <v>20.7</v>
      </c>
    </row>
    <row r="341" spans="1:33">
      <c r="A341" s="1" t="s">
        <v>1162</v>
      </c>
      <c r="B341" s="80">
        <v>41427</v>
      </c>
      <c r="C341">
        <v>41.4</v>
      </c>
      <c r="AE341" t="s">
        <v>1162</v>
      </c>
      <c r="AF341" s="80">
        <v>41613</v>
      </c>
      <c r="AG341" s="6">
        <v>17.3</v>
      </c>
    </row>
    <row r="342" spans="1:33">
      <c r="A342" s="1" t="s">
        <v>1162</v>
      </c>
      <c r="B342" s="80">
        <v>41428</v>
      </c>
      <c r="C342">
        <v>45.3</v>
      </c>
      <c r="AE342" t="s">
        <v>1162</v>
      </c>
      <c r="AF342" s="80">
        <v>41614</v>
      </c>
      <c r="AG342" s="6">
        <v>10.8</v>
      </c>
    </row>
    <row r="343" spans="1:33">
      <c r="A343" s="1" t="s">
        <v>1162</v>
      </c>
      <c r="B343" s="80">
        <v>41429</v>
      </c>
      <c r="C343">
        <v>49</v>
      </c>
      <c r="AE343" t="s">
        <v>1162</v>
      </c>
      <c r="AF343" s="80">
        <v>41615</v>
      </c>
      <c r="AG343" s="6">
        <v>10.7</v>
      </c>
    </row>
    <row r="344" spans="1:33">
      <c r="A344" s="1" t="s">
        <v>1162</v>
      </c>
      <c r="B344" s="80">
        <v>41430</v>
      </c>
      <c r="C344">
        <v>62.3</v>
      </c>
      <c r="AE344" t="s">
        <v>1162</v>
      </c>
      <c r="AF344" s="80">
        <v>41616</v>
      </c>
      <c r="AG344" s="6">
        <v>14.2</v>
      </c>
    </row>
    <row r="345" spans="1:33">
      <c r="A345" s="1" t="s">
        <v>1162</v>
      </c>
      <c r="B345" s="80">
        <v>41431</v>
      </c>
      <c r="C345">
        <v>64</v>
      </c>
      <c r="AE345" t="s">
        <v>1162</v>
      </c>
      <c r="AF345" s="80">
        <v>41617</v>
      </c>
      <c r="AG345" s="6">
        <v>22.4</v>
      </c>
    </row>
    <row r="346" spans="1:33">
      <c r="A346" s="1" t="s">
        <v>1162</v>
      </c>
      <c r="B346" s="80">
        <v>41432</v>
      </c>
      <c r="C346">
        <v>52</v>
      </c>
      <c r="AE346" t="s">
        <v>1162</v>
      </c>
      <c r="AF346" s="80">
        <v>41618</v>
      </c>
      <c r="AG346" s="6">
        <v>29.1</v>
      </c>
    </row>
    <row r="347" spans="1:33">
      <c r="A347" s="1" t="s">
        <v>1162</v>
      </c>
      <c r="B347" s="80">
        <v>41433</v>
      </c>
      <c r="C347">
        <v>43.7</v>
      </c>
      <c r="AE347" t="s">
        <v>1162</v>
      </c>
      <c r="AF347" s="80">
        <v>41619</v>
      </c>
      <c r="AG347" s="6">
        <v>34.9</v>
      </c>
    </row>
    <row r="348" spans="1:33">
      <c r="A348" s="1" t="s">
        <v>1162</v>
      </c>
      <c r="B348" s="80">
        <v>41434</v>
      </c>
      <c r="C348">
        <v>39.6</v>
      </c>
      <c r="AE348" t="s">
        <v>1162</v>
      </c>
      <c r="AF348" s="80">
        <v>41620</v>
      </c>
      <c r="AG348" s="6">
        <v>39.6</v>
      </c>
    </row>
    <row r="349" spans="1:33">
      <c r="A349" s="1" t="s">
        <v>1162</v>
      </c>
      <c r="B349" s="80">
        <v>41435</v>
      </c>
      <c r="C349">
        <v>34.1</v>
      </c>
      <c r="AE349" t="s">
        <v>1162</v>
      </c>
      <c r="AF349" s="80">
        <v>41621</v>
      </c>
      <c r="AG349" s="6">
        <v>41.5</v>
      </c>
    </row>
    <row r="350" spans="1:33">
      <c r="A350" s="1" t="s">
        <v>1162</v>
      </c>
      <c r="B350" s="80">
        <v>41436</v>
      </c>
      <c r="C350">
        <v>27.1</v>
      </c>
      <c r="AE350" t="s">
        <v>1162</v>
      </c>
      <c r="AF350" s="80">
        <v>41622</v>
      </c>
      <c r="AG350" s="6">
        <v>42.2</v>
      </c>
    </row>
    <row r="351" spans="1:33">
      <c r="A351" s="1" t="s">
        <v>1162</v>
      </c>
      <c r="B351" s="80">
        <v>41437</v>
      </c>
      <c r="C351">
        <v>22.1</v>
      </c>
      <c r="AE351" t="s">
        <v>1162</v>
      </c>
      <c r="AF351" s="80">
        <v>41623</v>
      </c>
      <c r="AG351" s="6">
        <v>41.6</v>
      </c>
    </row>
    <row r="352" spans="1:33">
      <c r="A352" s="1" t="s">
        <v>1162</v>
      </c>
      <c r="B352" s="80">
        <v>41438</v>
      </c>
      <c r="C352">
        <v>19</v>
      </c>
      <c r="AE352" t="s">
        <v>1162</v>
      </c>
      <c r="AF352" s="80">
        <v>41624</v>
      </c>
      <c r="AG352" s="6">
        <v>43</v>
      </c>
    </row>
    <row r="353" spans="1:33">
      <c r="A353" s="1" t="s">
        <v>1162</v>
      </c>
      <c r="B353" s="80">
        <v>41439</v>
      </c>
      <c r="C353">
        <v>16.2</v>
      </c>
      <c r="AE353" t="s">
        <v>1162</v>
      </c>
      <c r="AF353" s="80">
        <v>41625</v>
      </c>
      <c r="AG353" s="6">
        <v>41.9</v>
      </c>
    </row>
    <row r="354" spans="1:33">
      <c r="A354" s="1" t="s">
        <v>1162</v>
      </c>
      <c r="B354" s="80">
        <v>41440</v>
      </c>
      <c r="C354">
        <v>14.9</v>
      </c>
      <c r="AE354" t="s">
        <v>1162</v>
      </c>
      <c r="AF354" s="80">
        <v>41626</v>
      </c>
      <c r="AG354" s="6">
        <v>39.200000000000003</v>
      </c>
    </row>
    <row r="355" spans="1:33">
      <c r="A355" s="1" t="s">
        <v>1162</v>
      </c>
      <c r="B355" s="80">
        <v>41441</v>
      </c>
      <c r="C355">
        <v>15.3</v>
      </c>
      <c r="AE355" t="s">
        <v>1162</v>
      </c>
      <c r="AF355" s="80">
        <v>41627</v>
      </c>
      <c r="AG355" s="6">
        <v>38.9</v>
      </c>
    </row>
    <row r="356" spans="1:33">
      <c r="A356" s="1" t="s">
        <v>1162</v>
      </c>
      <c r="B356" s="80">
        <v>41442</v>
      </c>
      <c r="C356">
        <v>15.3</v>
      </c>
      <c r="AE356" t="s">
        <v>1162</v>
      </c>
      <c r="AF356" s="80">
        <v>41628</v>
      </c>
      <c r="AG356" s="6">
        <v>36.4</v>
      </c>
    </row>
    <row r="357" spans="1:33">
      <c r="A357" s="1" t="s">
        <v>1162</v>
      </c>
      <c r="B357" s="80">
        <v>41443</v>
      </c>
      <c r="C357">
        <v>13.7</v>
      </c>
      <c r="AE357" t="s">
        <v>1162</v>
      </c>
      <c r="AF357" s="80">
        <v>41629</v>
      </c>
      <c r="AG357" s="6">
        <v>33.1</v>
      </c>
    </row>
    <row r="358" spans="1:33">
      <c r="A358" s="1" t="s">
        <v>1162</v>
      </c>
      <c r="B358" s="80">
        <v>41444</v>
      </c>
      <c r="C358">
        <v>12.6</v>
      </c>
      <c r="AE358" t="s">
        <v>1162</v>
      </c>
      <c r="AF358" s="80">
        <v>41630</v>
      </c>
      <c r="AG358" s="6">
        <v>32.5</v>
      </c>
    </row>
    <row r="359" spans="1:33">
      <c r="A359" s="1" t="s">
        <v>1162</v>
      </c>
      <c r="B359" s="80">
        <v>41445</v>
      </c>
      <c r="C359">
        <v>10.7</v>
      </c>
      <c r="AE359" t="s">
        <v>1162</v>
      </c>
      <c r="AF359" s="80">
        <v>41631</v>
      </c>
      <c r="AG359" s="6">
        <v>31.4</v>
      </c>
    </row>
    <row r="360" spans="1:33">
      <c r="A360" s="1" t="s">
        <v>1162</v>
      </c>
      <c r="B360" s="80">
        <v>41446</v>
      </c>
      <c r="C360">
        <v>9.7899999999999991</v>
      </c>
      <c r="AE360" t="s">
        <v>1162</v>
      </c>
      <c r="AF360" s="80">
        <v>41632</v>
      </c>
      <c r="AG360" s="6">
        <v>32.299999999999997</v>
      </c>
    </row>
    <row r="361" spans="1:33">
      <c r="A361" s="1" t="s">
        <v>1162</v>
      </c>
      <c r="B361" s="80">
        <v>41447</v>
      </c>
      <c r="C361">
        <v>10.4</v>
      </c>
      <c r="AE361" t="s">
        <v>1162</v>
      </c>
      <c r="AF361" s="80">
        <v>41633</v>
      </c>
      <c r="AG361" s="6">
        <v>27.9</v>
      </c>
    </row>
    <row r="362" spans="1:33">
      <c r="A362" s="1" t="s">
        <v>1162</v>
      </c>
      <c r="B362" s="80">
        <v>41448</v>
      </c>
      <c r="C362">
        <v>9.82</v>
      </c>
      <c r="AE362" t="s">
        <v>1162</v>
      </c>
      <c r="AF362" s="80">
        <v>41634</v>
      </c>
      <c r="AG362" s="6">
        <v>29.4</v>
      </c>
    </row>
    <row r="363" spans="1:33">
      <c r="A363" s="1" t="s">
        <v>1162</v>
      </c>
      <c r="B363" s="80">
        <v>41449</v>
      </c>
      <c r="C363">
        <v>9.6199999999999992</v>
      </c>
      <c r="AE363" t="s">
        <v>1162</v>
      </c>
      <c r="AF363" s="80">
        <v>41635</v>
      </c>
      <c r="AG363" s="6">
        <v>30.7</v>
      </c>
    </row>
    <row r="364" spans="1:33">
      <c r="A364" s="1" t="s">
        <v>1162</v>
      </c>
      <c r="B364" s="80">
        <v>41450</v>
      </c>
      <c r="C364">
        <v>9.61</v>
      </c>
      <c r="AE364" t="s">
        <v>1162</v>
      </c>
      <c r="AF364" s="80">
        <v>41636</v>
      </c>
      <c r="AG364" s="6">
        <v>31.6</v>
      </c>
    </row>
    <row r="365" spans="1:33">
      <c r="A365" s="1" t="s">
        <v>1162</v>
      </c>
      <c r="B365" s="80">
        <v>41451</v>
      </c>
      <c r="C365">
        <v>7.42</v>
      </c>
      <c r="AE365" t="s">
        <v>1162</v>
      </c>
      <c r="AF365" s="80">
        <v>41637</v>
      </c>
      <c r="AG365" s="6">
        <v>31.5</v>
      </c>
    </row>
    <row r="366" spans="1:33">
      <c r="A366" s="1" t="s">
        <v>1162</v>
      </c>
      <c r="B366" s="80">
        <v>41452</v>
      </c>
      <c r="C366">
        <v>5.34</v>
      </c>
      <c r="AE366" t="s">
        <v>1162</v>
      </c>
      <c r="AF366" s="80">
        <v>41638</v>
      </c>
      <c r="AG366" s="6">
        <v>30.3</v>
      </c>
    </row>
    <row r="367" spans="1:33">
      <c r="A367" s="1" t="s">
        <v>1162</v>
      </c>
      <c r="B367" s="80">
        <v>41453</v>
      </c>
      <c r="C367">
        <v>4.9800000000000004</v>
      </c>
      <c r="AE367" t="s">
        <v>1162</v>
      </c>
      <c r="AF367" s="80">
        <v>41639</v>
      </c>
      <c r="AG367" s="6">
        <v>31.2</v>
      </c>
    </row>
    <row r="368" spans="1:33">
      <c r="A368" s="1" t="s">
        <v>1162</v>
      </c>
      <c r="B368" s="80">
        <v>41454</v>
      </c>
      <c r="C368">
        <v>5.18</v>
      </c>
    </row>
    <row r="369" spans="1:4">
      <c r="A369" s="1" t="s">
        <v>1162</v>
      </c>
      <c r="B369" s="80">
        <v>41455</v>
      </c>
      <c r="C369">
        <v>6.49</v>
      </c>
    </row>
    <row r="370" spans="1:4">
      <c r="A370" s="1" t="s">
        <v>1162</v>
      </c>
      <c r="B370" s="80">
        <v>41456</v>
      </c>
      <c r="C370">
        <v>7.14</v>
      </c>
      <c r="D370">
        <f>AVERAGE(C370:C400)</f>
        <v>22.958387096774196</v>
      </c>
    </row>
    <row r="371" spans="1:4">
      <c r="A371" s="1" t="s">
        <v>1162</v>
      </c>
      <c r="B371" s="80">
        <v>41457</v>
      </c>
      <c r="C371">
        <v>8.99</v>
      </c>
    </row>
    <row r="372" spans="1:4">
      <c r="A372" s="1" t="s">
        <v>1162</v>
      </c>
      <c r="B372" s="80">
        <v>41458</v>
      </c>
      <c r="C372">
        <v>9.58</v>
      </c>
    </row>
    <row r="373" spans="1:4">
      <c r="A373" s="1" t="s">
        <v>1162</v>
      </c>
      <c r="B373" s="80">
        <v>41459</v>
      </c>
      <c r="C373">
        <v>7.67</v>
      </c>
    </row>
    <row r="374" spans="1:4">
      <c r="A374" s="1" t="s">
        <v>1162</v>
      </c>
      <c r="B374" s="80">
        <v>41460</v>
      </c>
      <c r="C374">
        <v>7.82</v>
      </c>
    </row>
    <row r="375" spans="1:4">
      <c r="A375" s="1" t="s">
        <v>1162</v>
      </c>
      <c r="B375" s="80">
        <v>41461</v>
      </c>
      <c r="C375">
        <v>6.81</v>
      </c>
    </row>
    <row r="376" spans="1:4">
      <c r="A376" s="1" t="s">
        <v>1162</v>
      </c>
      <c r="B376" s="80">
        <v>41462</v>
      </c>
      <c r="C376">
        <v>7.52</v>
      </c>
    </row>
    <row r="377" spans="1:4">
      <c r="A377" s="1" t="s">
        <v>1162</v>
      </c>
      <c r="B377" s="80">
        <v>41463</v>
      </c>
      <c r="C377">
        <v>8.9600000000000009</v>
      </c>
    </row>
    <row r="378" spans="1:4">
      <c r="A378" s="1" t="s">
        <v>1162</v>
      </c>
      <c r="B378" s="80">
        <v>41464</v>
      </c>
      <c r="C378">
        <v>9.44</v>
      </c>
    </row>
    <row r="379" spans="1:4">
      <c r="A379" s="1" t="s">
        <v>1162</v>
      </c>
      <c r="B379" s="80">
        <v>41465</v>
      </c>
      <c r="C379">
        <v>9.66</v>
      </c>
    </row>
    <row r="380" spans="1:4">
      <c r="A380" s="1" t="s">
        <v>1162</v>
      </c>
      <c r="B380" s="80">
        <v>41466</v>
      </c>
      <c r="C380">
        <v>22.7</v>
      </c>
    </row>
    <row r="381" spans="1:4">
      <c r="A381" s="1" t="s">
        <v>1162</v>
      </c>
      <c r="B381" s="80">
        <v>41467</v>
      </c>
      <c r="C381">
        <v>50.8</v>
      </c>
    </row>
    <row r="382" spans="1:4">
      <c r="A382" s="1" t="s">
        <v>1162</v>
      </c>
      <c r="B382" s="80">
        <v>41468</v>
      </c>
      <c r="C382">
        <v>53.8</v>
      </c>
    </row>
    <row r="383" spans="1:4">
      <c r="A383" s="1" t="s">
        <v>1162</v>
      </c>
      <c r="B383" s="80">
        <v>41469</v>
      </c>
      <c r="C383">
        <v>77.599999999999994</v>
      </c>
    </row>
    <row r="384" spans="1:4">
      <c r="A384" s="1" t="s">
        <v>1162</v>
      </c>
      <c r="B384" s="80">
        <v>41470</v>
      </c>
      <c r="C384">
        <v>64.8</v>
      </c>
    </row>
    <row r="385" spans="1:3">
      <c r="A385" s="1" t="s">
        <v>1162</v>
      </c>
      <c r="B385" s="80">
        <v>41471</v>
      </c>
      <c r="C385">
        <v>56.9</v>
      </c>
    </row>
    <row r="386" spans="1:3">
      <c r="A386" s="1" t="s">
        <v>1162</v>
      </c>
      <c r="B386" s="80">
        <v>41472</v>
      </c>
      <c r="C386">
        <v>44.4</v>
      </c>
    </row>
    <row r="387" spans="1:3">
      <c r="A387" s="1" t="s">
        <v>1162</v>
      </c>
      <c r="B387" s="80">
        <v>41473</v>
      </c>
      <c r="C387">
        <v>34.6</v>
      </c>
    </row>
    <row r="388" spans="1:3">
      <c r="A388" s="1" t="s">
        <v>1162</v>
      </c>
      <c r="B388" s="80">
        <v>41474</v>
      </c>
      <c r="C388">
        <v>29.6</v>
      </c>
    </row>
    <row r="389" spans="1:3">
      <c r="A389" s="1" t="s">
        <v>1162</v>
      </c>
      <c r="B389" s="80">
        <v>41475</v>
      </c>
      <c r="C389">
        <v>26.7</v>
      </c>
    </row>
    <row r="390" spans="1:3">
      <c r="A390" s="1" t="s">
        <v>1162</v>
      </c>
      <c r="B390" s="80">
        <v>41476</v>
      </c>
      <c r="C390">
        <v>24.4</v>
      </c>
    </row>
    <row r="391" spans="1:3">
      <c r="A391" s="1" t="s">
        <v>1162</v>
      </c>
      <c r="B391" s="80">
        <v>41477</v>
      </c>
      <c r="C391">
        <v>21.9</v>
      </c>
    </row>
    <row r="392" spans="1:3">
      <c r="A392" s="1" t="s">
        <v>1162</v>
      </c>
      <c r="B392" s="80">
        <v>41478</v>
      </c>
      <c r="C392">
        <v>19.899999999999999</v>
      </c>
    </row>
    <row r="393" spans="1:3">
      <c r="A393" s="1" t="s">
        <v>1162</v>
      </c>
      <c r="B393" s="80">
        <v>41479</v>
      </c>
      <c r="C393">
        <v>18.600000000000001</v>
      </c>
    </row>
    <row r="394" spans="1:3">
      <c r="A394" s="1" t="s">
        <v>1162</v>
      </c>
      <c r="B394" s="80">
        <v>41480</v>
      </c>
      <c r="C394">
        <v>10.7</v>
      </c>
    </row>
    <row r="395" spans="1:3">
      <c r="A395" s="1" t="s">
        <v>1162</v>
      </c>
      <c r="B395" s="80">
        <v>41481</v>
      </c>
      <c r="C395">
        <v>8.51</v>
      </c>
    </row>
    <row r="396" spans="1:3">
      <c r="A396" s="1" t="s">
        <v>1162</v>
      </c>
      <c r="B396" s="80">
        <v>41482</v>
      </c>
      <c r="C396">
        <v>8.61</v>
      </c>
    </row>
    <row r="397" spans="1:3">
      <c r="A397" s="1" t="s">
        <v>1162</v>
      </c>
      <c r="B397" s="80">
        <v>41483</v>
      </c>
      <c r="C397">
        <v>12.1</v>
      </c>
    </row>
    <row r="398" spans="1:3">
      <c r="A398" s="1" t="s">
        <v>1162</v>
      </c>
      <c r="B398" s="80">
        <v>41484</v>
      </c>
      <c r="C398">
        <v>13.2</v>
      </c>
    </row>
    <row r="399" spans="1:3">
      <c r="A399" s="1" t="s">
        <v>1162</v>
      </c>
      <c r="B399" s="80">
        <v>41485</v>
      </c>
      <c r="C399">
        <v>15.3</v>
      </c>
    </row>
    <row r="400" spans="1:3">
      <c r="A400" s="1" t="s">
        <v>1162</v>
      </c>
      <c r="B400" s="80">
        <v>41486</v>
      </c>
      <c r="C400">
        <v>13</v>
      </c>
    </row>
    <row r="401" spans="1:4">
      <c r="A401" s="1" t="s">
        <v>1162</v>
      </c>
      <c r="B401" s="80">
        <v>41487</v>
      </c>
      <c r="C401">
        <v>7.83</v>
      </c>
      <c r="D401">
        <f>AVERAGE(C401:C431)</f>
        <v>17.107419354838711</v>
      </c>
    </row>
    <row r="402" spans="1:4">
      <c r="A402" s="1" t="s">
        <v>1162</v>
      </c>
      <c r="B402" s="80">
        <v>41488</v>
      </c>
      <c r="C402">
        <v>6.88</v>
      </c>
    </row>
    <row r="403" spans="1:4">
      <c r="A403" s="1" t="s">
        <v>1162</v>
      </c>
      <c r="B403" s="80">
        <v>41489</v>
      </c>
      <c r="C403">
        <v>7.04</v>
      </c>
    </row>
    <row r="404" spans="1:4">
      <c r="A404" s="1" t="s">
        <v>1162</v>
      </c>
      <c r="B404" s="80">
        <v>41490</v>
      </c>
      <c r="C404">
        <v>6.53</v>
      </c>
    </row>
    <row r="405" spans="1:4">
      <c r="A405" s="1" t="s">
        <v>1162</v>
      </c>
      <c r="B405" s="80">
        <v>41491</v>
      </c>
      <c r="C405">
        <v>7.45</v>
      </c>
    </row>
    <row r="406" spans="1:4">
      <c r="A406" s="1" t="s">
        <v>1162</v>
      </c>
      <c r="B406" s="80">
        <v>41492</v>
      </c>
      <c r="C406">
        <v>11.5</v>
      </c>
    </row>
    <row r="407" spans="1:4">
      <c r="A407" s="1" t="s">
        <v>1162</v>
      </c>
      <c r="B407" s="80">
        <v>41493</v>
      </c>
      <c r="C407">
        <v>13.3</v>
      </c>
    </row>
    <row r="408" spans="1:4">
      <c r="A408" s="1" t="s">
        <v>1162</v>
      </c>
      <c r="B408" s="80">
        <v>41494</v>
      </c>
      <c r="C408">
        <v>12.6</v>
      </c>
    </row>
    <row r="409" spans="1:4">
      <c r="A409" s="1" t="s">
        <v>1162</v>
      </c>
      <c r="B409" s="80">
        <v>41495</v>
      </c>
      <c r="C409">
        <v>13.1</v>
      </c>
    </row>
    <row r="410" spans="1:4">
      <c r="A410" s="1" t="s">
        <v>1162</v>
      </c>
      <c r="B410" s="80">
        <v>41496</v>
      </c>
      <c r="C410">
        <v>13.2</v>
      </c>
    </row>
    <row r="411" spans="1:4">
      <c r="A411" s="1" t="s">
        <v>1162</v>
      </c>
      <c r="B411" s="80">
        <v>41497</v>
      </c>
      <c r="C411">
        <v>13</v>
      </c>
    </row>
    <row r="412" spans="1:4">
      <c r="A412" s="1" t="s">
        <v>1162</v>
      </c>
      <c r="B412" s="80">
        <v>41498</v>
      </c>
      <c r="C412">
        <v>12.9</v>
      </c>
    </row>
    <row r="413" spans="1:4">
      <c r="A413" s="1" t="s">
        <v>1162</v>
      </c>
      <c r="B413" s="80">
        <v>41499</v>
      </c>
      <c r="C413">
        <v>25.2</v>
      </c>
    </row>
    <row r="414" spans="1:4">
      <c r="A414" s="1" t="s">
        <v>1162</v>
      </c>
      <c r="B414" s="80">
        <v>41500</v>
      </c>
      <c r="C414">
        <v>32.200000000000003</v>
      </c>
    </row>
    <row r="415" spans="1:4">
      <c r="A415" s="1" t="s">
        <v>1162</v>
      </c>
      <c r="B415" s="80">
        <v>41501</v>
      </c>
      <c r="C415">
        <v>32</v>
      </c>
    </row>
    <row r="416" spans="1:4">
      <c r="A416" s="1" t="s">
        <v>1162</v>
      </c>
      <c r="B416" s="80">
        <v>41502</v>
      </c>
      <c r="C416">
        <v>23.6</v>
      </c>
    </row>
    <row r="417" spans="1:4">
      <c r="A417" s="1" t="s">
        <v>1162</v>
      </c>
      <c r="B417" s="80">
        <v>41503</v>
      </c>
      <c r="C417">
        <v>18.600000000000001</v>
      </c>
    </row>
    <row r="418" spans="1:4">
      <c r="A418" s="1" t="s">
        <v>1162</v>
      </c>
      <c r="B418" s="80">
        <v>41504</v>
      </c>
      <c r="C418">
        <v>18.600000000000001</v>
      </c>
    </row>
    <row r="419" spans="1:4">
      <c r="A419" s="1" t="s">
        <v>1162</v>
      </c>
      <c r="B419" s="80">
        <v>41505</v>
      </c>
      <c r="C419">
        <v>17.8</v>
      </c>
    </row>
    <row r="420" spans="1:4">
      <c r="A420" s="1" t="s">
        <v>1162</v>
      </c>
      <c r="B420" s="80">
        <v>41506</v>
      </c>
      <c r="C420">
        <v>12.3</v>
      </c>
    </row>
    <row r="421" spans="1:4">
      <c r="A421" s="1" t="s">
        <v>1162</v>
      </c>
      <c r="B421" s="80">
        <v>41507</v>
      </c>
      <c r="C421">
        <v>10.4</v>
      </c>
    </row>
    <row r="422" spans="1:4">
      <c r="A422" s="1" t="s">
        <v>1162</v>
      </c>
      <c r="B422" s="80">
        <v>41508</v>
      </c>
      <c r="C422">
        <v>10.4</v>
      </c>
    </row>
    <row r="423" spans="1:4">
      <c r="A423" s="1" t="s">
        <v>1162</v>
      </c>
      <c r="B423" s="80">
        <v>41509</v>
      </c>
      <c r="C423">
        <v>10.5</v>
      </c>
    </row>
    <row r="424" spans="1:4">
      <c r="A424" s="1" t="s">
        <v>1162</v>
      </c>
      <c r="B424" s="80">
        <v>41510</v>
      </c>
      <c r="C424">
        <v>17.8</v>
      </c>
    </row>
    <row r="425" spans="1:4">
      <c r="A425" s="1" t="s">
        <v>1162</v>
      </c>
      <c r="B425" s="80">
        <v>41511</v>
      </c>
      <c r="C425">
        <v>28.5</v>
      </c>
    </row>
    <row r="426" spans="1:4">
      <c r="A426" s="1" t="s">
        <v>1162</v>
      </c>
      <c r="B426" s="80">
        <v>41512</v>
      </c>
      <c r="C426">
        <v>27.7</v>
      </c>
    </row>
    <row r="427" spans="1:4">
      <c r="A427" s="1" t="s">
        <v>1162</v>
      </c>
      <c r="B427" s="80">
        <v>41513</v>
      </c>
      <c r="C427">
        <v>27</v>
      </c>
    </row>
    <row r="428" spans="1:4">
      <c r="A428" s="1" t="s">
        <v>1162</v>
      </c>
      <c r="B428" s="80">
        <v>41514</v>
      </c>
      <c r="C428">
        <v>27.1</v>
      </c>
    </row>
    <row r="429" spans="1:4">
      <c r="A429" s="1" t="s">
        <v>1162</v>
      </c>
      <c r="B429" s="80">
        <v>41515</v>
      </c>
      <c r="C429">
        <v>27</v>
      </c>
    </row>
    <row r="430" spans="1:4">
      <c r="A430" s="1" t="s">
        <v>1162</v>
      </c>
      <c r="B430" s="80">
        <v>41516</v>
      </c>
      <c r="C430">
        <v>21.1</v>
      </c>
    </row>
    <row r="431" spans="1:4">
      <c r="A431" s="1" t="s">
        <v>1162</v>
      </c>
      <c r="B431" s="80">
        <v>41517</v>
      </c>
      <c r="C431">
        <v>17.2</v>
      </c>
    </row>
    <row r="432" spans="1:4">
      <c r="A432" s="1" t="s">
        <v>1162</v>
      </c>
      <c r="B432" s="80">
        <v>41518</v>
      </c>
      <c r="C432">
        <v>17.2</v>
      </c>
      <c r="D432">
        <f>AVERAGE(C432:C461)</f>
        <v>215.09</v>
      </c>
    </row>
    <row r="433" spans="1:3">
      <c r="A433" s="1" t="s">
        <v>1162</v>
      </c>
      <c r="B433" s="80">
        <v>41519</v>
      </c>
      <c r="C433">
        <v>33.299999999999997</v>
      </c>
    </row>
    <row r="434" spans="1:3">
      <c r="A434" s="1" t="s">
        <v>1162</v>
      </c>
      <c r="B434" s="80">
        <v>41520</v>
      </c>
      <c r="C434">
        <v>47.1</v>
      </c>
    </row>
    <row r="435" spans="1:3">
      <c r="A435" s="1" t="s">
        <v>1162</v>
      </c>
      <c r="B435" s="80">
        <v>41521</v>
      </c>
      <c r="C435">
        <v>46.3</v>
      </c>
    </row>
    <row r="436" spans="1:3">
      <c r="A436" s="1" t="s">
        <v>1162</v>
      </c>
      <c r="B436" s="80">
        <v>41522</v>
      </c>
      <c r="C436">
        <v>44.1</v>
      </c>
    </row>
    <row r="437" spans="1:3">
      <c r="A437" s="1" t="s">
        <v>1162</v>
      </c>
      <c r="B437" s="80">
        <v>41523</v>
      </c>
      <c r="C437">
        <v>36.6</v>
      </c>
    </row>
    <row r="438" spans="1:3">
      <c r="A438" s="1" t="s">
        <v>1162</v>
      </c>
      <c r="B438" s="80">
        <v>41524</v>
      </c>
      <c r="C438">
        <v>29.1</v>
      </c>
    </row>
    <row r="439" spans="1:3">
      <c r="A439" s="1" t="s">
        <v>1162</v>
      </c>
      <c r="B439" s="80">
        <v>41525</v>
      </c>
      <c r="C439">
        <v>27.7</v>
      </c>
    </row>
    <row r="440" spans="1:3">
      <c r="A440" s="1" t="s">
        <v>1162</v>
      </c>
      <c r="B440" s="80">
        <v>41526</v>
      </c>
      <c r="C440">
        <v>27</v>
      </c>
    </row>
    <row r="441" spans="1:3">
      <c r="A441" s="1" t="s">
        <v>1162</v>
      </c>
      <c r="B441" s="80">
        <v>41527</v>
      </c>
      <c r="C441">
        <v>71.3</v>
      </c>
    </row>
    <row r="442" spans="1:3">
      <c r="A442" s="1" t="s">
        <v>1162</v>
      </c>
      <c r="B442" s="80">
        <v>41528</v>
      </c>
      <c r="C442">
        <v>257</v>
      </c>
    </row>
    <row r="443" spans="1:3">
      <c r="A443" s="1" t="s">
        <v>1162</v>
      </c>
      <c r="B443" s="80">
        <v>41529</v>
      </c>
      <c r="C443">
        <v>221</v>
      </c>
    </row>
    <row r="444" spans="1:3">
      <c r="A444" s="1" t="s">
        <v>1162</v>
      </c>
      <c r="B444" s="80">
        <v>41530</v>
      </c>
      <c r="C444">
        <v>0</v>
      </c>
    </row>
    <row r="445" spans="1:3">
      <c r="A445" s="1" t="s">
        <v>1162</v>
      </c>
      <c r="B445" s="80">
        <v>41531</v>
      </c>
      <c r="C445">
        <v>0</v>
      </c>
    </row>
    <row r="446" spans="1:3">
      <c r="A446" s="1" t="s">
        <v>1162</v>
      </c>
      <c r="B446" s="80">
        <v>41532</v>
      </c>
      <c r="C446">
        <v>0</v>
      </c>
    </row>
    <row r="447" spans="1:3">
      <c r="A447" s="1" t="s">
        <v>1162</v>
      </c>
      <c r="B447" s="80">
        <v>41533</v>
      </c>
      <c r="C447">
        <v>151</v>
      </c>
    </row>
    <row r="448" spans="1:3">
      <c r="A448" s="1" t="s">
        <v>1162</v>
      </c>
      <c r="B448" s="80">
        <v>41534</v>
      </c>
      <c r="C448">
        <v>250</v>
      </c>
    </row>
    <row r="449" spans="1:4">
      <c r="A449" s="1" t="s">
        <v>1162</v>
      </c>
      <c r="B449" s="80">
        <v>41535</v>
      </c>
      <c r="C449">
        <v>254</v>
      </c>
    </row>
    <row r="450" spans="1:4">
      <c r="A450" s="1" t="s">
        <v>1162</v>
      </c>
      <c r="B450" s="80">
        <v>41536</v>
      </c>
      <c r="C450">
        <v>257</v>
      </c>
    </row>
    <row r="451" spans="1:4">
      <c r="A451" s="1" t="s">
        <v>1162</v>
      </c>
      <c r="B451" s="80">
        <v>41537</v>
      </c>
      <c r="C451">
        <v>258</v>
      </c>
    </row>
    <row r="452" spans="1:4">
      <c r="A452" s="1" t="s">
        <v>1162</v>
      </c>
      <c r="B452" s="80">
        <v>41538</v>
      </c>
      <c r="C452">
        <v>279</v>
      </c>
    </row>
    <row r="453" spans="1:4">
      <c r="A453" s="1" t="s">
        <v>1162</v>
      </c>
      <c r="B453" s="80">
        <v>41539</v>
      </c>
      <c r="C453">
        <v>357</v>
      </c>
    </row>
    <row r="454" spans="1:4">
      <c r="A454" s="1" t="s">
        <v>1162</v>
      </c>
      <c r="B454" s="80">
        <v>41540</v>
      </c>
      <c r="C454">
        <v>390</v>
      </c>
    </row>
    <row r="455" spans="1:4">
      <c r="A455" s="1" t="s">
        <v>1162</v>
      </c>
      <c r="B455" s="80">
        <v>41541</v>
      </c>
      <c r="C455">
        <v>460</v>
      </c>
    </row>
    <row r="456" spans="1:4">
      <c r="A456" s="1" t="s">
        <v>1162</v>
      </c>
      <c r="B456" s="80">
        <v>41542</v>
      </c>
      <c r="C456">
        <v>490</v>
      </c>
    </row>
    <row r="457" spans="1:4">
      <c r="A457" s="1" t="s">
        <v>1162</v>
      </c>
      <c r="B457" s="80">
        <v>41543</v>
      </c>
      <c r="C457">
        <v>486</v>
      </c>
    </row>
    <row r="458" spans="1:4">
      <c r="A458" s="1" t="s">
        <v>1162</v>
      </c>
      <c r="B458" s="80">
        <v>41544</v>
      </c>
      <c r="C458">
        <v>496</v>
      </c>
    </row>
    <row r="459" spans="1:4">
      <c r="A459" s="1" t="s">
        <v>1162</v>
      </c>
      <c r="B459" s="80">
        <v>41545</v>
      </c>
      <c r="C459">
        <v>492</v>
      </c>
    </row>
    <row r="460" spans="1:4">
      <c r="A460" s="1" t="s">
        <v>1162</v>
      </c>
      <c r="B460" s="80">
        <v>41546</v>
      </c>
      <c r="C460">
        <v>487</v>
      </c>
    </row>
    <row r="461" spans="1:4">
      <c r="A461" s="1" t="s">
        <v>1162</v>
      </c>
      <c r="B461" s="80">
        <v>41547</v>
      </c>
      <c r="C461">
        <v>488</v>
      </c>
    </row>
    <row r="462" spans="1:4">
      <c r="A462" s="1" t="s">
        <v>1162</v>
      </c>
      <c r="B462" s="80">
        <v>41548</v>
      </c>
      <c r="C462">
        <v>487</v>
      </c>
      <c r="D462">
        <f>AVERAGE(C462:C492)</f>
        <v>219.40322580645159</v>
      </c>
    </row>
    <row r="463" spans="1:4">
      <c r="A463" s="1" t="s">
        <v>1162</v>
      </c>
      <c r="B463" s="80">
        <v>41549</v>
      </c>
      <c r="C463">
        <v>478</v>
      </c>
    </row>
    <row r="464" spans="1:4">
      <c r="A464" s="1" t="s">
        <v>1162</v>
      </c>
      <c r="B464" s="80">
        <v>41550</v>
      </c>
      <c r="C464">
        <v>470</v>
      </c>
    </row>
    <row r="465" spans="1:3">
      <c r="A465" s="1" t="s">
        <v>1162</v>
      </c>
      <c r="B465" s="80">
        <v>41551</v>
      </c>
      <c r="C465">
        <v>400</v>
      </c>
    </row>
    <row r="466" spans="1:3">
      <c r="A466" s="1" t="s">
        <v>1162</v>
      </c>
      <c r="B466" s="80">
        <v>41552</v>
      </c>
      <c r="C466">
        <v>350</v>
      </c>
    </row>
    <row r="467" spans="1:3">
      <c r="A467" s="1" t="s">
        <v>1162</v>
      </c>
      <c r="B467" s="80">
        <v>41553</v>
      </c>
      <c r="C467">
        <v>347</v>
      </c>
    </row>
    <row r="468" spans="1:3">
      <c r="A468" s="1" t="s">
        <v>1162</v>
      </c>
      <c r="B468" s="80">
        <v>41554</v>
      </c>
      <c r="C468">
        <v>342</v>
      </c>
    </row>
    <row r="469" spans="1:3">
      <c r="A469" s="1" t="s">
        <v>1162</v>
      </c>
      <c r="B469" s="80">
        <v>41555</v>
      </c>
      <c r="C469">
        <v>344</v>
      </c>
    </row>
    <row r="470" spans="1:3">
      <c r="A470" s="1" t="s">
        <v>1162</v>
      </c>
      <c r="B470" s="80">
        <v>41556</v>
      </c>
      <c r="C470">
        <v>343</v>
      </c>
    </row>
    <row r="471" spans="1:3">
      <c r="A471" s="1" t="s">
        <v>1162</v>
      </c>
      <c r="B471" s="80">
        <v>41557</v>
      </c>
      <c r="C471">
        <v>347</v>
      </c>
    </row>
    <row r="472" spans="1:3">
      <c r="A472" s="1" t="s">
        <v>1162</v>
      </c>
      <c r="B472" s="80">
        <v>41558</v>
      </c>
      <c r="C472">
        <v>275</v>
      </c>
    </row>
    <row r="473" spans="1:3">
      <c r="A473" s="1" t="s">
        <v>1162</v>
      </c>
      <c r="B473" s="80">
        <v>41559</v>
      </c>
      <c r="C473">
        <v>230</v>
      </c>
    </row>
    <row r="474" spans="1:3">
      <c r="A474" s="1" t="s">
        <v>1162</v>
      </c>
      <c r="B474" s="80">
        <v>41560</v>
      </c>
      <c r="C474">
        <v>228</v>
      </c>
    </row>
    <row r="475" spans="1:3">
      <c r="A475" s="1" t="s">
        <v>1162</v>
      </c>
      <c r="B475" s="80">
        <v>41561</v>
      </c>
      <c r="C475">
        <v>224</v>
      </c>
    </row>
    <row r="476" spans="1:3">
      <c r="A476" s="1" t="s">
        <v>1162</v>
      </c>
      <c r="B476" s="80">
        <v>41562</v>
      </c>
      <c r="C476">
        <v>220</v>
      </c>
    </row>
    <row r="477" spans="1:3">
      <c r="A477" s="1" t="s">
        <v>1162</v>
      </c>
      <c r="B477" s="80">
        <v>41563</v>
      </c>
      <c r="C477">
        <v>225</v>
      </c>
    </row>
    <row r="478" spans="1:3">
      <c r="A478" s="1" t="s">
        <v>1162</v>
      </c>
      <c r="B478" s="80">
        <v>41564</v>
      </c>
      <c r="C478">
        <v>228</v>
      </c>
    </row>
    <row r="479" spans="1:3">
      <c r="A479" s="1" t="s">
        <v>1162</v>
      </c>
      <c r="B479" s="80">
        <v>41565</v>
      </c>
      <c r="C479">
        <v>209</v>
      </c>
    </row>
    <row r="480" spans="1:3">
      <c r="A480" s="1" t="s">
        <v>1162</v>
      </c>
      <c r="B480" s="80">
        <v>41566</v>
      </c>
      <c r="C480">
        <v>103</v>
      </c>
    </row>
    <row r="481" spans="1:3">
      <c r="A481" s="1" t="s">
        <v>1162</v>
      </c>
      <c r="B481" s="80">
        <v>41567</v>
      </c>
      <c r="C481">
        <v>88.3</v>
      </c>
    </row>
    <row r="482" spans="1:3">
      <c r="A482" s="1" t="s">
        <v>1162</v>
      </c>
      <c r="B482" s="80">
        <v>41568</v>
      </c>
      <c r="C482">
        <v>87.9</v>
      </c>
    </row>
    <row r="483" spans="1:3">
      <c r="A483" s="1" t="s">
        <v>1162</v>
      </c>
      <c r="B483" s="80">
        <v>41569</v>
      </c>
      <c r="C483">
        <v>85.2</v>
      </c>
    </row>
    <row r="484" spans="1:3">
      <c r="A484" s="1" t="s">
        <v>1162</v>
      </c>
      <c r="B484" s="80">
        <v>41570</v>
      </c>
      <c r="C484">
        <v>82.4</v>
      </c>
    </row>
    <row r="485" spans="1:3">
      <c r="A485" s="1" t="s">
        <v>1162</v>
      </c>
      <c r="B485" s="80">
        <v>41571</v>
      </c>
      <c r="C485">
        <v>80.5</v>
      </c>
    </row>
    <row r="486" spans="1:3">
      <c r="A486" s="1" t="s">
        <v>1162</v>
      </c>
      <c r="B486" s="80">
        <v>41572</v>
      </c>
      <c r="C486">
        <v>76.7</v>
      </c>
    </row>
    <row r="487" spans="1:3">
      <c r="A487" s="1" t="s">
        <v>1162</v>
      </c>
      <c r="B487" s="80">
        <v>41573</v>
      </c>
      <c r="C487">
        <v>75.5</v>
      </c>
    </row>
    <row r="488" spans="1:3">
      <c r="A488" s="1" t="s">
        <v>1162</v>
      </c>
      <c r="B488" s="80">
        <v>41574</v>
      </c>
      <c r="C488">
        <v>73.7</v>
      </c>
    </row>
    <row r="489" spans="1:3">
      <c r="A489" s="1" t="s">
        <v>1162</v>
      </c>
      <c r="B489" s="80">
        <v>41575</v>
      </c>
      <c r="C489">
        <v>73.099999999999994</v>
      </c>
    </row>
    <row r="490" spans="1:3">
      <c r="A490" s="1" t="s">
        <v>1162</v>
      </c>
      <c r="B490" s="80">
        <v>41576</v>
      </c>
      <c r="C490">
        <v>70</v>
      </c>
    </row>
    <row r="491" spans="1:3">
      <c r="A491" s="1" t="s">
        <v>1162</v>
      </c>
      <c r="B491" s="80">
        <v>41577</v>
      </c>
      <c r="C491">
        <v>71.2</v>
      </c>
    </row>
    <row r="492" spans="1:3">
      <c r="A492" s="1" t="s">
        <v>1162</v>
      </c>
      <c r="B492" s="80">
        <v>41578</v>
      </c>
      <c r="C492">
        <v>87</v>
      </c>
    </row>
    <row r="493" spans="1:3">
      <c r="A493" s="1" t="s">
        <v>1162</v>
      </c>
      <c r="B493" s="80">
        <v>41579</v>
      </c>
      <c r="C493">
        <v>88.5</v>
      </c>
    </row>
    <row r="494" spans="1:3">
      <c r="A494" s="1" t="s">
        <v>1162</v>
      </c>
      <c r="B494" s="80">
        <v>41580</v>
      </c>
      <c r="C494">
        <v>81.900000000000006</v>
      </c>
    </row>
    <row r="495" spans="1:3">
      <c r="A495" s="1" t="s">
        <v>1162</v>
      </c>
      <c r="B495" s="80">
        <v>41581</v>
      </c>
      <c r="C495">
        <v>81.8</v>
      </c>
    </row>
    <row r="496" spans="1:3">
      <c r="A496" s="1" t="s">
        <v>1162</v>
      </c>
      <c r="B496" s="80">
        <v>41582</v>
      </c>
      <c r="C496">
        <v>81.2</v>
      </c>
    </row>
    <row r="497" spans="1:3">
      <c r="A497" s="1" t="s">
        <v>1162</v>
      </c>
      <c r="B497" s="80">
        <v>41583</v>
      </c>
      <c r="C497">
        <v>32.1</v>
      </c>
    </row>
    <row r="498" spans="1:3">
      <c r="A498" s="1" t="s">
        <v>1162</v>
      </c>
      <c r="B498" s="80">
        <v>41584</v>
      </c>
      <c r="C498">
        <v>4.71</v>
      </c>
    </row>
    <row r="499" spans="1:3">
      <c r="A499" s="1" t="s">
        <v>1162</v>
      </c>
      <c r="B499" s="80">
        <v>41585</v>
      </c>
      <c r="C499">
        <v>31</v>
      </c>
    </row>
    <row r="500" spans="1:3">
      <c r="A500" s="1" t="s">
        <v>1162</v>
      </c>
      <c r="B500" s="80">
        <v>41586</v>
      </c>
      <c r="C500">
        <v>44.4</v>
      </c>
    </row>
    <row r="501" spans="1:3">
      <c r="A501" s="1" t="s">
        <v>1162</v>
      </c>
      <c r="B501" s="80">
        <v>41587</v>
      </c>
      <c r="C501">
        <v>45.2</v>
      </c>
    </row>
    <row r="502" spans="1:3">
      <c r="A502" s="1" t="s">
        <v>1162</v>
      </c>
      <c r="B502" s="80">
        <v>41588</v>
      </c>
      <c r="C502">
        <v>40.799999999999997</v>
      </c>
    </row>
    <row r="503" spans="1:3">
      <c r="A503" s="1" t="s">
        <v>1162</v>
      </c>
      <c r="B503" s="80">
        <v>41589</v>
      </c>
      <c r="C503">
        <v>38.6</v>
      </c>
    </row>
  </sheetData>
  <mergeCells count="12">
    <mergeCell ref="H150:H151"/>
    <mergeCell ref="A148:A149"/>
    <mergeCell ref="A1:P1"/>
    <mergeCell ref="B17:L17"/>
    <mergeCell ref="A54:D54"/>
    <mergeCell ref="A49:D49"/>
    <mergeCell ref="A50:D50"/>
    <mergeCell ref="A51:D51"/>
    <mergeCell ref="A52:D52"/>
    <mergeCell ref="A53:D53"/>
    <mergeCell ref="N18:N19"/>
    <mergeCell ref="H149:U149"/>
  </mergeCells>
  <phoneticPr fontId="7" type="noConversion"/>
  <pageMargins left="0.75" right="0.75" top="1" bottom="1" header="0.5" footer="0.5"/>
  <pageSetup orientation="portrait" horizontalDpi="4294967294"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45</vt:i4>
      </vt:variant>
      <vt:variant>
        <vt:lpstr>Named Ranges</vt:lpstr>
      </vt:variant>
      <vt:variant>
        <vt:i4>17</vt:i4>
      </vt:variant>
    </vt:vector>
  </HeadingPairs>
  <TitlesOfParts>
    <vt:vector size="62" baseType="lpstr">
      <vt:lpstr>Reservoir Sample Sites</vt:lpstr>
      <vt:lpstr>Reservoir Summary Stats</vt:lpstr>
      <vt:lpstr>Annual Reservoir Trends</vt:lpstr>
      <vt:lpstr>Nitrate Trends</vt:lpstr>
      <vt:lpstr>Phosphorus Trends</vt:lpstr>
      <vt:lpstr>Loading</vt:lpstr>
      <vt:lpstr>Carlson</vt:lpstr>
      <vt:lpstr>Walker</vt:lpstr>
      <vt:lpstr>Monthly Discharge</vt:lpstr>
      <vt:lpstr>Temperature</vt:lpstr>
      <vt:lpstr>Conductance</vt:lpstr>
      <vt:lpstr>pH</vt:lpstr>
      <vt:lpstr>Oxygen</vt:lpstr>
      <vt:lpstr>Temp DO Comp</vt:lpstr>
      <vt:lpstr>T &amp; Diss Phosphorus</vt:lpstr>
      <vt:lpstr>Nitrate &amp; T Nitrogen</vt:lpstr>
      <vt:lpstr>TSS</vt:lpstr>
      <vt:lpstr>Chlsecchi</vt:lpstr>
      <vt:lpstr>Phytoplankton</vt:lpstr>
      <vt:lpstr>Monthly Chemistry</vt:lpstr>
      <vt:lpstr>Reg 85 WWTF</vt:lpstr>
      <vt:lpstr>MWS 2013 chemistry</vt:lpstr>
      <vt:lpstr>MWS 2013 Field</vt:lpstr>
      <vt:lpstr>Flood Chemistry</vt:lpstr>
      <vt:lpstr>Evergreen Lake</vt:lpstr>
      <vt:lpstr>Mt Evans</vt:lpstr>
      <vt:lpstr>Coyote</vt:lpstr>
      <vt:lpstr>T Standards</vt:lpstr>
      <vt:lpstr>Rec Use</vt:lpstr>
      <vt:lpstr>303d List </vt:lpstr>
      <vt:lpstr>Field Sheet</vt:lpstr>
      <vt:lpstr>Horse Manure</vt:lpstr>
      <vt:lpstr>Monitoring Parametrs 2013</vt:lpstr>
      <vt:lpstr>2013 P3 Monitoring Sites</vt:lpstr>
      <vt:lpstr>2014 Monitoring </vt:lpstr>
      <vt:lpstr>WWTP</vt:lpstr>
      <vt:lpstr>Monitoring Costs</vt:lpstr>
      <vt:lpstr>Labratory</vt:lpstr>
      <vt:lpstr>Field WS</vt:lpstr>
      <vt:lpstr>Watershed 102 Topics</vt:lpstr>
      <vt:lpstr>Newsletter topics</vt:lpstr>
      <vt:lpstr>Data Summary</vt:lpstr>
      <vt:lpstr>Coyote Gulch</vt:lpstr>
      <vt:lpstr>Kerr Swede Lab</vt:lpstr>
      <vt:lpstr>E coli</vt:lpstr>
      <vt:lpstr>'2013 P3 Monitoring Sites'!Print_Area</vt:lpstr>
      <vt:lpstr>Carlson!Print_Area</vt:lpstr>
      <vt:lpstr>Chlsecchi!Print_Area</vt:lpstr>
      <vt:lpstr>Conductance!Print_Area</vt:lpstr>
      <vt:lpstr>'Field Sheet'!Print_Area</vt:lpstr>
      <vt:lpstr>'Field WS'!Print_Area</vt:lpstr>
      <vt:lpstr>'Flood Chemistry'!Print_Area</vt:lpstr>
      <vt:lpstr>Loading!Print_Area</vt:lpstr>
      <vt:lpstr>'Monthly Chemistry'!Print_Area</vt:lpstr>
      <vt:lpstr>'Mt Evans'!Print_Area</vt:lpstr>
      <vt:lpstr>Oxygen!Print_Area</vt:lpstr>
      <vt:lpstr>pH!Print_Area</vt:lpstr>
      <vt:lpstr>'Rec Use'!Print_Area</vt:lpstr>
      <vt:lpstr>'Temp DO Comp'!Print_Area</vt:lpstr>
      <vt:lpstr>Temperature!Print_Area</vt:lpstr>
      <vt:lpstr>TSS!Print_Area</vt:lpstr>
      <vt:lpstr>Walker!Print_Area</vt:lpstr>
    </vt:vector>
  </TitlesOfParts>
  <Company>Dell Computer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Customer</dc:creator>
  <cp:lastModifiedBy>RNC Consulting LLC</cp:lastModifiedBy>
  <cp:lastPrinted>2014-01-23T18:08:45Z</cp:lastPrinted>
  <dcterms:created xsi:type="dcterms:W3CDTF">2000-11-21T22:42:26Z</dcterms:created>
  <dcterms:modified xsi:type="dcterms:W3CDTF">2020-03-03T20:03:39Z</dcterms:modified>
</cp:coreProperties>
</file>